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-60" windowWidth="11880" windowHeight="6465" firstSheet="2" activeTab="8"/>
  </bookViews>
  <sheets>
    <sheet name="s1" sheetId="1" r:id="rId1"/>
    <sheet name="zerortn" sheetId="2" r:id="rId2"/>
    <sheet name="s2" sheetId="3" r:id="rId3"/>
    <sheet name="s2a" sheetId="4" r:id="rId4"/>
    <sheet name="s3, s3b, s3d" sheetId="17" r:id="rId5"/>
    <sheet name="s3a" sheetId="18" r:id="rId6"/>
    <sheet name="s3b" sheetId="19" state="hidden" r:id="rId7"/>
    <sheet name="s3c" sheetId="20" r:id="rId8"/>
    <sheet name="s4" sheetId="6" r:id="rId9"/>
    <sheet name="s5" sheetId="7" r:id="rId10"/>
    <sheet name="s5a" sheetId="8" r:id="rId11"/>
    <sheet name="s6, s6a" sheetId="9" r:id="rId12"/>
    <sheet name="s7" sheetId="10" r:id="rId13"/>
    <sheet name="col" sheetId="11" state="hidden" r:id="rId14"/>
    <sheet name="dis" sheetId="12" state="hidden" r:id="rId15"/>
    <sheet name="s8" sheetId="22" r:id="rId16"/>
    <sheet name="Journal" sheetId="21" state="hidden" r:id="rId17"/>
    <sheet name="Macros" sheetId="13" state="veryHidden" r:id=""/>
  </sheets>
  <externalReferences>
    <externalReference r:id="rId18"/>
  </externalReferences>
  <definedNames>
    <definedName name="ActivityMonth">'s1'!$AO$2</definedName>
    <definedName name="ADMINFEES">'s4'!$F$53</definedName>
    <definedName name="AmtData">'s6, s6a'!$R$8:$R$24</definedName>
    <definedName name="AmtHdng">'s6, s6a'!$R$6:$R$7</definedName>
    <definedName name="AV_OPT">'s6, s6a'!$T$25</definedName>
    <definedName name="AvCaBase">'s6, s6a'!$O$8</definedName>
    <definedName name="AvCaDed">'s6, s6a'!$R$8</definedName>
    <definedName name="AvCaGals">'s6, s6a'!$L$8</definedName>
    <definedName name="AvCaPer">'s6, s6a'!$Q$8</definedName>
    <definedName name="AvChBase">'s6, s6a'!$O$9</definedName>
    <definedName name="AvChDed">'s6, s6a'!$R$9</definedName>
    <definedName name="AvChGals">'s6, s6a'!$L$9</definedName>
    <definedName name="AvChPer">'s6, s6a'!$Q$9</definedName>
    <definedName name="AvClBase">'s6, s6a'!$O$10</definedName>
    <definedName name="AvClDed">'s6, s6a'!$R$10</definedName>
    <definedName name="AvClGals">'s6, s6a'!$L$10</definedName>
    <definedName name="AvClPer">'s6, s6a'!$Q$10</definedName>
    <definedName name="AvDeduct">'s6, s6a'!$R$25</definedName>
    <definedName name="AvDoBase">'s6, s6a'!$O$11</definedName>
    <definedName name="AvDoDed">'s6, s6a'!$R$11</definedName>
    <definedName name="AvDoGals">'s6, s6a'!$L$11</definedName>
    <definedName name="AvDoPer">'s6, s6a'!$Q$11</definedName>
    <definedName name="AvElBase">'s6, s6a'!$O$12</definedName>
    <definedName name="AvElDed">'s6, s6a'!$R$12</definedName>
    <definedName name="AvElGals">'s6, s6a'!$L$12</definedName>
    <definedName name="AvElPer">'s6, s6a'!$Q$12</definedName>
    <definedName name="AvEsBase">'s6, s6a'!$O$13</definedName>
    <definedName name="AvEsDed">'s6, s6a'!$R$13</definedName>
    <definedName name="AvEsGals">'s6, s6a'!$L$13</definedName>
    <definedName name="AvEsPer">'s6, s6a'!$Q$13</definedName>
    <definedName name="AvEuBase">'s6, s6a'!$O$14</definedName>
    <definedName name="AvEuDed">'s6, s6a'!$R$14</definedName>
    <definedName name="AvEuGals">'s6, s6a'!$L$14</definedName>
    <definedName name="AvEuPer">'s6, s6a'!$Q$14</definedName>
    <definedName name="AVGAS10.5">'s6, s6a'!$O$25</definedName>
    <definedName name="AvHuBase">'s6, s6a'!$O$15</definedName>
    <definedName name="AvHuDed">'s6, s6a'!$R$15</definedName>
    <definedName name="AvHuGals">'s6, s6a'!$L$15</definedName>
    <definedName name="AvHuPer">'s6, s6a'!$Q$15</definedName>
    <definedName name="AvLaBase">'s6, s6a'!$O$16</definedName>
    <definedName name="AvLaDed">'s6, s6a'!$R$16</definedName>
    <definedName name="AvLaGals">'s6, s6a'!$L$16</definedName>
    <definedName name="AvLaPer">'s6, s6a'!$Q$16</definedName>
    <definedName name="AvLiBase">'s6, s6a'!$O$17</definedName>
    <definedName name="AvLiDed">'s6, s6a'!$R$17</definedName>
    <definedName name="AvLiGals">'s6, s6a'!$L$17</definedName>
    <definedName name="AvLiPer">'s6, s6a'!$Q$17</definedName>
    <definedName name="AvLyBase">'s6, s6a'!$O$18</definedName>
    <definedName name="AvLyDed">'s6, s6a'!$R$18</definedName>
    <definedName name="AvLyGals">'s6, s6a'!$L$18</definedName>
    <definedName name="AvLyPer">'s6, s6a'!$Q$18</definedName>
    <definedName name="AvMiBase">'s6, s6a'!$O$19</definedName>
    <definedName name="AvMiDed">'s6, s6a'!$R$19</definedName>
    <definedName name="AvMiGals">'s6, s6a'!$L$19</definedName>
    <definedName name="AvMiPer">'s6, s6a'!$Q$19</definedName>
    <definedName name="AvNyBase">'s6, s6a'!$O$20</definedName>
    <definedName name="AvNyDed">'s6, s6a'!$R$20</definedName>
    <definedName name="AvNyGals">'s6, s6a'!$L$20</definedName>
    <definedName name="AvNyPer">'s6, s6a'!$Q$20</definedName>
    <definedName name="AvPeBase">'s6, s6a'!$O$21</definedName>
    <definedName name="AvPeDed">'s6, s6a'!$R$21</definedName>
    <definedName name="AvPeGals">'s6, s6a'!$L$21</definedName>
    <definedName name="AvPePer">'s6, s6a'!$Q$21</definedName>
    <definedName name="AvStBase">'s6, s6a'!$O$22</definedName>
    <definedName name="AvStDed">'s6, s6a'!$R$22</definedName>
    <definedName name="AvStGals">'s6, s6a'!$L$22</definedName>
    <definedName name="AvStPer">'s6, s6a'!$Q$22</definedName>
    <definedName name="AvWaBase">'s6, s6a'!$O$23</definedName>
    <definedName name="AvWaDed">'s6, s6a'!$R$23</definedName>
    <definedName name="AvWaGals">'s6, s6a'!$L$23</definedName>
    <definedName name="AvWaPer">'s6, s6a'!$Q$23</definedName>
    <definedName name="AvWhBase">'s6, s6a'!$O$24</definedName>
    <definedName name="AvWhDed">'s6, s6a'!$R$24</definedName>
    <definedName name="AvWhGals">'s6, s6a'!$L$24</definedName>
    <definedName name="AvWhPer">'s6, s6a'!$Q$24</definedName>
    <definedName name="CA">'s1'!$M$115</definedName>
    <definedName name="CAG">'s2'!$B$113</definedName>
    <definedName name="_CAG1">s2a!$B$114</definedName>
    <definedName name="CAP">'s6, s6a'!$P$25</definedName>
    <definedName name="CH">'s1'!$N$115</definedName>
    <definedName name="CHG">'s2'!$C$113</definedName>
    <definedName name="_CHG1">s2a!$C$114</definedName>
    <definedName name="CIVILA">'s4'!$E$53</definedName>
    <definedName name="CL">'s1'!$O$115</definedName>
    <definedName name="CLG">'s2'!$D$113</definedName>
    <definedName name="_CLG1">s2a!$D$114</definedName>
    <definedName name="color" localSheetId="16">[1]s1!$A$104:$A$106,[1]s1!$A$7</definedName>
    <definedName name="color">'s1'!$A$115:$A$117,'s1'!$A$7</definedName>
    <definedName name="COUNTY1">s2a!$S$114</definedName>
    <definedName name="COUNTYOPTION">'s2'!$S$113</definedName>
    <definedName name="COUNTYTOTAL">'s3, s3b, s3d'!$H$172</definedName>
    <definedName name="CUFEE">'s7'!$B$88</definedName>
    <definedName name="DEALERS">zerortn!$B$9:$B$29</definedName>
    <definedName name="Diff">'s6, s6a'!$R$29</definedName>
    <definedName name="Dist_1">'s6, s6a'!$AE$8:$AE$24</definedName>
    <definedName name="Dist_2">'s6, s6a'!$AF$8:$AF$24</definedName>
    <definedName name="Dist_3">'s6, s6a'!$AG$8:$AG$24</definedName>
    <definedName name="DISTSTUDY" localSheetId="16">[1]s4!#REF!</definedName>
    <definedName name="DISTSTUDY">'s4'!#REF!</definedName>
    <definedName name="DO">'s1'!$P$115</definedName>
    <definedName name="DOG">'s2'!$E$113</definedName>
    <definedName name="_DOG1">s2a!$E$114</definedName>
    <definedName name="EL">'s1'!$Q$115</definedName>
    <definedName name="ELG">'s2'!$F$113</definedName>
    <definedName name="_ELG1">s2a!$F$114</definedName>
    <definedName name="ES">'s1'!$R$115</definedName>
    <definedName name="ESG">'s2'!$G$113</definedName>
    <definedName name="_ESG1">s2a!$G$114</definedName>
    <definedName name="EU">'s1'!$S$115</definedName>
    <definedName name="EUG">'s2'!$H$113</definedName>
    <definedName name="_EUG1">s2a!$H$114</definedName>
    <definedName name="HU">'s1'!$T$115</definedName>
    <definedName name="HUG">'s2'!$I$113</definedName>
    <definedName name="_HUG1">s2a!$I$114</definedName>
    <definedName name="INSFEE">'s7'!$C$88</definedName>
    <definedName name="Jan96_M_F_Stat_s6_List">#REF!</definedName>
    <definedName name="_JET1">'s5'!$C$35</definedName>
    <definedName name="_JET2">'s5'!$E$35</definedName>
    <definedName name="JETTOTAL">'s5'!$B$36</definedName>
    <definedName name="LA">'s1'!$U$115</definedName>
    <definedName name="LAG">'s2'!$J$113</definedName>
    <definedName name="_LAG1">s2a!$J$114</definedName>
    <definedName name="LessAF535">'s4'!$F$10</definedName>
    <definedName name="LessWP535">'s4'!$C$10</definedName>
    <definedName name="LI">'s1'!$V$115</definedName>
    <definedName name="LICFEE">'s4'!$B$52</definedName>
    <definedName name="LIG">'s2'!$K$113</definedName>
    <definedName name="_LIG1">s2a!$K$114</definedName>
    <definedName name="LY">'s1'!$W$115</definedName>
    <definedName name="LYG">'s2'!$L$113</definedName>
    <definedName name="_LYG1">s2a!$L$114</definedName>
    <definedName name="MI">'s1'!$X$115</definedName>
    <definedName name="MIG">'s2'!$M$113</definedName>
    <definedName name="_MIG1">s2a!$M$114</definedName>
    <definedName name="MthDist">'s6, s6a'!$S$8:$S$24</definedName>
    <definedName name="NET12.65">'s4'!$G$8</definedName>
    <definedName name="_NET5">'s4'!$G$9</definedName>
    <definedName name="NET5.35">'s4'!$G$10</definedName>
    <definedName name="NETAV">'s6, s6a'!$W$25</definedName>
    <definedName name="NETCAG">'s4'!$G$15</definedName>
    <definedName name="NETCAG1">'s4'!$G$16</definedName>
    <definedName name="NETCHG">'s4'!$G$17</definedName>
    <definedName name="NETCHG1">'s4'!$G$18</definedName>
    <definedName name="NETCLG">'s4'!$G$19</definedName>
    <definedName name="NETCLG1">'s4'!$G$20</definedName>
    <definedName name="NETDOG">'s4'!$G$21</definedName>
    <definedName name="NETDOG1">'s4'!$G$22</definedName>
    <definedName name="NETELG">'s4'!$G$23</definedName>
    <definedName name="NETELG1">'s4'!$G$24</definedName>
    <definedName name="NETESG">'s4'!$G$25</definedName>
    <definedName name="NETESG1">'s4'!$G$26</definedName>
    <definedName name="NETEUG">'s4'!$G$27</definedName>
    <definedName name="NETEUG1">'s4'!$G$28</definedName>
    <definedName name="NETHUG">'s4'!$G$29</definedName>
    <definedName name="NETHUG1">'s4'!$G$30</definedName>
    <definedName name="NETLAG">'s4'!$G$31</definedName>
    <definedName name="NETLAG1">'s4'!$G$32</definedName>
    <definedName name="NETLIG">'s4'!$G$33</definedName>
    <definedName name="NETLIG1">'s4'!$G$34</definedName>
    <definedName name="NETLYG">'s4'!$G$35</definedName>
    <definedName name="NETLYG1">'s4'!$G$36</definedName>
    <definedName name="NETMIG">'s4'!$G$37</definedName>
    <definedName name="NETMIG1">'s4'!$G$38</definedName>
    <definedName name="NETNYG">'s4'!$G$39</definedName>
    <definedName name="NETNYG1">'s4'!$G$40</definedName>
    <definedName name="NETPEG">'s4'!$G$41</definedName>
    <definedName name="NETPEG1">'s4'!$G$42</definedName>
    <definedName name="NETSTG">'s4'!$G$43</definedName>
    <definedName name="NETSTG1">'s4'!$G$44</definedName>
    <definedName name="NETWAG">'s4'!$G$45</definedName>
    <definedName name="NETWAG1">'s4'!$G$46</definedName>
    <definedName name="NETWHG">'s4'!$G$47</definedName>
    <definedName name="NETWHG1">'s4'!$G$48</definedName>
    <definedName name="NY">'s1'!$Y$115</definedName>
    <definedName name="NYG">'s2'!$N$113</definedName>
    <definedName name="_NYG1">s2a!$N$114</definedName>
    <definedName name="OldClkFig">2701.14</definedName>
    <definedName name="PARKWILD" localSheetId="16">[1]s4!$C$52</definedName>
    <definedName name="PARKWILD">'s4'!$C$53</definedName>
    <definedName name="PE">'s1'!$Z$115</definedName>
    <definedName name="PEG">'s2'!$O$113</definedName>
    <definedName name="_PEG1">s2a!$O$114</definedName>
    <definedName name="_xlnm.Print_Area" localSheetId="16">Journal!$A$1:$G$55</definedName>
    <definedName name="_xlnm.Print_Area" localSheetId="0">'s1'!$A$1:$J$123</definedName>
    <definedName name="_xlnm.Print_Area" localSheetId="2">'s2'!$B$13:$S$113</definedName>
    <definedName name="_xlnm.Print_Area" localSheetId="3">s2a!$B$14:$S$114</definedName>
    <definedName name="_xlnm.Print_Area" localSheetId="5">s3a!$A$1:$K$58</definedName>
    <definedName name="_xlnm.Print_Area" localSheetId="6">s3b!$A$1:$O$42</definedName>
    <definedName name="_xlnm.Print_Area" localSheetId="7">s3c!$A$68:$I$120</definedName>
    <definedName name="_xlnm.Print_Titles" localSheetId="0">'s1'!$A:$A,'s1'!$1:$12</definedName>
    <definedName name="_xlnm.Print_Titles" localSheetId="2">'s2'!$A:$A,'s2'!$1:$11</definedName>
    <definedName name="_xlnm.Print_Titles" localSheetId="3">s2a!$A:$A,s2a!$1:$12</definedName>
    <definedName name="_xlnm.Print_Titles" localSheetId="4">'s3, s3b, s3d'!$31:$35</definedName>
    <definedName name="_xlnm.Print_Titles" localSheetId="5">s3a!$1:$7</definedName>
    <definedName name="_xlnm.Print_Titles" localSheetId="8">'s4'!$1:$7</definedName>
    <definedName name="_xlnm.Print_Titles" localSheetId="9">'s5'!$A:$A,'s5'!$1:$9</definedName>
    <definedName name="_xlnm.Print_Titles" localSheetId="10">s5a!$A:$A,s5a!$1:$8</definedName>
    <definedName name="_xlnm.Print_Titles" localSheetId="12">'s7'!$A:$A,'s7'!$1:$12</definedName>
    <definedName name="_xlnm.Print_Titles" localSheetId="1">zerortn!$1:$7</definedName>
    <definedName name="REFUNDS">'s4'!$D$53</definedName>
    <definedName name="ReportMonth">'s1'!$AO$1</definedName>
    <definedName name="S1_GALS">'s1'!$L$12:$AD$118</definedName>
    <definedName name="S1_MONEY">'s1'!$B$12:$J$117</definedName>
    <definedName name="S1Z_PR">zerortn!$A$1:$G$52</definedName>
    <definedName name="S2_MONEY">'s2'!$B$11:$S$113</definedName>
    <definedName name="S2A_MONEY">s2a!$B$14:$S$114</definedName>
    <definedName name="S3_P1">#REF!</definedName>
    <definedName name="S3_P2">#REF!</definedName>
    <definedName name="S3_P3">#REF!</definedName>
    <definedName name="S3_P4">#REF!</definedName>
    <definedName name="S3A">#REF!</definedName>
    <definedName name="S3C">#REF!</definedName>
    <definedName name="S4_PR">'s4'!$A$1:$G$53</definedName>
    <definedName name="S5_PR">'s5'!$A$1:$F$35</definedName>
    <definedName name="S5A_PR">s5a!$A$1:$W$29</definedName>
    <definedName name="S6_PR">'s6, s6a'!$A$1:$L$25</definedName>
    <definedName name="S6A_PR">'s6, s6a'!$N$1:$V$25</definedName>
    <definedName name="S7_PR">'s7'!$A$12:$S$88</definedName>
    <definedName name="ST">'s1'!$AA$115</definedName>
    <definedName name="ST12.65">'s1'!$D$117</definedName>
    <definedName name="_ST5">'s1'!$E$117</definedName>
    <definedName name="ST5.35">'s1'!$F$117</definedName>
    <definedName name="STG">'s2'!$P$113</definedName>
    <definedName name="_STG1">s2a!$P$114</definedName>
    <definedName name="TapeCF">'s7'!$B$91</definedName>
    <definedName name="TapeGas">'s1'!$J$121</definedName>
    <definedName name="TapeIF">'s7'!$C$91</definedName>
    <definedName name="TapeJet">'s5'!$B$37</definedName>
    <definedName name="TotalCOL">col!$A$1:$C$17</definedName>
    <definedName name="TotalDIS">dis!$A$1:$C$19</definedName>
    <definedName name="TOTALREF">'s4'!$D$53</definedName>
    <definedName name="TOTGAL">'s1'!$B$117</definedName>
    <definedName name="WA">'s1'!$AB$115</definedName>
    <definedName name="WAG">'s2'!$Q$113</definedName>
    <definedName name="_WAG1">s2a!$Q$114</definedName>
    <definedName name="WH">'s1'!$AC$115</definedName>
    <definedName name="WHG">'s2'!$R$113</definedName>
    <definedName name="_WHG1">s2a!$R$114</definedName>
    <definedName name="WILDPARK">'s4'!$C$53</definedName>
  </definedNames>
  <calcPr calcId="145621" fullCalcOnLoad="1" fullPrecision="0"/>
</workbook>
</file>

<file path=xl/calcChain.xml><?xml version="1.0" encoding="utf-8"?>
<calcChain xmlns="http://schemas.openxmlformats.org/spreadsheetml/2006/main">
  <c r="C24" i="11" l="1"/>
  <c r="C27" i="11" s="1"/>
  <c r="B40" i="11"/>
  <c r="E24" i="11"/>
  <c r="A3" i="1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J59" i="1" s="1"/>
  <c r="E60" i="1"/>
  <c r="E61" i="1"/>
  <c r="J61" i="1" s="1"/>
  <c r="E62" i="1"/>
  <c r="E63" i="1"/>
  <c r="J63" i="1" s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J89" i="1" s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J36" i="1" s="1"/>
  <c r="D37" i="1"/>
  <c r="D38" i="1"/>
  <c r="D39" i="1"/>
  <c r="D40" i="1"/>
  <c r="D41" i="1"/>
  <c r="D42" i="1"/>
  <c r="D43" i="1"/>
  <c r="D44" i="1"/>
  <c r="D45" i="1"/>
  <c r="J45" i="1" s="1"/>
  <c r="D46" i="1"/>
  <c r="D47" i="1"/>
  <c r="D48" i="1"/>
  <c r="D49" i="1"/>
  <c r="D50" i="1"/>
  <c r="D51" i="1"/>
  <c r="D52" i="1"/>
  <c r="D53" i="1"/>
  <c r="D54" i="1"/>
  <c r="D55" i="1"/>
  <c r="J55" i="1" s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J101" i="1" s="1"/>
  <c r="D102" i="1"/>
  <c r="D103" i="1"/>
  <c r="D104" i="1"/>
  <c r="D105" i="1"/>
  <c r="D106" i="1"/>
  <c r="D107" i="1"/>
  <c r="D108" i="1"/>
  <c r="D109" i="1"/>
  <c r="D110" i="1"/>
  <c r="J110" i="1" s="1"/>
  <c r="D111" i="1"/>
  <c r="D112" i="1"/>
  <c r="D113" i="1"/>
  <c r="C10" i="7"/>
  <c r="C11" i="7"/>
  <c r="F11" i="7" s="1"/>
  <c r="C12" i="7"/>
  <c r="F12" i="7" s="1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E10" i="7"/>
  <c r="E11" i="7"/>
  <c r="E12" i="7"/>
  <c r="E13" i="7"/>
  <c r="F13" i="7" s="1"/>
  <c r="E14" i="7"/>
  <c r="F14" i="7" s="1"/>
  <c r="E15" i="7"/>
  <c r="F15" i="7" s="1"/>
  <c r="E16" i="7"/>
  <c r="E17" i="7"/>
  <c r="E18" i="7"/>
  <c r="F18" i="7" s="1"/>
  <c r="E19" i="7"/>
  <c r="E20" i="7"/>
  <c r="E21" i="7"/>
  <c r="E22" i="7"/>
  <c r="F22" i="7" s="1"/>
  <c r="E23" i="7"/>
  <c r="E24" i="7"/>
  <c r="F24" i="7" s="1"/>
  <c r="E25" i="7"/>
  <c r="F25" i="7" s="1"/>
  <c r="E26" i="7"/>
  <c r="F26" i="7" s="1"/>
  <c r="E27" i="7"/>
  <c r="E28" i="7"/>
  <c r="E29" i="7"/>
  <c r="E30" i="7"/>
  <c r="E31" i="7"/>
  <c r="F31" i="7" s="1"/>
  <c r="E32" i="7"/>
  <c r="E33" i="7"/>
  <c r="F33" i="7" s="1"/>
  <c r="E35" i="7"/>
  <c r="B88" i="10"/>
  <c r="C14" i="11"/>
  <c r="C88" i="10"/>
  <c r="C15" i="1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S19" i="4" s="1"/>
  <c r="P19" i="4"/>
  <c r="Q19" i="4"/>
  <c r="R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S22" i="4" s="1"/>
  <c r="O22" i="4"/>
  <c r="P22" i="4"/>
  <c r="Q22" i="4"/>
  <c r="R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S37" i="4" s="1"/>
  <c r="O37" i="4"/>
  <c r="P37" i="4"/>
  <c r="Q37" i="4"/>
  <c r="R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B40" i="4"/>
  <c r="C40" i="4"/>
  <c r="D40" i="4"/>
  <c r="E40" i="4"/>
  <c r="F40" i="4"/>
  <c r="G40" i="4"/>
  <c r="H40" i="4"/>
  <c r="I40" i="4"/>
  <c r="J40" i="4"/>
  <c r="K40" i="4"/>
  <c r="L40" i="4"/>
  <c r="M40" i="4"/>
  <c r="S40" i="4" s="1"/>
  <c r="N40" i="4"/>
  <c r="O40" i="4"/>
  <c r="P40" i="4"/>
  <c r="Q40" i="4"/>
  <c r="R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S48" i="4" s="1"/>
  <c r="R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S51" i="4" s="1"/>
  <c r="P51" i="4"/>
  <c r="Q51" i="4"/>
  <c r="R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 s="1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B65" i="4"/>
  <c r="C65" i="4"/>
  <c r="D65" i="4"/>
  <c r="E65" i="4"/>
  <c r="F65" i="4"/>
  <c r="G65" i="4"/>
  <c r="H65" i="4"/>
  <c r="I65" i="4"/>
  <c r="J65" i="4"/>
  <c r="K65" i="4"/>
  <c r="L65" i="4"/>
  <c r="S65" i="4" s="1"/>
  <c r="M65" i="4"/>
  <c r="N65" i="4"/>
  <c r="O65" i="4"/>
  <c r="P65" i="4"/>
  <c r="Q65" i="4"/>
  <c r="R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B84" i="4"/>
  <c r="C84" i="4"/>
  <c r="D84" i="4"/>
  <c r="E84" i="4"/>
  <c r="F84" i="4"/>
  <c r="G84" i="4"/>
  <c r="S84" i="4" s="1"/>
  <c r="H84" i="4"/>
  <c r="I84" i="4"/>
  <c r="J84" i="4"/>
  <c r="K84" i="4"/>
  <c r="L84" i="4"/>
  <c r="M84" i="4"/>
  <c r="N84" i="4"/>
  <c r="O84" i="4"/>
  <c r="P84" i="4"/>
  <c r="Q84" i="4"/>
  <c r="R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B91" i="4"/>
  <c r="S91" i="4" s="1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B95" i="4"/>
  <c r="C95" i="4"/>
  <c r="D95" i="4"/>
  <c r="E95" i="4"/>
  <c r="F95" i="4"/>
  <c r="G95" i="4"/>
  <c r="S95" i="4" s="1"/>
  <c r="H95" i="4"/>
  <c r="I95" i="4"/>
  <c r="J95" i="4"/>
  <c r="K95" i="4"/>
  <c r="L95" i="4"/>
  <c r="M95" i="4"/>
  <c r="N95" i="4"/>
  <c r="O95" i="4"/>
  <c r="P95" i="4"/>
  <c r="Q95" i="4"/>
  <c r="R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S99" i="4" s="1"/>
  <c r="P99" i="4"/>
  <c r="Q99" i="4"/>
  <c r="R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B103" i="4"/>
  <c r="C103" i="4"/>
  <c r="D103" i="4"/>
  <c r="E103" i="4"/>
  <c r="F103" i="4"/>
  <c r="G103" i="4"/>
  <c r="H103" i="4"/>
  <c r="S103" i="4" s="1"/>
  <c r="I103" i="4"/>
  <c r="J103" i="4"/>
  <c r="K103" i="4"/>
  <c r="L103" i="4"/>
  <c r="M103" i="4"/>
  <c r="N103" i="4"/>
  <c r="O103" i="4"/>
  <c r="P103" i="4"/>
  <c r="Q103" i="4"/>
  <c r="R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B109" i="4"/>
  <c r="C109" i="4"/>
  <c r="D109" i="4"/>
  <c r="E109" i="4"/>
  <c r="F109" i="4"/>
  <c r="S109" i="4" s="1"/>
  <c r="G109" i="4"/>
  <c r="H109" i="4"/>
  <c r="I109" i="4"/>
  <c r="J109" i="4"/>
  <c r="K109" i="4"/>
  <c r="L109" i="4"/>
  <c r="M109" i="4"/>
  <c r="N109" i="4"/>
  <c r="O109" i="4"/>
  <c r="P109" i="4"/>
  <c r="Q109" i="4"/>
  <c r="R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L12" i="9"/>
  <c r="O12" i="9" s="1"/>
  <c r="T12" i="9"/>
  <c r="L15" i="9"/>
  <c r="T15" i="9"/>
  <c r="T25" i="9"/>
  <c r="C12" i="11"/>
  <c r="L8" i="9"/>
  <c r="O8" i="9" s="1"/>
  <c r="L9" i="9"/>
  <c r="O9" i="9"/>
  <c r="L10" i="9"/>
  <c r="O10" i="9" s="1"/>
  <c r="L11" i="9"/>
  <c r="O11" i="9"/>
  <c r="L13" i="9"/>
  <c r="O13" i="9" s="1"/>
  <c r="L14" i="9"/>
  <c r="O14" i="9" s="1"/>
  <c r="O15" i="9"/>
  <c r="L16" i="9"/>
  <c r="O16" i="9"/>
  <c r="L17" i="9"/>
  <c r="O17" i="9" s="1"/>
  <c r="L18" i="9"/>
  <c r="O18" i="9"/>
  <c r="L19" i="9"/>
  <c r="O19" i="9"/>
  <c r="L20" i="9"/>
  <c r="O20" i="9"/>
  <c r="L21" i="9"/>
  <c r="O21" i="9"/>
  <c r="L22" i="9"/>
  <c r="O22" i="9"/>
  <c r="L23" i="9"/>
  <c r="O23" i="9"/>
  <c r="L24" i="9"/>
  <c r="O24" i="9"/>
  <c r="O25" i="9"/>
  <c r="C11" i="11"/>
  <c r="AF13" i="1"/>
  <c r="B12" i="3"/>
  <c r="AG13" i="1"/>
  <c r="C12" i="3" s="1"/>
  <c r="AH13" i="1"/>
  <c r="D12" i="3"/>
  <c r="AI13" i="1"/>
  <c r="E12" i="3"/>
  <c r="AJ13" i="1"/>
  <c r="F12" i="3"/>
  <c r="AK13" i="1"/>
  <c r="G12" i="3" s="1"/>
  <c r="AL13" i="1"/>
  <c r="H12" i="3" s="1"/>
  <c r="AM13" i="1"/>
  <c r="I12" i="3" s="1"/>
  <c r="AN13" i="1"/>
  <c r="J12" i="3"/>
  <c r="AO13" i="1"/>
  <c r="K12" i="3" s="1"/>
  <c r="AP13" i="1"/>
  <c r="L12" i="3"/>
  <c r="AQ13" i="1"/>
  <c r="M12" i="3"/>
  <c r="AR13" i="1"/>
  <c r="N12" i="3"/>
  <c r="AS13" i="1"/>
  <c r="O12" i="3"/>
  <c r="AT13" i="1"/>
  <c r="P12" i="3"/>
  <c r="AU13" i="1"/>
  <c r="Q12" i="3" s="1"/>
  <c r="AV13" i="1"/>
  <c r="R12" i="3"/>
  <c r="AF14" i="1"/>
  <c r="B13" i="3" s="1"/>
  <c r="AG14" i="1"/>
  <c r="C13" i="3"/>
  <c r="AH14" i="1"/>
  <c r="D13" i="3"/>
  <c r="AI14" i="1"/>
  <c r="E13" i="3"/>
  <c r="AJ14" i="1"/>
  <c r="F13" i="3"/>
  <c r="AK14" i="1"/>
  <c r="G13" i="3" s="1"/>
  <c r="AL14" i="1"/>
  <c r="H13" i="3" s="1"/>
  <c r="AM14" i="1"/>
  <c r="I13" i="3"/>
  <c r="AN14" i="1"/>
  <c r="J13" i="3"/>
  <c r="AO14" i="1"/>
  <c r="AP14" i="1"/>
  <c r="L13" i="3"/>
  <c r="AQ14" i="1"/>
  <c r="AR14" i="1"/>
  <c r="N13" i="3"/>
  <c r="AS14" i="1"/>
  <c r="O13" i="3" s="1"/>
  <c r="AT14" i="1"/>
  <c r="P13" i="3"/>
  <c r="AU14" i="1"/>
  <c r="Q13" i="3"/>
  <c r="AV14" i="1"/>
  <c r="AF15" i="1"/>
  <c r="B14" i="3"/>
  <c r="AG15" i="1"/>
  <c r="C14" i="3"/>
  <c r="AH15" i="1"/>
  <c r="D14" i="3"/>
  <c r="AI15" i="1"/>
  <c r="AJ15" i="1"/>
  <c r="F14" i="3"/>
  <c r="AK15" i="1"/>
  <c r="G14" i="3"/>
  <c r="AL15" i="1"/>
  <c r="H14" i="3"/>
  <c r="AM15" i="1"/>
  <c r="I14" i="3"/>
  <c r="AN15" i="1"/>
  <c r="J14" i="3"/>
  <c r="AO15" i="1"/>
  <c r="K14" i="3"/>
  <c r="AP15" i="1"/>
  <c r="L14" i="3" s="1"/>
  <c r="AQ15" i="1"/>
  <c r="M14" i="3"/>
  <c r="AR15" i="1"/>
  <c r="N14" i="3" s="1"/>
  <c r="AS15" i="1"/>
  <c r="O14" i="3"/>
  <c r="AT15" i="1"/>
  <c r="P14" i="3"/>
  <c r="AU15" i="1"/>
  <c r="Q14" i="3"/>
  <c r="AV15" i="1"/>
  <c r="R14" i="3"/>
  <c r="AF16" i="1"/>
  <c r="B15" i="3" s="1"/>
  <c r="AG16" i="1"/>
  <c r="C15" i="3" s="1"/>
  <c r="AH16" i="1"/>
  <c r="D15" i="3"/>
  <c r="AI16" i="1"/>
  <c r="E15" i="3"/>
  <c r="AJ16" i="1"/>
  <c r="F15" i="3"/>
  <c r="AK16" i="1"/>
  <c r="G15" i="3"/>
  <c r="AL16" i="1"/>
  <c r="H15" i="3"/>
  <c r="AM16" i="1"/>
  <c r="I15" i="3" s="1"/>
  <c r="AN16" i="1"/>
  <c r="J15" i="3"/>
  <c r="AO16" i="1"/>
  <c r="K15" i="3"/>
  <c r="AP16" i="1"/>
  <c r="L15" i="3" s="1"/>
  <c r="AQ16" i="1"/>
  <c r="M15" i="3"/>
  <c r="AR16" i="1"/>
  <c r="N15" i="3" s="1"/>
  <c r="AS16" i="1"/>
  <c r="O15" i="3"/>
  <c r="AT16" i="1"/>
  <c r="P15" i="3"/>
  <c r="AU16" i="1"/>
  <c r="Q15" i="3" s="1"/>
  <c r="AV16" i="1"/>
  <c r="R15" i="3"/>
  <c r="AF17" i="1"/>
  <c r="B16" i="3"/>
  <c r="AG17" i="1"/>
  <c r="C16" i="3"/>
  <c r="AH17" i="1"/>
  <c r="D16" i="3" s="1"/>
  <c r="AI17" i="1"/>
  <c r="E16" i="3"/>
  <c r="AJ17" i="1"/>
  <c r="F16" i="3"/>
  <c r="AK17" i="1"/>
  <c r="G16" i="3"/>
  <c r="AL17" i="1"/>
  <c r="H16" i="3" s="1"/>
  <c r="AM17" i="1"/>
  <c r="I16" i="3"/>
  <c r="AN17" i="1"/>
  <c r="J16" i="3" s="1"/>
  <c r="AO17" i="1"/>
  <c r="K16" i="3" s="1"/>
  <c r="AP17" i="1"/>
  <c r="L16" i="3"/>
  <c r="AQ17" i="1"/>
  <c r="M16" i="3"/>
  <c r="AR17" i="1"/>
  <c r="N16" i="3" s="1"/>
  <c r="AS17" i="1"/>
  <c r="O16" i="3" s="1"/>
  <c r="AT17" i="1"/>
  <c r="P16" i="3" s="1"/>
  <c r="AU17" i="1"/>
  <c r="Q16" i="3" s="1"/>
  <c r="AV17" i="1"/>
  <c r="R16" i="3" s="1"/>
  <c r="S16" i="3"/>
  <c r="AF18" i="1"/>
  <c r="B17" i="3"/>
  <c r="AG18" i="1"/>
  <c r="C17" i="3" s="1"/>
  <c r="AH18" i="1"/>
  <c r="D17" i="3"/>
  <c r="AI18" i="1"/>
  <c r="E17" i="3"/>
  <c r="AJ18" i="1"/>
  <c r="F17" i="3"/>
  <c r="AK18" i="1"/>
  <c r="G17" i="3"/>
  <c r="AL18" i="1"/>
  <c r="H17" i="3"/>
  <c r="AM18" i="1"/>
  <c r="I17" i="3"/>
  <c r="AN18" i="1"/>
  <c r="J17" i="3"/>
  <c r="AO18" i="1"/>
  <c r="K17" i="3"/>
  <c r="AP18" i="1"/>
  <c r="L17" i="3" s="1"/>
  <c r="AQ18" i="1"/>
  <c r="M17" i="3"/>
  <c r="AR18" i="1"/>
  <c r="N17" i="3"/>
  <c r="AS18" i="1"/>
  <c r="O17" i="3"/>
  <c r="AT18" i="1"/>
  <c r="P17" i="3"/>
  <c r="AU18" i="1"/>
  <c r="Q17" i="3" s="1"/>
  <c r="AV18" i="1"/>
  <c r="R17" i="3"/>
  <c r="AF19" i="1"/>
  <c r="B18" i="3"/>
  <c r="AG19" i="1"/>
  <c r="C18" i="3"/>
  <c r="AH19" i="1"/>
  <c r="D18" i="3" s="1"/>
  <c r="AI19" i="1"/>
  <c r="E18" i="3"/>
  <c r="AJ19" i="1"/>
  <c r="F18" i="3"/>
  <c r="AK19" i="1"/>
  <c r="G18" i="3"/>
  <c r="AL19" i="1"/>
  <c r="H18" i="3" s="1"/>
  <c r="AM19" i="1"/>
  <c r="I18" i="3"/>
  <c r="AN19" i="1"/>
  <c r="J18" i="3"/>
  <c r="AO19" i="1"/>
  <c r="K18" i="3"/>
  <c r="AP19" i="1"/>
  <c r="L18" i="3"/>
  <c r="AQ19" i="1"/>
  <c r="M18" i="3"/>
  <c r="AR19" i="1"/>
  <c r="N18" i="3"/>
  <c r="AS19" i="1"/>
  <c r="O18" i="3"/>
  <c r="AT19" i="1"/>
  <c r="P18" i="3"/>
  <c r="AU19" i="1"/>
  <c r="Q18" i="3"/>
  <c r="AV19" i="1"/>
  <c r="R18" i="3" s="1"/>
  <c r="AF20" i="1"/>
  <c r="B19" i="3"/>
  <c r="AG20" i="1"/>
  <c r="C19" i="3"/>
  <c r="AH20" i="1"/>
  <c r="D19" i="3"/>
  <c r="AI20" i="1"/>
  <c r="E19" i="3"/>
  <c r="AJ20" i="1"/>
  <c r="F19" i="3"/>
  <c r="AK20" i="1"/>
  <c r="G19" i="3"/>
  <c r="AL20" i="1"/>
  <c r="H19" i="3" s="1"/>
  <c r="AM20" i="1"/>
  <c r="I19" i="3" s="1"/>
  <c r="AN20" i="1"/>
  <c r="J19" i="3"/>
  <c r="AO20" i="1"/>
  <c r="K19" i="3"/>
  <c r="AP20" i="1"/>
  <c r="L19" i="3"/>
  <c r="AQ20" i="1"/>
  <c r="M19" i="3"/>
  <c r="AR20" i="1"/>
  <c r="N19" i="3" s="1"/>
  <c r="AS20" i="1"/>
  <c r="O19" i="3"/>
  <c r="AT20" i="1"/>
  <c r="P19" i="3" s="1"/>
  <c r="AU20" i="1"/>
  <c r="Q19" i="3"/>
  <c r="AV20" i="1"/>
  <c r="R19" i="3" s="1"/>
  <c r="AF21" i="1"/>
  <c r="B20" i="3"/>
  <c r="AG21" i="1"/>
  <c r="C20" i="3"/>
  <c r="AH21" i="1"/>
  <c r="D20" i="3"/>
  <c r="AI21" i="1"/>
  <c r="E20" i="3" s="1"/>
  <c r="AJ21" i="1"/>
  <c r="F20" i="3"/>
  <c r="AK21" i="1"/>
  <c r="G20" i="3"/>
  <c r="AL21" i="1"/>
  <c r="H20" i="3"/>
  <c r="AM21" i="1"/>
  <c r="I20" i="3"/>
  <c r="AN21" i="1"/>
  <c r="J20" i="3" s="1"/>
  <c r="AO21" i="1"/>
  <c r="K20" i="3" s="1"/>
  <c r="AP21" i="1"/>
  <c r="L20" i="3" s="1"/>
  <c r="AQ21" i="1"/>
  <c r="M20" i="3" s="1"/>
  <c r="AR21" i="1"/>
  <c r="N20" i="3"/>
  <c r="AS21" i="1"/>
  <c r="O20" i="3"/>
  <c r="AT21" i="1"/>
  <c r="P20" i="3" s="1"/>
  <c r="AU21" i="1"/>
  <c r="Q20" i="3" s="1"/>
  <c r="AV21" i="1"/>
  <c r="R20" i="3"/>
  <c r="AF22" i="1"/>
  <c r="B21" i="3"/>
  <c r="AG22" i="1"/>
  <c r="C21" i="3"/>
  <c r="AH22" i="1"/>
  <c r="D21" i="3" s="1"/>
  <c r="AI22" i="1"/>
  <c r="E21" i="3"/>
  <c r="AJ22" i="1"/>
  <c r="F21" i="3"/>
  <c r="AK22" i="1"/>
  <c r="G21" i="3"/>
  <c r="AL22" i="1"/>
  <c r="H21" i="3"/>
  <c r="AM22" i="1"/>
  <c r="I21" i="3"/>
  <c r="AN22" i="1"/>
  <c r="J21" i="3" s="1"/>
  <c r="AO22" i="1"/>
  <c r="K21" i="3"/>
  <c r="AP22" i="1"/>
  <c r="L21" i="3"/>
  <c r="AQ22" i="1"/>
  <c r="M21" i="3"/>
  <c r="AR22" i="1"/>
  <c r="N21" i="3"/>
  <c r="AS22" i="1"/>
  <c r="O21" i="3"/>
  <c r="AT22" i="1"/>
  <c r="P21" i="3" s="1"/>
  <c r="AU22" i="1"/>
  <c r="Q21" i="3"/>
  <c r="AV22" i="1"/>
  <c r="R21" i="3"/>
  <c r="S21" i="3"/>
  <c r="AF23" i="1"/>
  <c r="B22" i="3" s="1"/>
  <c r="S22" i="3" s="1"/>
  <c r="AG23" i="1"/>
  <c r="C22" i="3"/>
  <c r="AH23" i="1"/>
  <c r="D22" i="3"/>
  <c r="AI23" i="1"/>
  <c r="E22" i="3"/>
  <c r="AJ23" i="1"/>
  <c r="F22" i="3"/>
  <c r="AK23" i="1"/>
  <c r="G22" i="3"/>
  <c r="AL23" i="1"/>
  <c r="H22" i="3"/>
  <c r="AM23" i="1"/>
  <c r="I22" i="3"/>
  <c r="AN23" i="1"/>
  <c r="J22" i="3"/>
  <c r="AO23" i="1"/>
  <c r="K22" i="3"/>
  <c r="AP23" i="1"/>
  <c r="L22" i="3" s="1"/>
  <c r="AQ23" i="1"/>
  <c r="M22" i="3" s="1"/>
  <c r="AR23" i="1"/>
  <c r="N22" i="3"/>
  <c r="AS23" i="1"/>
  <c r="O22" i="3"/>
  <c r="AT23" i="1"/>
  <c r="P22" i="3" s="1"/>
  <c r="AU23" i="1"/>
  <c r="Q22" i="3"/>
  <c r="AV23" i="1"/>
  <c r="R22" i="3"/>
  <c r="AF24" i="1"/>
  <c r="B23" i="3"/>
  <c r="AG24" i="1"/>
  <c r="C23" i="3"/>
  <c r="AH24" i="1"/>
  <c r="D23" i="3"/>
  <c r="AI24" i="1"/>
  <c r="E23" i="3"/>
  <c r="AJ24" i="1"/>
  <c r="F23" i="3"/>
  <c r="AK24" i="1"/>
  <c r="G23" i="3"/>
  <c r="AL24" i="1"/>
  <c r="H23" i="3"/>
  <c r="AM24" i="1"/>
  <c r="I23" i="3"/>
  <c r="AN24" i="1"/>
  <c r="J23" i="3"/>
  <c r="AO24" i="1"/>
  <c r="K23" i="3"/>
  <c r="AP24" i="1"/>
  <c r="L23" i="3"/>
  <c r="AQ24" i="1"/>
  <c r="M23" i="3"/>
  <c r="AR24" i="1"/>
  <c r="N23" i="3" s="1"/>
  <c r="AS24" i="1"/>
  <c r="O23" i="3"/>
  <c r="AT24" i="1"/>
  <c r="P23" i="3" s="1"/>
  <c r="AU24" i="1"/>
  <c r="Q23" i="3"/>
  <c r="AV24" i="1"/>
  <c r="R23" i="3"/>
  <c r="AF25" i="1"/>
  <c r="B24" i="3"/>
  <c r="AG25" i="1"/>
  <c r="C24" i="3" s="1"/>
  <c r="AH25" i="1"/>
  <c r="D24" i="3"/>
  <c r="AI25" i="1"/>
  <c r="E24" i="3" s="1"/>
  <c r="AJ25" i="1"/>
  <c r="F24" i="3" s="1"/>
  <c r="AK25" i="1"/>
  <c r="G24" i="3" s="1"/>
  <c r="AL25" i="1"/>
  <c r="H24" i="3" s="1"/>
  <c r="AM25" i="1"/>
  <c r="I24" i="3"/>
  <c r="AN25" i="1"/>
  <c r="J24" i="3"/>
  <c r="AO25" i="1"/>
  <c r="K24" i="3" s="1"/>
  <c r="AP25" i="1"/>
  <c r="L24" i="3"/>
  <c r="AQ25" i="1"/>
  <c r="M24" i="3"/>
  <c r="AR25" i="1"/>
  <c r="N24" i="3"/>
  <c r="AS25" i="1"/>
  <c r="O24" i="3"/>
  <c r="AT25" i="1"/>
  <c r="P24" i="3"/>
  <c r="AU25" i="1"/>
  <c r="Q24" i="3" s="1"/>
  <c r="AV25" i="1"/>
  <c r="R24" i="3"/>
  <c r="AF26" i="1"/>
  <c r="B25" i="3"/>
  <c r="AG26" i="1"/>
  <c r="AW26" i="1" s="1"/>
  <c r="G26" i="1" s="1"/>
  <c r="C25" i="3"/>
  <c r="AH26" i="1"/>
  <c r="D25" i="3"/>
  <c r="AI26" i="1"/>
  <c r="E25" i="3"/>
  <c r="AJ26" i="1"/>
  <c r="F25" i="3"/>
  <c r="AK26" i="1"/>
  <c r="G25" i="3"/>
  <c r="AL26" i="1"/>
  <c r="H25" i="3"/>
  <c r="AM26" i="1"/>
  <c r="I25" i="3"/>
  <c r="AN26" i="1"/>
  <c r="J25" i="3"/>
  <c r="AO26" i="1"/>
  <c r="K25" i="3"/>
  <c r="AP26" i="1"/>
  <c r="L25" i="3"/>
  <c r="AQ26" i="1"/>
  <c r="M25" i="3" s="1"/>
  <c r="AR26" i="1"/>
  <c r="N25" i="3"/>
  <c r="AS26" i="1"/>
  <c r="O25" i="3"/>
  <c r="AT26" i="1"/>
  <c r="P25" i="3"/>
  <c r="AU26" i="1"/>
  <c r="Q25" i="3"/>
  <c r="AV26" i="1"/>
  <c r="R25" i="3" s="1"/>
  <c r="AF27" i="1"/>
  <c r="B26" i="3"/>
  <c r="AG27" i="1"/>
  <c r="C26" i="3"/>
  <c r="AH27" i="1"/>
  <c r="D26" i="3"/>
  <c r="AI27" i="1"/>
  <c r="E26" i="3"/>
  <c r="AJ27" i="1"/>
  <c r="F26" i="3"/>
  <c r="AK27" i="1"/>
  <c r="G26" i="3"/>
  <c r="AL27" i="1"/>
  <c r="H26" i="3" s="1"/>
  <c r="AM27" i="1"/>
  <c r="I26" i="3"/>
  <c r="AN27" i="1"/>
  <c r="J26" i="3" s="1"/>
  <c r="AO27" i="1"/>
  <c r="K26" i="3"/>
  <c r="AP27" i="1"/>
  <c r="L26" i="3" s="1"/>
  <c r="AQ27" i="1"/>
  <c r="M26" i="3" s="1"/>
  <c r="AR27" i="1"/>
  <c r="N26" i="3"/>
  <c r="AS27" i="1"/>
  <c r="O26" i="3" s="1"/>
  <c r="AT27" i="1"/>
  <c r="P26" i="3"/>
  <c r="AU27" i="1"/>
  <c r="Q26" i="3"/>
  <c r="AV27" i="1"/>
  <c r="R26" i="3"/>
  <c r="S26" i="3"/>
  <c r="AF28" i="1"/>
  <c r="AG28" i="1"/>
  <c r="C27" i="3"/>
  <c r="AH28" i="1"/>
  <c r="D27" i="3"/>
  <c r="AI28" i="1"/>
  <c r="E27" i="3"/>
  <c r="AJ28" i="1"/>
  <c r="F27" i="3"/>
  <c r="AK28" i="1"/>
  <c r="G27" i="3"/>
  <c r="AL28" i="1"/>
  <c r="H27" i="3"/>
  <c r="AM28" i="1"/>
  <c r="I27" i="3"/>
  <c r="AN28" i="1"/>
  <c r="J27" i="3" s="1"/>
  <c r="AO28" i="1"/>
  <c r="K27" i="3"/>
  <c r="AP28" i="1"/>
  <c r="L27" i="3" s="1"/>
  <c r="AQ28" i="1"/>
  <c r="M27" i="3"/>
  <c r="AR28" i="1"/>
  <c r="N27" i="3"/>
  <c r="AS28" i="1"/>
  <c r="O27" i="3"/>
  <c r="AT28" i="1"/>
  <c r="P27" i="3"/>
  <c r="AU28" i="1"/>
  <c r="Q27" i="3"/>
  <c r="AV28" i="1"/>
  <c r="R27" i="3"/>
  <c r="AF29" i="1"/>
  <c r="B28" i="3"/>
  <c r="AG29" i="1"/>
  <c r="C28" i="3" s="1"/>
  <c r="AH29" i="1"/>
  <c r="D28" i="3"/>
  <c r="AI29" i="1"/>
  <c r="E28" i="3"/>
  <c r="AJ29" i="1"/>
  <c r="F28" i="3" s="1"/>
  <c r="AK29" i="1"/>
  <c r="G28" i="3" s="1"/>
  <c r="AL29" i="1"/>
  <c r="H28" i="3"/>
  <c r="AM29" i="1"/>
  <c r="I28" i="3" s="1"/>
  <c r="AN29" i="1"/>
  <c r="J28" i="3"/>
  <c r="AO29" i="1"/>
  <c r="K28" i="3"/>
  <c r="AP29" i="1"/>
  <c r="L28" i="3"/>
  <c r="AQ29" i="1"/>
  <c r="M28" i="3"/>
  <c r="AR29" i="1"/>
  <c r="N28" i="3"/>
  <c r="AS29" i="1"/>
  <c r="O28" i="3" s="1"/>
  <c r="AT29" i="1"/>
  <c r="P28" i="3"/>
  <c r="AU29" i="1"/>
  <c r="Q28" i="3"/>
  <c r="AV29" i="1"/>
  <c r="R28" i="3"/>
  <c r="AF30" i="1"/>
  <c r="B29" i="3"/>
  <c r="AG30" i="1"/>
  <c r="C29" i="3"/>
  <c r="AH30" i="1"/>
  <c r="D29" i="3"/>
  <c r="AI30" i="1"/>
  <c r="E29" i="3"/>
  <c r="AJ30" i="1"/>
  <c r="F29" i="3"/>
  <c r="AK30" i="1"/>
  <c r="G29" i="3" s="1"/>
  <c r="AL30" i="1"/>
  <c r="H29" i="3"/>
  <c r="AM30" i="1"/>
  <c r="I29" i="3"/>
  <c r="AN30" i="1"/>
  <c r="J29" i="3"/>
  <c r="AO30" i="1"/>
  <c r="K29" i="3" s="1"/>
  <c r="AP30" i="1"/>
  <c r="L29" i="3"/>
  <c r="AQ30" i="1"/>
  <c r="M29" i="3"/>
  <c r="AR30" i="1"/>
  <c r="N29" i="3"/>
  <c r="AS30" i="1"/>
  <c r="O29" i="3" s="1"/>
  <c r="AT30" i="1"/>
  <c r="P29" i="3" s="1"/>
  <c r="AU30" i="1"/>
  <c r="Q29" i="3"/>
  <c r="AV30" i="1"/>
  <c r="R29" i="3" s="1"/>
  <c r="AF31" i="1"/>
  <c r="B30" i="3"/>
  <c r="AG31" i="1"/>
  <c r="C30" i="3" s="1"/>
  <c r="AH31" i="1"/>
  <c r="D30" i="3"/>
  <c r="AI31" i="1"/>
  <c r="E30" i="3"/>
  <c r="AJ31" i="1"/>
  <c r="F30" i="3"/>
  <c r="AK31" i="1"/>
  <c r="G30" i="3"/>
  <c r="AL31" i="1"/>
  <c r="H30" i="3"/>
  <c r="AM31" i="1"/>
  <c r="I30" i="3"/>
  <c r="AN31" i="1"/>
  <c r="J30" i="3"/>
  <c r="AO31" i="1"/>
  <c r="K30" i="3"/>
  <c r="AP31" i="1"/>
  <c r="L30" i="3" s="1"/>
  <c r="AQ31" i="1"/>
  <c r="M30" i="3"/>
  <c r="AR31" i="1"/>
  <c r="N30" i="3"/>
  <c r="AS31" i="1"/>
  <c r="O30" i="3" s="1"/>
  <c r="AT31" i="1"/>
  <c r="P30" i="3"/>
  <c r="AU31" i="1"/>
  <c r="Q30" i="3"/>
  <c r="AV31" i="1"/>
  <c r="R30" i="3"/>
  <c r="AF32" i="1"/>
  <c r="B31" i="3"/>
  <c r="AG32" i="1"/>
  <c r="C31" i="3"/>
  <c r="AH32" i="1"/>
  <c r="D31" i="3" s="1"/>
  <c r="AI32" i="1"/>
  <c r="E31" i="3"/>
  <c r="AJ32" i="1"/>
  <c r="F31" i="3"/>
  <c r="AK32" i="1"/>
  <c r="G31" i="3"/>
  <c r="AL32" i="1"/>
  <c r="H31" i="3"/>
  <c r="AM32" i="1"/>
  <c r="I31" i="3"/>
  <c r="AN32" i="1"/>
  <c r="J31" i="3"/>
  <c r="AO32" i="1"/>
  <c r="K31" i="3" s="1"/>
  <c r="AP32" i="1"/>
  <c r="L31" i="3"/>
  <c r="AQ32" i="1"/>
  <c r="M31" i="3"/>
  <c r="AR32" i="1"/>
  <c r="N31" i="3"/>
  <c r="AS32" i="1"/>
  <c r="O31" i="3"/>
  <c r="AT32" i="1"/>
  <c r="P31" i="3"/>
  <c r="AU32" i="1"/>
  <c r="Q31" i="3"/>
  <c r="AV32" i="1"/>
  <c r="R31" i="3" s="1"/>
  <c r="AF33" i="1"/>
  <c r="B32" i="3"/>
  <c r="AG33" i="1"/>
  <c r="C32" i="3" s="1"/>
  <c r="AH33" i="1"/>
  <c r="D32" i="3" s="1"/>
  <c r="AI33" i="1"/>
  <c r="E32" i="3"/>
  <c r="AJ33" i="1"/>
  <c r="F32" i="3"/>
  <c r="AK33" i="1"/>
  <c r="G32" i="3"/>
  <c r="AL33" i="1"/>
  <c r="H32" i="3" s="1"/>
  <c r="AM33" i="1"/>
  <c r="I32" i="3" s="1"/>
  <c r="AN33" i="1"/>
  <c r="J32" i="3"/>
  <c r="AO33" i="1"/>
  <c r="K32" i="3" s="1"/>
  <c r="AP33" i="1"/>
  <c r="L32" i="3" s="1"/>
  <c r="AQ33" i="1"/>
  <c r="M32" i="3"/>
  <c r="AR33" i="1"/>
  <c r="N32" i="3" s="1"/>
  <c r="AS33" i="1"/>
  <c r="O32" i="3"/>
  <c r="AT33" i="1"/>
  <c r="P32" i="3"/>
  <c r="AU33" i="1"/>
  <c r="Q32" i="3"/>
  <c r="AV33" i="1"/>
  <c r="R32" i="3"/>
  <c r="AF34" i="1"/>
  <c r="B33" i="3"/>
  <c r="AG34" i="1"/>
  <c r="C33" i="3"/>
  <c r="AH34" i="1"/>
  <c r="D33" i="3" s="1"/>
  <c r="AI34" i="1"/>
  <c r="E33" i="3"/>
  <c r="AJ34" i="1"/>
  <c r="F33" i="3"/>
  <c r="AK34" i="1"/>
  <c r="G33" i="3"/>
  <c r="AL34" i="1"/>
  <c r="H33" i="3"/>
  <c r="AM34" i="1"/>
  <c r="I33" i="3" s="1"/>
  <c r="AN34" i="1"/>
  <c r="J33" i="3" s="1"/>
  <c r="AO34" i="1"/>
  <c r="K33" i="3" s="1"/>
  <c r="AP34" i="1"/>
  <c r="L33" i="3" s="1"/>
  <c r="AQ34" i="1"/>
  <c r="M33" i="3"/>
  <c r="AR34" i="1"/>
  <c r="N33" i="3"/>
  <c r="AS34" i="1"/>
  <c r="O33" i="3" s="1"/>
  <c r="AT34" i="1"/>
  <c r="P33" i="3" s="1"/>
  <c r="AU34" i="1"/>
  <c r="Q33" i="3"/>
  <c r="AV34" i="1"/>
  <c r="R33" i="3"/>
  <c r="S33" i="3"/>
  <c r="AF35" i="1"/>
  <c r="B34" i="3"/>
  <c r="AG35" i="1"/>
  <c r="C34" i="3"/>
  <c r="AH35" i="1"/>
  <c r="D34" i="3"/>
  <c r="AI35" i="1"/>
  <c r="E34" i="3"/>
  <c r="AJ35" i="1"/>
  <c r="F34" i="3"/>
  <c r="AK35" i="1"/>
  <c r="G34" i="3" s="1"/>
  <c r="AL35" i="1"/>
  <c r="H34" i="3"/>
  <c r="AM35" i="1"/>
  <c r="I34" i="3"/>
  <c r="AN35" i="1"/>
  <c r="AO35" i="1"/>
  <c r="K34" i="3"/>
  <c r="AP35" i="1"/>
  <c r="L34" i="3" s="1"/>
  <c r="AQ35" i="1"/>
  <c r="M34" i="3" s="1"/>
  <c r="AR35" i="1"/>
  <c r="N34" i="3"/>
  <c r="AS35" i="1"/>
  <c r="O34" i="3" s="1"/>
  <c r="AT35" i="1"/>
  <c r="P34" i="3" s="1"/>
  <c r="AU35" i="1"/>
  <c r="Q34" i="3"/>
  <c r="AV35" i="1"/>
  <c r="R34" i="3"/>
  <c r="AF36" i="1"/>
  <c r="B35" i="3" s="1"/>
  <c r="S35" i="3" s="1"/>
  <c r="AG36" i="1"/>
  <c r="C35" i="3"/>
  <c r="AH36" i="1"/>
  <c r="D35" i="3"/>
  <c r="AI36" i="1"/>
  <c r="E35" i="3"/>
  <c r="AJ36" i="1"/>
  <c r="F35" i="3"/>
  <c r="AK36" i="1"/>
  <c r="AW36" i="1" s="1"/>
  <c r="G35" i="3"/>
  <c r="AL36" i="1"/>
  <c r="H35" i="3"/>
  <c r="AM36" i="1"/>
  <c r="I35" i="3"/>
  <c r="AN36" i="1"/>
  <c r="J35" i="3"/>
  <c r="AO36" i="1"/>
  <c r="K35" i="3"/>
  <c r="AP36" i="1"/>
  <c r="L35" i="3"/>
  <c r="AQ36" i="1"/>
  <c r="M35" i="3" s="1"/>
  <c r="AR36" i="1"/>
  <c r="N35" i="3"/>
  <c r="AS36" i="1"/>
  <c r="O35" i="3"/>
  <c r="AT36" i="1"/>
  <c r="P35" i="3"/>
  <c r="AU36" i="1"/>
  <c r="Q35" i="3"/>
  <c r="AV36" i="1"/>
  <c r="R35" i="3" s="1"/>
  <c r="AF37" i="1"/>
  <c r="AG37" i="1"/>
  <c r="C36" i="3" s="1"/>
  <c r="AH37" i="1"/>
  <c r="D36" i="3"/>
  <c r="AI37" i="1"/>
  <c r="E36" i="3"/>
  <c r="AJ37" i="1"/>
  <c r="F36" i="3"/>
  <c r="AK37" i="1"/>
  <c r="G36" i="3"/>
  <c r="AL37" i="1"/>
  <c r="H36" i="3"/>
  <c r="AM37" i="1"/>
  <c r="I36" i="3"/>
  <c r="AN37" i="1"/>
  <c r="J36" i="3"/>
  <c r="AO37" i="1"/>
  <c r="K36" i="3" s="1"/>
  <c r="AP37" i="1"/>
  <c r="L36" i="3"/>
  <c r="AQ37" i="1"/>
  <c r="M36" i="3" s="1"/>
  <c r="AR37" i="1"/>
  <c r="N36" i="3"/>
  <c r="AS37" i="1"/>
  <c r="O36" i="3"/>
  <c r="AT37" i="1"/>
  <c r="P36" i="3"/>
  <c r="AU37" i="1"/>
  <c r="Q36" i="3"/>
  <c r="AV37" i="1"/>
  <c r="R36" i="3"/>
  <c r="AF38" i="1"/>
  <c r="B37" i="3"/>
  <c r="AG38" i="1"/>
  <c r="C37" i="3"/>
  <c r="AH38" i="1"/>
  <c r="D37" i="3"/>
  <c r="AI38" i="1"/>
  <c r="AJ38" i="1"/>
  <c r="F37" i="3" s="1"/>
  <c r="AK38" i="1"/>
  <c r="G37" i="3"/>
  <c r="AL38" i="1"/>
  <c r="H37" i="3" s="1"/>
  <c r="AM38" i="1"/>
  <c r="I37" i="3"/>
  <c r="AN38" i="1"/>
  <c r="J37" i="3"/>
  <c r="AO38" i="1"/>
  <c r="K37" i="3" s="1"/>
  <c r="AP38" i="1"/>
  <c r="L37" i="3"/>
  <c r="AQ38" i="1"/>
  <c r="M37" i="3" s="1"/>
  <c r="AR38" i="1"/>
  <c r="N37" i="3"/>
  <c r="AS38" i="1"/>
  <c r="O37" i="3"/>
  <c r="AT38" i="1"/>
  <c r="P37" i="3"/>
  <c r="AU38" i="1"/>
  <c r="Q37" i="3"/>
  <c r="AV38" i="1"/>
  <c r="R37" i="3"/>
  <c r="AF39" i="1"/>
  <c r="B38" i="3"/>
  <c r="AG39" i="1"/>
  <c r="C38" i="3" s="1"/>
  <c r="AH39" i="1"/>
  <c r="D38" i="3" s="1"/>
  <c r="AI39" i="1"/>
  <c r="E38" i="3"/>
  <c r="AJ39" i="1"/>
  <c r="F38" i="3"/>
  <c r="AK39" i="1"/>
  <c r="G38" i="3"/>
  <c r="AL39" i="1"/>
  <c r="H38" i="3"/>
  <c r="AM39" i="1"/>
  <c r="I38" i="3"/>
  <c r="AN39" i="1"/>
  <c r="J38" i="3" s="1"/>
  <c r="AO39" i="1"/>
  <c r="K38" i="3"/>
  <c r="AP39" i="1"/>
  <c r="L38" i="3"/>
  <c r="AQ39" i="1"/>
  <c r="M38" i="3"/>
  <c r="AR39" i="1"/>
  <c r="N38" i="3" s="1"/>
  <c r="AS39" i="1"/>
  <c r="O38" i="3"/>
  <c r="AT39" i="1"/>
  <c r="P38" i="3"/>
  <c r="AU39" i="1"/>
  <c r="Q38" i="3"/>
  <c r="AV39" i="1"/>
  <c r="R38" i="3"/>
  <c r="AF40" i="1"/>
  <c r="B39" i="3"/>
  <c r="AG40" i="1"/>
  <c r="C39" i="3"/>
  <c r="AH40" i="1"/>
  <c r="D39" i="3"/>
  <c r="AI40" i="1"/>
  <c r="E39" i="3"/>
  <c r="AJ40" i="1"/>
  <c r="F39" i="3"/>
  <c r="AK40" i="1"/>
  <c r="G39" i="3"/>
  <c r="AL40" i="1"/>
  <c r="H39" i="3" s="1"/>
  <c r="AM40" i="1"/>
  <c r="I39" i="3"/>
  <c r="AN40" i="1"/>
  <c r="J39" i="3"/>
  <c r="AO40" i="1"/>
  <c r="K39" i="3" s="1"/>
  <c r="AP40" i="1"/>
  <c r="L39" i="3"/>
  <c r="AQ40" i="1"/>
  <c r="M39" i="3"/>
  <c r="AR40" i="1"/>
  <c r="N39" i="3"/>
  <c r="AS40" i="1"/>
  <c r="O39" i="3"/>
  <c r="AT40" i="1"/>
  <c r="P39" i="3"/>
  <c r="AU40" i="1"/>
  <c r="Q39" i="3"/>
  <c r="AV40" i="1"/>
  <c r="R39" i="3"/>
  <c r="S39" i="3"/>
  <c r="AF41" i="1"/>
  <c r="B40" i="3"/>
  <c r="AG41" i="1"/>
  <c r="C40" i="3"/>
  <c r="AH41" i="1"/>
  <c r="D40" i="3"/>
  <c r="AI41" i="1"/>
  <c r="E40" i="3"/>
  <c r="AJ41" i="1"/>
  <c r="F40" i="3"/>
  <c r="AK41" i="1"/>
  <c r="G40" i="3" s="1"/>
  <c r="AL41" i="1"/>
  <c r="H40" i="3"/>
  <c r="AM41" i="1"/>
  <c r="I40" i="3" s="1"/>
  <c r="AN41" i="1"/>
  <c r="J40" i="3"/>
  <c r="AO41" i="1"/>
  <c r="K40" i="3" s="1"/>
  <c r="AP41" i="1"/>
  <c r="L40" i="3"/>
  <c r="AQ41" i="1"/>
  <c r="M40" i="3" s="1"/>
  <c r="AR41" i="1"/>
  <c r="N40" i="3"/>
  <c r="AS41" i="1"/>
  <c r="O40" i="3"/>
  <c r="AT41" i="1"/>
  <c r="P40" i="3"/>
  <c r="AU41" i="1"/>
  <c r="Q40" i="3"/>
  <c r="AV41" i="1"/>
  <c r="R40" i="3"/>
  <c r="AF42" i="1"/>
  <c r="B41" i="3"/>
  <c r="AG42" i="1"/>
  <c r="C41" i="3" s="1"/>
  <c r="S41" i="3" s="1"/>
  <c r="AH42" i="1"/>
  <c r="D41" i="3"/>
  <c r="AI42" i="1"/>
  <c r="E41" i="3" s="1"/>
  <c r="AJ42" i="1"/>
  <c r="F41" i="3" s="1"/>
  <c r="AK42" i="1"/>
  <c r="G41" i="3"/>
  <c r="AL42" i="1"/>
  <c r="H41" i="3"/>
  <c r="AM42" i="1"/>
  <c r="I41" i="3"/>
  <c r="AN42" i="1"/>
  <c r="J41" i="3" s="1"/>
  <c r="AO42" i="1"/>
  <c r="K41" i="3"/>
  <c r="AP42" i="1"/>
  <c r="L41" i="3"/>
  <c r="AQ42" i="1"/>
  <c r="M41" i="3"/>
  <c r="AR42" i="1"/>
  <c r="N41" i="3"/>
  <c r="AS42" i="1"/>
  <c r="O41" i="3"/>
  <c r="AT42" i="1"/>
  <c r="P41" i="3"/>
  <c r="AU42" i="1"/>
  <c r="Q41" i="3"/>
  <c r="AV42" i="1"/>
  <c r="R41" i="3"/>
  <c r="AF43" i="1"/>
  <c r="B42" i="3"/>
  <c r="AG43" i="1"/>
  <c r="C42" i="3"/>
  <c r="AH43" i="1"/>
  <c r="D42" i="3" s="1"/>
  <c r="AI43" i="1"/>
  <c r="E42" i="3"/>
  <c r="AJ43" i="1"/>
  <c r="F42" i="3"/>
  <c r="AK43" i="1"/>
  <c r="G42" i="3"/>
  <c r="AL43" i="1"/>
  <c r="H42" i="3" s="1"/>
  <c r="AM43" i="1"/>
  <c r="I42" i="3" s="1"/>
  <c r="AN43" i="1"/>
  <c r="J42" i="3" s="1"/>
  <c r="AO43" i="1"/>
  <c r="K42" i="3" s="1"/>
  <c r="AP43" i="1"/>
  <c r="L42" i="3"/>
  <c r="AQ43" i="1"/>
  <c r="M42" i="3" s="1"/>
  <c r="AR43" i="1"/>
  <c r="N42" i="3"/>
  <c r="AS43" i="1"/>
  <c r="O42" i="3" s="1"/>
  <c r="AT43" i="1"/>
  <c r="P42" i="3" s="1"/>
  <c r="AU43" i="1"/>
  <c r="Q42" i="3"/>
  <c r="AV43" i="1"/>
  <c r="R42" i="3" s="1"/>
  <c r="AF44" i="1"/>
  <c r="B43" i="3"/>
  <c r="AG44" i="1"/>
  <c r="C43" i="3" s="1"/>
  <c r="AH44" i="1"/>
  <c r="D43" i="3"/>
  <c r="AI44" i="1"/>
  <c r="AJ44" i="1"/>
  <c r="F43" i="3"/>
  <c r="AK44" i="1"/>
  <c r="G43" i="3"/>
  <c r="AL44" i="1"/>
  <c r="H43" i="3" s="1"/>
  <c r="AM44" i="1"/>
  <c r="I43" i="3" s="1"/>
  <c r="AN44" i="1"/>
  <c r="J43" i="3"/>
  <c r="AO44" i="1"/>
  <c r="K43" i="3"/>
  <c r="AP44" i="1"/>
  <c r="L43" i="3"/>
  <c r="AQ44" i="1"/>
  <c r="M43" i="3"/>
  <c r="AR44" i="1"/>
  <c r="N43" i="3" s="1"/>
  <c r="AS44" i="1"/>
  <c r="O43" i="3"/>
  <c r="AT44" i="1"/>
  <c r="P43" i="3"/>
  <c r="AU44" i="1"/>
  <c r="Q43" i="3"/>
  <c r="AV44" i="1"/>
  <c r="R43" i="3" s="1"/>
  <c r="AF45" i="1"/>
  <c r="B44" i="3"/>
  <c r="AG45" i="1"/>
  <c r="C44" i="3"/>
  <c r="AH45" i="1"/>
  <c r="D44" i="3"/>
  <c r="AI45" i="1"/>
  <c r="E44" i="3"/>
  <c r="AJ45" i="1"/>
  <c r="F44" i="3"/>
  <c r="AK45" i="1"/>
  <c r="G44" i="3"/>
  <c r="AL45" i="1"/>
  <c r="H44" i="3"/>
  <c r="AM45" i="1"/>
  <c r="I44" i="3"/>
  <c r="AN45" i="1"/>
  <c r="J44" i="3"/>
  <c r="AO45" i="1"/>
  <c r="K44" i="3"/>
  <c r="AP45" i="1"/>
  <c r="L44" i="3" s="1"/>
  <c r="AQ45" i="1"/>
  <c r="M44" i="3" s="1"/>
  <c r="AR45" i="1"/>
  <c r="N44" i="3" s="1"/>
  <c r="AS45" i="1"/>
  <c r="O44" i="3"/>
  <c r="AT45" i="1"/>
  <c r="P44" i="3" s="1"/>
  <c r="AU45" i="1"/>
  <c r="Q44" i="3" s="1"/>
  <c r="AV45" i="1"/>
  <c r="R44" i="3" s="1"/>
  <c r="AF46" i="1"/>
  <c r="B45" i="3"/>
  <c r="AG46" i="1"/>
  <c r="C45" i="3"/>
  <c r="AH46" i="1"/>
  <c r="AI46" i="1"/>
  <c r="E45" i="3" s="1"/>
  <c r="AJ46" i="1"/>
  <c r="F45" i="3"/>
  <c r="AK46" i="1"/>
  <c r="G45" i="3"/>
  <c r="AL46" i="1"/>
  <c r="H45" i="3"/>
  <c r="AM46" i="1"/>
  <c r="I45" i="3"/>
  <c r="AN46" i="1"/>
  <c r="J45" i="3"/>
  <c r="AO46" i="1"/>
  <c r="K45" i="3" s="1"/>
  <c r="AP46" i="1"/>
  <c r="L45" i="3" s="1"/>
  <c r="AQ46" i="1"/>
  <c r="M45" i="3" s="1"/>
  <c r="AR46" i="1"/>
  <c r="N45" i="3" s="1"/>
  <c r="AS46" i="1"/>
  <c r="O45" i="3" s="1"/>
  <c r="AT46" i="1"/>
  <c r="P45" i="3"/>
  <c r="AU46" i="1"/>
  <c r="Q45" i="3"/>
  <c r="AV46" i="1"/>
  <c r="R45" i="3"/>
  <c r="AF47" i="1"/>
  <c r="AW47" i="1" s="1"/>
  <c r="G47" i="1" s="1"/>
  <c r="B46" i="3"/>
  <c r="AG47" i="1"/>
  <c r="C46" i="3"/>
  <c r="AH47" i="1"/>
  <c r="D46" i="3"/>
  <c r="AI47" i="1"/>
  <c r="E46" i="3"/>
  <c r="AJ47" i="1"/>
  <c r="F46" i="3"/>
  <c r="AK47" i="1"/>
  <c r="G46" i="3"/>
  <c r="AL47" i="1"/>
  <c r="H46" i="3"/>
  <c r="AM47" i="1"/>
  <c r="I46" i="3"/>
  <c r="AN47" i="1"/>
  <c r="J46" i="3"/>
  <c r="AO47" i="1"/>
  <c r="K46" i="3"/>
  <c r="AP47" i="1"/>
  <c r="L46" i="3"/>
  <c r="AQ47" i="1"/>
  <c r="M46" i="3"/>
  <c r="AR47" i="1"/>
  <c r="N46" i="3"/>
  <c r="AS47" i="1"/>
  <c r="O46" i="3" s="1"/>
  <c r="AT47" i="1"/>
  <c r="P46" i="3" s="1"/>
  <c r="AU47" i="1"/>
  <c r="Q46" i="3"/>
  <c r="AV47" i="1"/>
  <c r="R46" i="3"/>
  <c r="AF48" i="1"/>
  <c r="B47" i="3"/>
  <c r="AG48" i="1"/>
  <c r="AH48" i="1"/>
  <c r="D47" i="3"/>
  <c r="AI48" i="1"/>
  <c r="E47" i="3"/>
  <c r="AJ48" i="1"/>
  <c r="F47" i="3"/>
  <c r="AK48" i="1"/>
  <c r="G47" i="3"/>
  <c r="AL48" i="1"/>
  <c r="H47" i="3"/>
  <c r="AM48" i="1"/>
  <c r="I47" i="3"/>
  <c r="AN48" i="1"/>
  <c r="J47" i="3"/>
  <c r="AO48" i="1"/>
  <c r="K47" i="3" s="1"/>
  <c r="AP48" i="1"/>
  <c r="L47" i="3" s="1"/>
  <c r="AQ48" i="1"/>
  <c r="M47" i="3"/>
  <c r="AR48" i="1"/>
  <c r="N47" i="3"/>
  <c r="AS48" i="1"/>
  <c r="O47" i="3"/>
  <c r="AT48" i="1"/>
  <c r="P47" i="3"/>
  <c r="AU48" i="1"/>
  <c r="Q47" i="3" s="1"/>
  <c r="AV48" i="1"/>
  <c r="R47" i="3"/>
  <c r="AF49" i="1"/>
  <c r="AW49" i="1" s="1"/>
  <c r="G49" i="1" s="1"/>
  <c r="B48" i="3"/>
  <c r="AG49" i="1"/>
  <c r="C48" i="3"/>
  <c r="AH49" i="1"/>
  <c r="D48" i="3"/>
  <c r="AI49" i="1"/>
  <c r="E48" i="3"/>
  <c r="AJ49" i="1"/>
  <c r="F48" i="3"/>
  <c r="AK49" i="1"/>
  <c r="G48" i="3"/>
  <c r="AL49" i="1"/>
  <c r="H48" i="3" s="1"/>
  <c r="AM49" i="1"/>
  <c r="I48" i="3" s="1"/>
  <c r="AN49" i="1"/>
  <c r="J48" i="3"/>
  <c r="AO49" i="1"/>
  <c r="K48" i="3"/>
  <c r="AP49" i="1"/>
  <c r="L48" i="3" s="1"/>
  <c r="AQ49" i="1"/>
  <c r="M48" i="3" s="1"/>
  <c r="AR49" i="1"/>
  <c r="N48" i="3" s="1"/>
  <c r="AS49" i="1"/>
  <c r="O48" i="3"/>
  <c r="AT49" i="1"/>
  <c r="P48" i="3"/>
  <c r="AU49" i="1"/>
  <c r="Q48" i="3"/>
  <c r="AV49" i="1"/>
  <c r="R48" i="3"/>
  <c r="AF50" i="1"/>
  <c r="B49" i="3" s="1"/>
  <c r="AG50" i="1"/>
  <c r="C49" i="3"/>
  <c r="AH50" i="1"/>
  <c r="D49" i="3"/>
  <c r="AI50" i="1"/>
  <c r="E49" i="3"/>
  <c r="AJ50" i="1"/>
  <c r="F49" i="3"/>
  <c r="AK50" i="1"/>
  <c r="G49" i="3"/>
  <c r="AL50" i="1"/>
  <c r="H49" i="3"/>
  <c r="AM50" i="1"/>
  <c r="I49" i="3" s="1"/>
  <c r="AN50" i="1"/>
  <c r="J49" i="3"/>
  <c r="AO50" i="1"/>
  <c r="K49" i="3"/>
  <c r="AP50" i="1"/>
  <c r="L49" i="3"/>
  <c r="AQ50" i="1"/>
  <c r="M49" i="3"/>
  <c r="AR50" i="1"/>
  <c r="N49" i="3"/>
  <c r="AS50" i="1"/>
  <c r="O49" i="3"/>
  <c r="AT50" i="1"/>
  <c r="P49" i="3"/>
  <c r="AU50" i="1"/>
  <c r="Q49" i="3"/>
  <c r="AV50" i="1"/>
  <c r="R49" i="3" s="1"/>
  <c r="AF51" i="1"/>
  <c r="B50" i="3"/>
  <c r="AG51" i="1"/>
  <c r="AW51" i="1" s="1"/>
  <c r="G51" i="1" s="1"/>
  <c r="C50" i="3"/>
  <c r="AH51" i="1"/>
  <c r="D50" i="3"/>
  <c r="AI51" i="1"/>
  <c r="E50" i="3"/>
  <c r="AJ51" i="1"/>
  <c r="F50" i="3"/>
  <c r="AK51" i="1"/>
  <c r="G50" i="3"/>
  <c r="AL51" i="1"/>
  <c r="H50" i="3"/>
  <c r="AM51" i="1"/>
  <c r="I50" i="3"/>
  <c r="AN51" i="1"/>
  <c r="J50" i="3"/>
  <c r="AO51" i="1"/>
  <c r="K50" i="3" s="1"/>
  <c r="AP51" i="1"/>
  <c r="L50" i="3"/>
  <c r="AQ51" i="1"/>
  <c r="M50" i="3"/>
  <c r="AR51" i="1"/>
  <c r="N50" i="3"/>
  <c r="AS51" i="1"/>
  <c r="O50" i="3"/>
  <c r="AT51" i="1"/>
  <c r="P50" i="3"/>
  <c r="AU51" i="1"/>
  <c r="Q50" i="3"/>
  <c r="AV51" i="1"/>
  <c r="R50" i="3" s="1"/>
  <c r="AF52" i="1"/>
  <c r="B51" i="3"/>
  <c r="AG52" i="1"/>
  <c r="C51" i="3" s="1"/>
  <c r="AH52" i="1"/>
  <c r="D51" i="3"/>
  <c r="AI52" i="1"/>
  <c r="E51" i="3"/>
  <c r="AJ52" i="1"/>
  <c r="F51" i="3" s="1"/>
  <c r="AK52" i="1"/>
  <c r="G51" i="3"/>
  <c r="AL52" i="1"/>
  <c r="H51" i="3"/>
  <c r="AM52" i="1"/>
  <c r="I51" i="3"/>
  <c r="AN52" i="1"/>
  <c r="J51" i="3"/>
  <c r="AO52" i="1"/>
  <c r="K51" i="3"/>
  <c r="AP52" i="1"/>
  <c r="L51" i="3" s="1"/>
  <c r="AQ52" i="1"/>
  <c r="M51" i="3" s="1"/>
  <c r="AR52" i="1"/>
  <c r="N51" i="3" s="1"/>
  <c r="AS52" i="1"/>
  <c r="O51" i="3" s="1"/>
  <c r="AT52" i="1"/>
  <c r="P51" i="3"/>
  <c r="AU52" i="1"/>
  <c r="Q51" i="3"/>
  <c r="AV52" i="1"/>
  <c r="R51" i="3"/>
  <c r="AF53" i="1"/>
  <c r="B52" i="3"/>
  <c r="AG53" i="1"/>
  <c r="C52" i="3" s="1"/>
  <c r="AH53" i="1"/>
  <c r="D52" i="3" s="1"/>
  <c r="AI53" i="1"/>
  <c r="E52" i="3" s="1"/>
  <c r="AJ53" i="1"/>
  <c r="F52" i="3" s="1"/>
  <c r="AK53" i="1"/>
  <c r="G52" i="3"/>
  <c r="AL53" i="1"/>
  <c r="H52" i="3"/>
  <c r="AM53" i="1"/>
  <c r="I52" i="3" s="1"/>
  <c r="AN53" i="1"/>
  <c r="J52" i="3"/>
  <c r="AO53" i="1"/>
  <c r="K52" i="3" s="1"/>
  <c r="AP53" i="1"/>
  <c r="L52" i="3" s="1"/>
  <c r="AQ53" i="1"/>
  <c r="M52" i="3"/>
  <c r="AR53" i="1"/>
  <c r="N52" i="3"/>
  <c r="AS53" i="1"/>
  <c r="O52" i="3"/>
  <c r="AT53" i="1"/>
  <c r="P52" i="3" s="1"/>
  <c r="AU53" i="1"/>
  <c r="Q52" i="3"/>
  <c r="AV53" i="1"/>
  <c r="R52" i="3" s="1"/>
  <c r="AF54" i="1"/>
  <c r="B53" i="3"/>
  <c r="AG54" i="1"/>
  <c r="C53" i="3" s="1"/>
  <c r="AH54" i="1"/>
  <c r="D53" i="3"/>
  <c r="AI54" i="1"/>
  <c r="E53" i="3" s="1"/>
  <c r="AJ54" i="1"/>
  <c r="F53" i="3"/>
  <c r="AK54" i="1"/>
  <c r="G53" i="3"/>
  <c r="AL54" i="1"/>
  <c r="H53" i="3"/>
  <c r="AM54" i="1"/>
  <c r="I53" i="3"/>
  <c r="AN54" i="1"/>
  <c r="J53" i="3"/>
  <c r="AO54" i="1"/>
  <c r="K53" i="3"/>
  <c r="AP54" i="1"/>
  <c r="L53" i="3" s="1"/>
  <c r="AQ54" i="1"/>
  <c r="M53" i="3"/>
  <c r="AR54" i="1"/>
  <c r="N53" i="3"/>
  <c r="AS54" i="1"/>
  <c r="O53" i="3" s="1"/>
  <c r="AT54" i="1"/>
  <c r="P53" i="3" s="1"/>
  <c r="AU54" i="1"/>
  <c r="Q53" i="3" s="1"/>
  <c r="AV54" i="1"/>
  <c r="R53" i="3" s="1"/>
  <c r="AF55" i="1"/>
  <c r="B54" i="3"/>
  <c r="AG55" i="1"/>
  <c r="C54" i="3"/>
  <c r="AH55" i="1"/>
  <c r="D54" i="3"/>
  <c r="AI55" i="1"/>
  <c r="E54" i="3"/>
  <c r="AJ55" i="1"/>
  <c r="F54" i="3" s="1"/>
  <c r="AK55" i="1"/>
  <c r="G54" i="3"/>
  <c r="AL55" i="1"/>
  <c r="H54" i="3"/>
  <c r="AM55" i="1"/>
  <c r="AW55" i="1" s="1"/>
  <c r="G55" i="1" s="1"/>
  <c r="I54" i="3"/>
  <c r="AN55" i="1"/>
  <c r="J54" i="3"/>
  <c r="AO55" i="1"/>
  <c r="K54" i="3"/>
  <c r="AP55" i="1"/>
  <c r="L54" i="3"/>
  <c r="AQ55" i="1"/>
  <c r="M54" i="3"/>
  <c r="AR55" i="1"/>
  <c r="N54" i="3"/>
  <c r="AS55" i="1"/>
  <c r="O54" i="3"/>
  <c r="AT55" i="1"/>
  <c r="P54" i="3"/>
  <c r="AU55" i="1"/>
  <c r="Q54" i="3" s="1"/>
  <c r="AV55" i="1"/>
  <c r="R54" i="3" s="1"/>
  <c r="AF56" i="1"/>
  <c r="B55" i="3"/>
  <c r="AG56" i="1"/>
  <c r="C55" i="3"/>
  <c r="AH56" i="1"/>
  <c r="D55" i="3" s="1"/>
  <c r="AI56" i="1"/>
  <c r="E55" i="3" s="1"/>
  <c r="AJ56" i="1"/>
  <c r="F55" i="3"/>
  <c r="AK56" i="1"/>
  <c r="G55" i="3"/>
  <c r="AL56" i="1"/>
  <c r="H55" i="3"/>
  <c r="AM56" i="1"/>
  <c r="I55" i="3"/>
  <c r="AN56" i="1"/>
  <c r="J55" i="3"/>
  <c r="AO56" i="1"/>
  <c r="K55" i="3"/>
  <c r="AP56" i="1"/>
  <c r="L55" i="3"/>
  <c r="AQ56" i="1"/>
  <c r="M55" i="3"/>
  <c r="AR56" i="1"/>
  <c r="N55" i="3"/>
  <c r="AS56" i="1"/>
  <c r="O55" i="3"/>
  <c r="AT56" i="1"/>
  <c r="P55" i="3"/>
  <c r="AU56" i="1"/>
  <c r="Q55" i="3"/>
  <c r="AV56" i="1"/>
  <c r="R55" i="3"/>
  <c r="AF57" i="1"/>
  <c r="B56" i="3" s="1"/>
  <c r="AG57" i="1"/>
  <c r="C56" i="3" s="1"/>
  <c r="AH57" i="1"/>
  <c r="D56" i="3" s="1"/>
  <c r="AI57" i="1"/>
  <c r="E56" i="3" s="1"/>
  <c r="AJ57" i="1"/>
  <c r="F56" i="3"/>
  <c r="AK57" i="1"/>
  <c r="G56" i="3"/>
  <c r="AL57" i="1"/>
  <c r="H56" i="3"/>
  <c r="AM57" i="1"/>
  <c r="I56" i="3"/>
  <c r="AN57" i="1"/>
  <c r="J56" i="3" s="1"/>
  <c r="AO57" i="1"/>
  <c r="K56" i="3" s="1"/>
  <c r="AP57" i="1"/>
  <c r="L56" i="3"/>
  <c r="AQ57" i="1"/>
  <c r="M56" i="3"/>
  <c r="AR57" i="1"/>
  <c r="N56" i="3"/>
  <c r="AS57" i="1"/>
  <c r="O56" i="3" s="1"/>
  <c r="AT57" i="1"/>
  <c r="P56" i="3" s="1"/>
  <c r="AU57" i="1"/>
  <c r="Q56" i="3"/>
  <c r="AV57" i="1"/>
  <c r="R56" i="3"/>
  <c r="AF58" i="1"/>
  <c r="B57" i="3"/>
  <c r="AG58" i="1"/>
  <c r="C57" i="3"/>
  <c r="AH58" i="1"/>
  <c r="D57" i="3"/>
  <c r="AI58" i="1"/>
  <c r="E57" i="3"/>
  <c r="AJ58" i="1"/>
  <c r="F57" i="3"/>
  <c r="AK58" i="1"/>
  <c r="G57" i="3" s="1"/>
  <c r="AL58" i="1"/>
  <c r="H57" i="3"/>
  <c r="AM58" i="1"/>
  <c r="I57" i="3" s="1"/>
  <c r="AN58" i="1"/>
  <c r="J57" i="3" s="1"/>
  <c r="AO58" i="1"/>
  <c r="K57" i="3"/>
  <c r="AP58" i="1"/>
  <c r="L57" i="3"/>
  <c r="AQ58" i="1"/>
  <c r="M57" i="3" s="1"/>
  <c r="AR58" i="1"/>
  <c r="N57" i="3" s="1"/>
  <c r="AS58" i="1"/>
  <c r="O57" i="3"/>
  <c r="AT58" i="1"/>
  <c r="P57" i="3" s="1"/>
  <c r="AU58" i="1"/>
  <c r="Q57" i="3"/>
  <c r="AV58" i="1"/>
  <c r="R57" i="3"/>
  <c r="AF59" i="1"/>
  <c r="B58" i="3"/>
  <c r="AG59" i="1"/>
  <c r="C58" i="3" s="1"/>
  <c r="AH59" i="1"/>
  <c r="D58" i="3" s="1"/>
  <c r="AI59" i="1"/>
  <c r="E58" i="3"/>
  <c r="AJ59" i="1"/>
  <c r="F58" i="3"/>
  <c r="AK59" i="1"/>
  <c r="G58" i="3"/>
  <c r="AL59" i="1"/>
  <c r="H58" i="3"/>
  <c r="AM59" i="1"/>
  <c r="I58" i="3"/>
  <c r="AN59" i="1"/>
  <c r="J58" i="3"/>
  <c r="AO59" i="1"/>
  <c r="K58" i="3"/>
  <c r="AP59" i="1"/>
  <c r="L58" i="3" s="1"/>
  <c r="AQ59" i="1"/>
  <c r="M58" i="3"/>
  <c r="AR59" i="1"/>
  <c r="N58" i="3"/>
  <c r="AS59" i="1"/>
  <c r="O58" i="3" s="1"/>
  <c r="AT59" i="1"/>
  <c r="P58" i="3"/>
  <c r="AU59" i="1"/>
  <c r="Q58" i="3"/>
  <c r="AV59" i="1"/>
  <c r="R58" i="3"/>
  <c r="AF60" i="1"/>
  <c r="B59" i="3" s="1"/>
  <c r="AG60" i="1"/>
  <c r="C59" i="3"/>
  <c r="AH60" i="1"/>
  <c r="D59" i="3"/>
  <c r="AI60" i="1"/>
  <c r="E59" i="3"/>
  <c r="AJ60" i="1"/>
  <c r="F59" i="3"/>
  <c r="AK60" i="1"/>
  <c r="G59" i="3"/>
  <c r="AL60" i="1"/>
  <c r="H59" i="3"/>
  <c r="AM60" i="1"/>
  <c r="I59" i="3"/>
  <c r="AN60" i="1"/>
  <c r="J59" i="3"/>
  <c r="AO60" i="1"/>
  <c r="K59" i="3"/>
  <c r="AP60" i="1"/>
  <c r="L59" i="3"/>
  <c r="AQ60" i="1"/>
  <c r="M59" i="3"/>
  <c r="AR60" i="1"/>
  <c r="N59" i="3"/>
  <c r="AS60" i="1"/>
  <c r="O59" i="3" s="1"/>
  <c r="S59" i="3" s="1"/>
  <c r="AT60" i="1"/>
  <c r="P59" i="3" s="1"/>
  <c r="AU60" i="1"/>
  <c r="Q59" i="3"/>
  <c r="AV60" i="1"/>
  <c r="R59" i="3"/>
  <c r="AF61" i="1"/>
  <c r="B60" i="3"/>
  <c r="AG61" i="1"/>
  <c r="C60" i="3"/>
  <c r="AH61" i="1"/>
  <c r="D60" i="3"/>
  <c r="AI61" i="1"/>
  <c r="E60" i="3"/>
  <c r="AJ61" i="1"/>
  <c r="F60" i="3"/>
  <c r="AK61" i="1"/>
  <c r="G60" i="3" s="1"/>
  <c r="AL61" i="1"/>
  <c r="H60" i="3"/>
  <c r="AM61" i="1"/>
  <c r="I60" i="3" s="1"/>
  <c r="AN61" i="1"/>
  <c r="J60" i="3"/>
  <c r="AO61" i="1"/>
  <c r="K60" i="3"/>
  <c r="AP61" i="1"/>
  <c r="L60" i="3"/>
  <c r="AQ61" i="1"/>
  <c r="M60" i="3" s="1"/>
  <c r="AR61" i="1"/>
  <c r="N60" i="3"/>
  <c r="AS61" i="1"/>
  <c r="O60" i="3"/>
  <c r="AT61" i="1"/>
  <c r="P60" i="3"/>
  <c r="AU61" i="1"/>
  <c r="Q60" i="3"/>
  <c r="AV61" i="1"/>
  <c r="R60" i="3"/>
  <c r="AF62" i="1"/>
  <c r="B61" i="3"/>
  <c r="AG62" i="1"/>
  <c r="C61" i="3"/>
  <c r="AH62" i="1"/>
  <c r="D61" i="3"/>
  <c r="AI62" i="1"/>
  <c r="E61" i="3"/>
  <c r="AJ62" i="1"/>
  <c r="F61" i="3"/>
  <c r="AK62" i="1"/>
  <c r="G61" i="3"/>
  <c r="AL62" i="1"/>
  <c r="H61" i="3" s="1"/>
  <c r="AM62" i="1"/>
  <c r="I61" i="3" s="1"/>
  <c r="AN62" i="1"/>
  <c r="J61" i="3"/>
  <c r="AO62" i="1"/>
  <c r="K61" i="3" s="1"/>
  <c r="AP62" i="1"/>
  <c r="L61" i="3"/>
  <c r="AQ62" i="1"/>
  <c r="M61" i="3"/>
  <c r="AR62" i="1"/>
  <c r="N61" i="3"/>
  <c r="AS62" i="1"/>
  <c r="O61" i="3"/>
  <c r="AT62" i="1"/>
  <c r="P61" i="3" s="1"/>
  <c r="S61" i="3" s="1"/>
  <c r="AU62" i="1"/>
  <c r="Q61" i="3"/>
  <c r="AV62" i="1"/>
  <c r="R61" i="3"/>
  <c r="AF63" i="1"/>
  <c r="B62" i="3"/>
  <c r="AG63" i="1"/>
  <c r="C62" i="3"/>
  <c r="AH63" i="1"/>
  <c r="D62" i="3"/>
  <c r="AI63" i="1"/>
  <c r="E62" i="3"/>
  <c r="AJ63" i="1"/>
  <c r="F62" i="3" s="1"/>
  <c r="AK63" i="1"/>
  <c r="G62" i="3" s="1"/>
  <c r="AL63" i="1"/>
  <c r="H62" i="3" s="1"/>
  <c r="AM63" i="1"/>
  <c r="I62" i="3"/>
  <c r="AN63" i="1"/>
  <c r="J62" i="3"/>
  <c r="AO63" i="1"/>
  <c r="K62" i="3"/>
  <c r="AP63" i="1"/>
  <c r="L62" i="3" s="1"/>
  <c r="AQ63" i="1"/>
  <c r="M62" i="3"/>
  <c r="AR63" i="1"/>
  <c r="N62" i="3"/>
  <c r="AS63" i="1"/>
  <c r="O62" i="3"/>
  <c r="AT63" i="1"/>
  <c r="P62" i="3" s="1"/>
  <c r="AU63" i="1"/>
  <c r="Q62" i="3"/>
  <c r="AV63" i="1"/>
  <c r="R62" i="3"/>
  <c r="AF64" i="1"/>
  <c r="B63" i="3"/>
  <c r="AG64" i="1"/>
  <c r="C63" i="3"/>
  <c r="AH64" i="1"/>
  <c r="D63" i="3"/>
  <c r="AI64" i="1"/>
  <c r="E63" i="3"/>
  <c r="AJ64" i="1"/>
  <c r="F63" i="3"/>
  <c r="AK64" i="1"/>
  <c r="G63" i="3"/>
  <c r="AL64" i="1"/>
  <c r="H63" i="3"/>
  <c r="AM64" i="1"/>
  <c r="I63" i="3"/>
  <c r="AN64" i="1"/>
  <c r="J63" i="3"/>
  <c r="AO64" i="1"/>
  <c r="K63" i="3" s="1"/>
  <c r="AP64" i="1"/>
  <c r="L63" i="3"/>
  <c r="AQ64" i="1"/>
  <c r="M63" i="3"/>
  <c r="AR64" i="1"/>
  <c r="N63" i="3"/>
  <c r="AS64" i="1"/>
  <c r="O63" i="3"/>
  <c r="AT64" i="1"/>
  <c r="P63" i="3"/>
  <c r="S63" i="3" s="1"/>
  <c r="AU64" i="1"/>
  <c r="Q63" i="3"/>
  <c r="AV64" i="1"/>
  <c r="R63" i="3"/>
  <c r="AF65" i="1"/>
  <c r="AG65" i="1"/>
  <c r="C64" i="3" s="1"/>
  <c r="AH65" i="1"/>
  <c r="D64" i="3"/>
  <c r="AI65" i="1"/>
  <c r="E64" i="3"/>
  <c r="AJ65" i="1"/>
  <c r="F64" i="3"/>
  <c r="AK65" i="1"/>
  <c r="G64" i="3"/>
  <c r="AL65" i="1"/>
  <c r="H64" i="3" s="1"/>
  <c r="AM65" i="1"/>
  <c r="I64" i="3"/>
  <c r="AN65" i="1"/>
  <c r="J64" i="3" s="1"/>
  <c r="AO65" i="1"/>
  <c r="K64" i="3"/>
  <c r="AP65" i="1"/>
  <c r="L64" i="3"/>
  <c r="AQ65" i="1"/>
  <c r="M64" i="3"/>
  <c r="AR65" i="1"/>
  <c r="N64" i="3" s="1"/>
  <c r="AS65" i="1"/>
  <c r="O64" i="3" s="1"/>
  <c r="AT65" i="1"/>
  <c r="P64" i="3"/>
  <c r="AU65" i="1"/>
  <c r="Q64" i="3" s="1"/>
  <c r="AV65" i="1"/>
  <c r="R64" i="3"/>
  <c r="AF66" i="1"/>
  <c r="B65" i="3"/>
  <c r="AG66" i="1"/>
  <c r="C65" i="3" s="1"/>
  <c r="AH66" i="1"/>
  <c r="D65" i="3" s="1"/>
  <c r="AI66" i="1"/>
  <c r="E65" i="3" s="1"/>
  <c r="AJ66" i="1"/>
  <c r="F65" i="3" s="1"/>
  <c r="AK66" i="1"/>
  <c r="G65" i="3"/>
  <c r="AL66" i="1"/>
  <c r="H65" i="3"/>
  <c r="AM66" i="1"/>
  <c r="I65" i="3" s="1"/>
  <c r="AN66" i="1"/>
  <c r="J65" i="3"/>
  <c r="AO66" i="1"/>
  <c r="K65" i="3"/>
  <c r="AP66" i="1"/>
  <c r="L65" i="3"/>
  <c r="AQ66" i="1"/>
  <c r="M65" i="3" s="1"/>
  <c r="AR66" i="1"/>
  <c r="N65" i="3"/>
  <c r="AS66" i="1"/>
  <c r="O65" i="3"/>
  <c r="AT66" i="1"/>
  <c r="P65" i="3" s="1"/>
  <c r="S65" i="3" s="1"/>
  <c r="AU66" i="1"/>
  <c r="Q65" i="3" s="1"/>
  <c r="AV66" i="1"/>
  <c r="R65" i="3"/>
  <c r="AF67" i="1"/>
  <c r="B66" i="3"/>
  <c r="AG67" i="1"/>
  <c r="C66" i="3"/>
  <c r="AH67" i="1"/>
  <c r="D66" i="3" s="1"/>
  <c r="AI67" i="1"/>
  <c r="E66" i="3" s="1"/>
  <c r="AJ67" i="1"/>
  <c r="F66" i="3"/>
  <c r="AK67" i="1"/>
  <c r="G66" i="3"/>
  <c r="AL67" i="1"/>
  <c r="H66" i="3"/>
  <c r="AM67" i="1"/>
  <c r="I66" i="3" s="1"/>
  <c r="AN67" i="1"/>
  <c r="J66" i="3"/>
  <c r="AO67" i="1"/>
  <c r="K66" i="3"/>
  <c r="AP67" i="1"/>
  <c r="L66" i="3"/>
  <c r="AQ67" i="1"/>
  <c r="M66" i="3"/>
  <c r="AR67" i="1"/>
  <c r="N66" i="3"/>
  <c r="AS67" i="1"/>
  <c r="O66" i="3"/>
  <c r="AT67" i="1"/>
  <c r="P66" i="3" s="1"/>
  <c r="AU67" i="1"/>
  <c r="Q66" i="3"/>
  <c r="AV67" i="1"/>
  <c r="R66" i="3" s="1"/>
  <c r="AF68" i="1"/>
  <c r="B67" i="3"/>
  <c r="AG68" i="1"/>
  <c r="C67" i="3"/>
  <c r="AH68" i="1"/>
  <c r="D67" i="3"/>
  <c r="AI68" i="1"/>
  <c r="E67" i="3"/>
  <c r="AJ68" i="1"/>
  <c r="F67" i="3"/>
  <c r="AK68" i="1"/>
  <c r="G67" i="3"/>
  <c r="AL68" i="1"/>
  <c r="H67" i="3"/>
  <c r="AM68" i="1"/>
  <c r="I67" i="3"/>
  <c r="AN68" i="1"/>
  <c r="J67" i="3"/>
  <c r="AO68" i="1"/>
  <c r="K67" i="3"/>
  <c r="AP68" i="1"/>
  <c r="L67" i="3"/>
  <c r="AQ68" i="1"/>
  <c r="M67" i="3"/>
  <c r="AR68" i="1"/>
  <c r="N67" i="3" s="1"/>
  <c r="AS68" i="1"/>
  <c r="O67" i="3"/>
  <c r="AT68" i="1"/>
  <c r="P67" i="3"/>
  <c r="AU68" i="1"/>
  <c r="Q67" i="3" s="1"/>
  <c r="AV68" i="1"/>
  <c r="R67" i="3" s="1"/>
  <c r="AF69" i="1"/>
  <c r="B68" i="3"/>
  <c r="AG69" i="1"/>
  <c r="C68" i="3"/>
  <c r="AH69" i="1"/>
  <c r="D68" i="3"/>
  <c r="AI69" i="1"/>
  <c r="E68" i="3"/>
  <c r="AJ69" i="1"/>
  <c r="F68" i="3" s="1"/>
  <c r="AK69" i="1"/>
  <c r="G68" i="3" s="1"/>
  <c r="AL69" i="1"/>
  <c r="H68" i="3" s="1"/>
  <c r="AM69" i="1"/>
  <c r="I68" i="3"/>
  <c r="AN69" i="1"/>
  <c r="J68" i="3"/>
  <c r="AO69" i="1"/>
  <c r="K68" i="3"/>
  <c r="AP69" i="1"/>
  <c r="L68" i="3" s="1"/>
  <c r="AQ69" i="1"/>
  <c r="M68" i="3" s="1"/>
  <c r="AR69" i="1"/>
  <c r="N68" i="3" s="1"/>
  <c r="AS69" i="1"/>
  <c r="O68" i="3" s="1"/>
  <c r="AT69" i="1"/>
  <c r="P68" i="3"/>
  <c r="AU69" i="1"/>
  <c r="Q68" i="3"/>
  <c r="AV69" i="1"/>
  <c r="R68" i="3"/>
  <c r="AF70" i="1"/>
  <c r="B69" i="3"/>
  <c r="AG70" i="1"/>
  <c r="C69" i="3"/>
  <c r="AH70" i="1"/>
  <c r="D69" i="3"/>
  <c r="AI70" i="1"/>
  <c r="E69" i="3"/>
  <c r="AJ70" i="1"/>
  <c r="F69" i="3"/>
  <c r="AK70" i="1"/>
  <c r="G69" i="3"/>
  <c r="AL70" i="1"/>
  <c r="H69" i="3"/>
  <c r="AM70" i="1"/>
  <c r="I69" i="3"/>
  <c r="AN70" i="1"/>
  <c r="J69" i="3" s="1"/>
  <c r="AO70" i="1"/>
  <c r="K69" i="3" s="1"/>
  <c r="AP70" i="1"/>
  <c r="L69" i="3"/>
  <c r="AQ70" i="1"/>
  <c r="M69" i="3"/>
  <c r="AR70" i="1"/>
  <c r="AS70" i="1"/>
  <c r="O69" i="3"/>
  <c r="AT70" i="1"/>
  <c r="P69" i="3"/>
  <c r="AU70" i="1"/>
  <c r="Q69" i="3"/>
  <c r="AV70" i="1"/>
  <c r="R69" i="3" s="1"/>
  <c r="AF71" i="1"/>
  <c r="B70" i="3"/>
  <c r="AG71" i="1"/>
  <c r="C70" i="3"/>
  <c r="AH71" i="1"/>
  <c r="D70" i="3"/>
  <c r="AI71" i="1"/>
  <c r="E70" i="3"/>
  <c r="AJ71" i="1"/>
  <c r="F70" i="3" s="1"/>
  <c r="AK71" i="1"/>
  <c r="G70" i="3"/>
  <c r="AL71" i="1"/>
  <c r="H70" i="3"/>
  <c r="AM71" i="1"/>
  <c r="I70" i="3"/>
  <c r="AN71" i="1"/>
  <c r="J70" i="3" s="1"/>
  <c r="AO71" i="1"/>
  <c r="K70" i="3" s="1"/>
  <c r="AP71" i="1"/>
  <c r="L70" i="3" s="1"/>
  <c r="AQ71" i="1"/>
  <c r="M70" i="3" s="1"/>
  <c r="AR71" i="1"/>
  <c r="N70" i="3" s="1"/>
  <c r="AS71" i="1"/>
  <c r="O70" i="3" s="1"/>
  <c r="AT71" i="1"/>
  <c r="P70" i="3" s="1"/>
  <c r="AU71" i="1"/>
  <c r="Q70" i="3"/>
  <c r="AV71" i="1"/>
  <c r="R70" i="3" s="1"/>
  <c r="AF72" i="1"/>
  <c r="B71" i="3"/>
  <c r="AG72" i="1"/>
  <c r="C71" i="3" s="1"/>
  <c r="AH72" i="1"/>
  <c r="D71" i="3"/>
  <c r="AI72" i="1"/>
  <c r="E71" i="3"/>
  <c r="AJ72" i="1"/>
  <c r="F71" i="3"/>
  <c r="AK72" i="1"/>
  <c r="G71" i="3" s="1"/>
  <c r="AL72" i="1"/>
  <c r="H71" i="3" s="1"/>
  <c r="AM72" i="1"/>
  <c r="I71" i="3"/>
  <c r="AN72" i="1"/>
  <c r="J71" i="3"/>
  <c r="AO72" i="1"/>
  <c r="K71" i="3"/>
  <c r="AP72" i="1"/>
  <c r="L71" i="3"/>
  <c r="AQ72" i="1"/>
  <c r="M71" i="3"/>
  <c r="AR72" i="1"/>
  <c r="N71" i="3" s="1"/>
  <c r="AS72" i="1"/>
  <c r="O71" i="3"/>
  <c r="AT72" i="1"/>
  <c r="P71" i="3"/>
  <c r="AU72" i="1"/>
  <c r="Q71" i="3"/>
  <c r="AV72" i="1"/>
  <c r="R71" i="3"/>
  <c r="AF73" i="1"/>
  <c r="B72" i="3"/>
  <c r="AG73" i="1"/>
  <c r="C72" i="3"/>
  <c r="AH73" i="1"/>
  <c r="D72" i="3"/>
  <c r="AI73" i="1"/>
  <c r="E72" i="3" s="1"/>
  <c r="AJ73" i="1"/>
  <c r="F72" i="3"/>
  <c r="AK73" i="1"/>
  <c r="G72" i="3"/>
  <c r="AL73" i="1"/>
  <c r="H72" i="3"/>
  <c r="AM73" i="1"/>
  <c r="I72" i="3"/>
  <c r="AN73" i="1"/>
  <c r="J72" i="3"/>
  <c r="AO73" i="1"/>
  <c r="K72" i="3"/>
  <c r="AP73" i="1"/>
  <c r="L72" i="3"/>
  <c r="AQ73" i="1"/>
  <c r="M72" i="3"/>
  <c r="AR73" i="1"/>
  <c r="N72" i="3"/>
  <c r="AS73" i="1"/>
  <c r="O72" i="3"/>
  <c r="AT73" i="1"/>
  <c r="P72" i="3" s="1"/>
  <c r="AU73" i="1"/>
  <c r="Q72" i="3"/>
  <c r="AV73" i="1"/>
  <c r="R72" i="3"/>
  <c r="AF74" i="1"/>
  <c r="B73" i="3"/>
  <c r="AG74" i="1"/>
  <c r="C73" i="3"/>
  <c r="AH74" i="1"/>
  <c r="D73" i="3"/>
  <c r="AI74" i="1"/>
  <c r="E73" i="3" s="1"/>
  <c r="AJ74" i="1"/>
  <c r="F73" i="3"/>
  <c r="AK74" i="1"/>
  <c r="G73" i="3"/>
  <c r="AL74" i="1"/>
  <c r="H73" i="3" s="1"/>
  <c r="AM74" i="1"/>
  <c r="I73" i="3"/>
  <c r="AN74" i="1"/>
  <c r="J73" i="3"/>
  <c r="AO74" i="1"/>
  <c r="K73" i="3"/>
  <c r="AP74" i="1"/>
  <c r="L73" i="3"/>
  <c r="AQ74" i="1"/>
  <c r="M73" i="3"/>
  <c r="AR74" i="1"/>
  <c r="N73" i="3"/>
  <c r="AS74" i="1"/>
  <c r="O73" i="3" s="1"/>
  <c r="AT74" i="1"/>
  <c r="P73" i="3" s="1"/>
  <c r="AU74" i="1"/>
  <c r="Q73" i="3"/>
  <c r="AV74" i="1"/>
  <c r="R73" i="3"/>
  <c r="AF75" i="1"/>
  <c r="B74" i="3"/>
  <c r="AG75" i="1"/>
  <c r="C74" i="3" s="1"/>
  <c r="AH75" i="1"/>
  <c r="D74" i="3"/>
  <c r="AI75" i="1"/>
  <c r="E74" i="3"/>
  <c r="AJ75" i="1"/>
  <c r="F74" i="3"/>
  <c r="AK75" i="1"/>
  <c r="G74" i="3" s="1"/>
  <c r="AL75" i="1"/>
  <c r="H74" i="3" s="1"/>
  <c r="AM75" i="1"/>
  <c r="I74" i="3" s="1"/>
  <c r="AN75" i="1"/>
  <c r="J74" i="3" s="1"/>
  <c r="AO75" i="1"/>
  <c r="K74" i="3" s="1"/>
  <c r="AP75" i="1"/>
  <c r="L74" i="3" s="1"/>
  <c r="AQ75" i="1"/>
  <c r="M74" i="3"/>
  <c r="AR75" i="1"/>
  <c r="N74" i="3"/>
  <c r="AS75" i="1"/>
  <c r="O74" i="3"/>
  <c r="AT75" i="1"/>
  <c r="P74" i="3"/>
  <c r="AU75" i="1"/>
  <c r="Q74" i="3" s="1"/>
  <c r="AV75" i="1"/>
  <c r="R74" i="3" s="1"/>
  <c r="AF76" i="1"/>
  <c r="AG76" i="1"/>
  <c r="C75" i="3"/>
  <c r="AH76" i="1"/>
  <c r="D75" i="3"/>
  <c r="AI76" i="1"/>
  <c r="E75" i="3"/>
  <c r="AJ76" i="1"/>
  <c r="F75" i="3"/>
  <c r="AK76" i="1"/>
  <c r="G75" i="3"/>
  <c r="AL76" i="1"/>
  <c r="H75" i="3"/>
  <c r="AM76" i="1"/>
  <c r="I75" i="3"/>
  <c r="AN76" i="1"/>
  <c r="J75" i="3"/>
  <c r="AO76" i="1"/>
  <c r="K75" i="3" s="1"/>
  <c r="AP76" i="1"/>
  <c r="L75" i="3"/>
  <c r="AQ76" i="1"/>
  <c r="M75" i="3"/>
  <c r="AR76" i="1"/>
  <c r="N75" i="3"/>
  <c r="AS76" i="1"/>
  <c r="O75" i="3" s="1"/>
  <c r="AT76" i="1"/>
  <c r="P75" i="3"/>
  <c r="AU76" i="1"/>
  <c r="Q75" i="3"/>
  <c r="AV76" i="1"/>
  <c r="R75" i="3"/>
  <c r="AF77" i="1"/>
  <c r="AG77" i="1"/>
  <c r="C76" i="3"/>
  <c r="AH77" i="1"/>
  <c r="D76" i="3"/>
  <c r="AI77" i="1"/>
  <c r="E76" i="3"/>
  <c r="AJ77" i="1"/>
  <c r="F76" i="3"/>
  <c r="AK77" i="1"/>
  <c r="G76" i="3"/>
  <c r="AL77" i="1"/>
  <c r="H76" i="3"/>
  <c r="AM77" i="1"/>
  <c r="I76" i="3"/>
  <c r="AN77" i="1"/>
  <c r="J76" i="3"/>
  <c r="AO77" i="1"/>
  <c r="K76" i="3" s="1"/>
  <c r="AP77" i="1"/>
  <c r="L76" i="3"/>
  <c r="AQ77" i="1"/>
  <c r="M76" i="3"/>
  <c r="AR77" i="1"/>
  <c r="N76" i="3"/>
  <c r="AS77" i="1"/>
  <c r="O76" i="3"/>
  <c r="AT77" i="1"/>
  <c r="P76" i="3" s="1"/>
  <c r="AU77" i="1"/>
  <c r="Q76" i="3" s="1"/>
  <c r="AV77" i="1"/>
  <c r="R76" i="3"/>
  <c r="AF78" i="1"/>
  <c r="AG78" i="1"/>
  <c r="C77" i="3"/>
  <c r="AH78" i="1"/>
  <c r="D77" i="3"/>
  <c r="AI78" i="1"/>
  <c r="E77" i="3"/>
  <c r="AJ78" i="1"/>
  <c r="F77" i="3"/>
  <c r="AK78" i="1"/>
  <c r="G77" i="3"/>
  <c r="AL78" i="1"/>
  <c r="H77" i="3"/>
  <c r="AM78" i="1"/>
  <c r="I77" i="3"/>
  <c r="AN78" i="1"/>
  <c r="J77" i="3"/>
  <c r="AO78" i="1"/>
  <c r="K77" i="3"/>
  <c r="AP78" i="1"/>
  <c r="L77" i="3" s="1"/>
  <c r="AQ78" i="1"/>
  <c r="M77" i="3" s="1"/>
  <c r="AR78" i="1"/>
  <c r="N77" i="3"/>
  <c r="AS78" i="1"/>
  <c r="O77" i="3"/>
  <c r="AT78" i="1"/>
  <c r="P77" i="3"/>
  <c r="AU78" i="1"/>
  <c r="Q77" i="3" s="1"/>
  <c r="AV78" i="1"/>
  <c r="R77" i="3"/>
  <c r="AF79" i="1"/>
  <c r="B78" i="3"/>
  <c r="AG79" i="1"/>
  <c r="C78" i="3" s="1"/>
  <c r="AH79" i="1"/>
  <c r="D78" i="3" s="1"/>
  <c r="AI79" i="1"/>
  <c r="E78" i="3" s="1"/>
  <c r="AJ79" i="1"/>
  <c r="F78" i="3" s="1"/>
  <c r="AK79" i="1"/>
  <c r="G78" i="3"/>
  <c r="AL79" i="1"/>
  <c r="H78" i="3"/>
  <c r="AM79" i="1"/>
  <c r="I78" i="3"/>
  <c r="AN79" i="1"/>
  <c r="J78" i="3"/>
  <c r="AO79" i="1"/>
  <c r="K78" i="3"/>
  <c r="AP79" i="1"/>
  <c r="L78" i="3"/>
  <c r="AQ79" i="1"/>
  <c r="M78" i="3"/>
  <c r="AR79" i="1"/>
  <c r="N78" i="3" s="1"/>
  <c r="AS79" i="1"/>
  <c r="O78" i="3"/>
  <c r="AT79" i="1"/>
  <c r="P78" i="3" s="1"/>
  <c r="AU79" i="1"/>
  <c r="Q78" i="3"/>
  <c r="AV79" i="1"/>
  <c r="R78" i="3" s="1"/>
  <c r="AF80" i="1"/>
  <c r="B79" i="3"/>
  <c r="AG80" i="1"/>
  <c r="C79" i="3"/>
  <c r="AH80" i="1"/>
  <c r="D79" i="3" s="1"/>
  <c r="AI80" i="1"/>
  <c r="E79" i="3"/>
  <c r="AJ80" i="1"/>
  <c r="F79" i="3"/>
  <c r="AK80" i="1"/>
  <c r="G79" i="3"/>
  <c r="AL80" i="1"/>
  <c r="H79" i="3" s="1"/>
  <c r="AM80" i="1"/>
  <c r="I79" i="3"/>
  <c r="AN80" i="1"/>
  <c r="J79" i="3"/>
  <c r="AO80" i="1"/>
  <c r="K79" i="3"/>
  <c r="AP80" i="1"/>
  <c r="L79" i="3" s="1"/>
  <c r="AQ80" i="1"/>
  <c r="M79" i="3"/>
  <c r="AR80" i="1"/>
  <c r="N79" i="3"/>
  <c r="AS80" i="1"/>
  <c r="O79" i="3"/>
  <c r="AT80" i="1"/>
  <c r="P79" i="3"/>
  <c r="AU80" i="1"/>
  <c r="Q79" i="3" s="1"/>
  <c r="AV80" i="1"/>
  <c r="R79" i="3" s="1"/>
  <c r="AF81" i="1"/>
  <c r="B80" i="3"/>
  <c r="AG81" i="1"/>
  <c r="C80" i="3"/>
  <c r="AH81" i="1"/>
  <c r="D80" i="3"/>
  <c r="AI81" i="1"/>
  <c r="E80" i="3"/>
  <c r="AJ81" i="1"/>
  <c r="F80" i="3"/>
  <c r="AK81" i="1"/>
  <c r="G80" i="3"/>
  <c r="AL81" i="1"/>
  <c r="H80" i="3"/>
  <c r="AM81" i="1"/>
  <c r="I80" i="3" s="1"/>
  <c r="AN81" i="1"/>
  <c r="J80" i="3"/>
  <c r="AO81" i="1"/>
  <c r="K80" i="3" s="1"/>
  <c r="AP81" i="1"/>
  <c r="L80" i="3"/>
  <c r="AQ81" i="1"/>
  <c r="M80" i="3" s="1"/>
  <c r="AR81" i="1"/>
  <c r="N80" i="3" s="1"/>
  <c r="AS81" i="1"/>
  <c r="O80" i="3"/>
  <c r="AT81" i="1"/>
  <c r="P80" i="3"/>
  <c r="AU81" i="1"/>
  <c r="Q80" i="3"/>
  <c r="AV81" i="1"/>
  <c r="R80" i="3" s="1"/>
  <c r="AF82" i="1"/>
  <c r="B81" i="3"/>
  <c r="AG82" i="1"/>
  <c r="C81" i="3"/>
  <c r="AH82" i="1"/>
  <c r="D81" i="3" s="1"/>
  <c r="AI82" i="1"/>
  <c r="E81" i="3"/>
  <c r="AJ82" i="1"/>
  <c r="F81" i="3"/>
  <c r="AK82" i="1"/>
  <c r="G81" i="3"/>
  <c r="AL82" i="1"/>
  <c r="H81" i="3" s="1"/>
  <c r="AM82" i="1"/>
  <c r="I81" i="3"/>
  <c r="AN82" i="1"/>
  <c r="J81" i="3" s="1"/>
  <c r="AO82" i="1"/>
  <c r="K81" i="3" s="1"/>
  <c r="AP82" i="1"/>
  <c r="L81" i="3"/>
  <c r="AQ82" i="1"/>
  <c r="M81" i="3"/>
  <c r="AR82" i="1"/>
  <c r="N81" i="3"/>
  <c r="AS82" i="1"/>
  <c r="O81" i="3" s="1"/>
  <c r="AT82" i="1"/>
  <c r="P81" i="3"/>
  <c r="AU82" i="1"/>
  <c r="Q81" i="3"/>
  <c r="AV82" i="1"/>
  <c r="R81" i="3"/>
  <c r="AF83" i="1"/>
  <c r="B82" i="3"/>
  <c r="AG83" i="1"/>
  <c r="C82" i="3"/>
  <c r="AH83" i="1"/>
  <c r="D82" i="3"/>
  <c r="AI83" i="1"/>
  <c r="E82" i="3"/>
  <c r="AJ83" i="1"/>
  <c r="F82" i="3"/>
  <c r="AK83" i="1"/>
  <c r="G82" i="3" s="1"/>
  <c r="AL83" i="1"/>
  <c r="H82" i="3" s="1"/>
  <c r="AM83" i="1"/>
  <c r="I82" i="3"/>
  <c r="AN83" i="1"/>
  <c r="J82" i="3"/>
  <c r="AO83" i="1"/>
  <c r="K82" i="3"/>
  <c r="AP83" i="1"/>
  <c r="L82" i="3" s="1"/>
  <c r="AQ83" i="1"/>
  <c r="M82" i="3"/>
  <c r="AR83" i="1"/>
  <c r="N82" i="3"/>
  <c r="AS83" i="1"/>
  <c r="O82" i="3"/>
  <c r="AT83" i="1"/>
  <c r="P82" i="3"/>
  <c r="AU83" i="1"/>
  <c r="Q82" i="3"/>
  <c r="AV83" i="1"/>
  <c r="R82" i="3" s="1"/>
  <c r="AF84" i="1"/>
  <c r="B83" i="3"/>
  <c r="AG84" i="1"/>
  <c r="C83" i="3"/>
  <c r="AH84" i="1"/>
  <c r="D83" i="3" s="1"/>
  <c r="AI84" i="1"/>
  <c r="E83" i="3"/>
  <c r="AJ84" i="1"/>
  <c r="F83" i="3"/>
  <c r="AK84" i="1"/>
  <c r="G83" i="3"/>
  <c r="AL84" i="1"/>
  <c r="H83" i="3" s="1"/>
  <c r="AM84" i="1"/>
  <c r="I83" i="3" s="1"/>
  <c r="AN84" i="1"/>
  <c r="J83" i="3"/>
  <c r="AO84" i="1"/>
  <c r="K83" i="3"/>
  <c r="AP84" i="1"/>
  <c r="L83" i="3" s="1"/>
  <c r="AQ84" i="1"/>
  <c r="M83" i="3" s="1"/>
  <c r="AR84" i="1"/>
  <c r="N83" i="3" s="1"/>
  <c r="AS84" i="1"/>
  <c r="O83" i="3"/>
  <c r="AT84" i="1"/>
  <c r="P83" i="3" s="1"/>
  <c r="AU84" i="1"/>
  <c r="Q83" i="3" s="1"/>
  <c r="AV84" i="1"/>
  <c r="R83" i="3"/>
  <c r="AF85" i="1"/>
  <c r="B84" i="3"/>
  <c r="AG85" i="1"/>
  <c r="C84" i="3"/>
  <c r="AH85" i="1"/>
  <c r="D84" i="3"/>
  <c r="AI85" i="1"/>
  <c r="E84" i="3" s="1"/>
  <c r="AJ85" i="1"/>
  <c r="F84" i="3"/>
  <c r="AK85" i="1"/>
  <c r="G84" i="3"/>
  <c r="AL85" i="1"/>
  <c r="H84" i="3"/>
  <c r="AM85" i="1"/>
  <c r="I84" i="3"/>
  <c r="AN85" i="1"/>
  <c r="J84" i="3"/>
  <c r="AO85" i="1"/>
  <c r="K84" i="3"/>
  <c r="AP85" i="1"/>
  <c r="L84" i="3"/>
  <c r="AQ85" i="1"/>
  <c r="M84" i="3"/>
  <c r="AR85" i="1"/>
  <c r="N84" i="3"/>
  <c r="AS85" i="1"/>
  <c r="O84" i="3"/>
  <c r="AT85" i="1"/>
  <c r="P84" i="3"/>
  <c r="AU85" i="1"/>
  <c r="Q84" i="3"/>
  <c r="AV85" i="1"/>
  <c r="R84" i="3" s="1"/>
  <c r="AF86" i="1"/>
  <c r="B85" i="3"/>
  <c r="AG86" i="1"/>
  <c r="C85" i="3"/>
  <c r="AH86" i="1"/>
  <c r="D85" i="3" s="1"/>
  <c r="AI86" i="1"/>
  <c r="E85" i="3"/>
  <c r="AJ86" i="1"/>
  <c r="F85" i="3"/>
  <c r="AK86" i="1"/>
  <c r="G85" i="3" s="1"/>
  <c r="AL86" i="1"/>
  <c r="H85" i="3" s="1"/>
  <c r="AM86" i="1"/>
  <c r="I85" i="3"/>
  <c r="AN86" i="1"/>
  <c r="J85" i="3"/>
  <c r="AO86" i="1"/>
  <c r="K85" i="3"/>
  <c r="AP86" i="1"/>
  <c r="L85" i="3"/>
  <c r="AQ86" i="1"/>
  <c r="M85" i="3"/>
  <c r="AR86" i="1"/>
  <c r="N85" i="3"/>
  <c r="AS86" i="1"/>
  <c r="O85" i="3"/>
  <c r="AT86" i="1"/>
  <c r="P85" i="3"/>
  <c r="AU86" i="1"/>
  <c r="Q85" i="3"/>
  <c r="AV86" i="1"/>
  <c r="R85" i="3"/>
  <c r="AF87" i="1"/>
  <c r="B86" i="3" s="1"/>
  <c r="AG87" i="1"/>
  <c r="C86" i="3"/>
  <c r="AH87" i="1"/>
  <c r="D86" i="3" s="1"/>
  <c r="AI87" i="1"/>
  <c r="E86" i="3"/>
  <c r="AJ87" i="1"/>
  <c r="F86" i="3"/>
  <c r="AK87" i="1"/>
  <c r="G86" i="3"/>
  <c r="AL87" i="1"/>
  <c r="H86" i="3"/>
  <c r="AM87" i="1"/>
  <c r="I86" i="3"/>
  <c r="AN87" i="1"/>
  <c r="J86" i="3" s="1"/>
  <c r="AO87" i="1"/>
  <c r="K86" i="3"/>
  <c r="AP87" i="1"/>
  <c r="L86" i="3"/>
  <c r="AQ87" i="1"/>
  <c r="M86" i="3"/>
  <c r="AR87" i="1"/>
  <c r="N86" i="3" s="1"/>
  <c r="AS87" i="1"/>
  <c r="O86" i="3"/>
  <c r="AT87" i="1"/>
  <c r="P86" i="3"/>
  <c r="AU87" i="1"/>
  <c r="Q86" i="3" s="1"/>
  <c r="AV87" i="1"/>
  <c r="R86" i="3" s="1"/>
  <c r="AF88" i="1"/>
  <c r="B87" i="3"/>
  <c r="AG88" i="1"/>
  <c r="C87" i="3" s="1"/>
  <c r="AH88" i="1"/>
  <c r="D87" i="3"/>
  <c r="AI88" i="1"/>
  <c r="E87" i="3" s="1"/>
  <c r="AJ88" i="1"/>
  <c r="F87" i="3"/>
  <c r="AK88" i="1"/>
  <c r="G87" i="3"/>
  <c r="AL88" i="1"/>
  <c r="H87" i="3" s="1"/>
  <c r="AM88" i="1"/>
  <c r="I87" i="3" s="1"/>
  <c r="AN88" i="1"/>
  <c r="J87" i="3"/>
  <c r="AO88" i="1"/>
  <c r="K87" i="3" s="1"/>
  <c r="AP88" i="1"/>
  <c r="L87" i="3"/>
  <c r="AQ88" i="1"/>
  <c r="M87" i="3"/>
  <c r="AR88" i="1"/>
  <c r="AW88" i="1" s="1"/>
  <c r="G88" i="1" s="1"/>
  <c r="N87" i="3"/>
  <c r="AS88" i="1"/>
  <c r="O87" i="3"/>
  <c r="AT88" i="1"/>
  <c r="P87" i="3" s="1"/>
  <c r="AU88" i="1"/>
  <c r="Q87" i="3"/>
  <c r="AV88" i="1"/>
  <c r="R87" i="3" s="1"/>
  <c r="AF89" i="1"/>
  <c r="B88" i="3"/>
  <c r="AG89" i="1"/>
  <c r="C88" i="3" s="1"/>
  <c r="AH89" i="1"/>
  <c r="D88" i="3"/>
  <c r="AI89" i="1"/>
  <c r="E88" i="3"/>
  <c r="AJ89" i="1"/>
  <c r="F88" i="3"/>
  <c r="AK89" i="1"/>
  <c r="G88" i="3"/>
  <c r="AL89" i="1"/>
  <c r="H88" i="3"/>
  <c r="AM89" i="1"/>
  <c r="I88" i="3"/>
  <c r="AN89" i="1"/>
  <c r="J88" i="3"/>
  <c r="AO89" i="1"/>
  <c r="K88" i="3"/>
  <c r="AP89" i="1"/>
  <c r="L88" i="3" s="1"/>
  <c r="AQ89" i="1"/>
  <c r="M88" i="3"/>
  <c r="AR89" i="1"/>
  <c r="N88" i="3"/>
  <c r="AS89" i="1"/>
  <c r="O88" i="3"/>
  <c r="AT89" i="1"/>
  <c r="P88" i="3"/>
  <c r="AU89" i="1"/>
  <c r="Q88" i="3" s="1"/>
  <c r="AV89" i="1"/>
  <c r="R88" i="3" s="1"/>
  <c r="AF90" i="1"/>
  <c r="B89" i="3"/>
  <c r="S89" i="3" s="1"/>
  <c r="AG90" i="1"/>
  <c r="C89" i="3" s="1"/>
  <c r="AH90" i="1"/>
  <c r="D89" i="3" s="1"/>
  <c r="AI90" i="1"/>
  <c r="E89" i="3"/>
  <c r="AJ90" i="1"/>
  <c r="F89" i="3"/>
  <c r="AK90" i="1"/>
  <c r="G89" i="3"/>
  <c r="AL90" i="1"/>
  <c r="H89" i="3"/>
  <c r="AM90" i="1"/>
  <c r="I89" i="3"/>
  <c r="AN90" i="1"/>
  <c r="J89" i="3"/>
  <c r="AO90" i="1"/>
  <c r="K89" i="3"/>
  <c r="AP90" i="1"/>
  <c r="L89" i="3"/>
  <c r="AQ90" i="1"/>
  <c r="M89" i="3" s="1"/>
  <c r="AR90" i="1"/>
  <c r="N89" i="3"/>
  <c r="AS90" i="1"/>
  <c r="O89" i="3"/>
  <c r="AT90" i="1"/>
  <c r="P89" i="3" s="1"/>
  <c r="AU90" i="1"/>
  <c r="Q89" i="3" s="1"/>
  <c r="AV90" i="1"/>
  <c r="R89" i="3" s="1"/>
  <c r="AF91" i="1"/>
  <c r="B90" i="3" s="1"/>
  <c r="S90" i="3" s="1"/>
  <c r="AG91" i="1"/>
  <c r="C90" i="3"/>
  <c r="AH91" i="1"/>
  <c r="D90" i="3"/>
  <c r="AI91" i="1"/>
  <c r="E90" i="3"/>
  <c r="AJ91" i="1"/>
  <c r="F90" i="3"/>
  <c r="AK91" i="1"/>
  <c r="G90" i="3" s="1"/>
  <c r="AL91" i="1"/>
  <c r="H90" i="3"/>
  <c r="AM91" i="1"/>
  <c r="I90" i="3"/>
  <c r="AN91" i="1"/>
  <c r="J90" i="3"/>
  <c r="AO91" i="1"/>
  <c r="K90" i="3"/>
  <c r="AP91" i="1"/>
  <c r="L90" i="3"/>
  <c r="AQ91" i="1"/>
  <c r="M90" i="3"/>
  <c r="AR91" i="1"/>
  <c r="N90" i="3" s="1"/>
  <c r="AS91" i="1"/>
  <c r="O90" i="3"/>
  <c r="AT91" i="1"/>
  <c r="P90" i="3" s="1"/>
  <c r="AU91" i="1"/>
  <c r="Q90" i="3"/>
  <c r="AV91" i="1"/>
  <c r="R90" i="3"/>
  <c r="AF92" i="1"/>
  <c r="B91" i="3" s="1"/>
  <c r="AG92" i="1"/>
  <c r="C91" i="3" s="1"/>
  <c r="AH92" i="1"/>
  <c r="D91" i="3" s="1"/>
  <c r="AI92" i="1"/>
  <c r="E91" i="3"/>
  <c r="AJ92" i="1"/>
  <c r="F91" i="3" s="1"/>
  <c r="AK92" i="1"/>
  <c r="G91" i="3"/>
  <c r="AL92" i="1"/>
  <c r="H91" i="3" s="1"/>
  <c r="AM92" i="1"/>
  <c r="I91" i="3"/>
  <c r="AN92" i="1"/>
  <c r="J91" i="3" s="1"/>
  <c r="AO92" i="1"/>
  <c r="K91" i="3"/>
  <c r="AP92" i="1"/>
  <c r="L91" i="3"/>
  <c r="AQ92" i="1"/>
  <c r="M91" i="3"/>
  <c r="AR92" i="1"/>
  <c r="N91" i="3" s="1"/>
  <c r="AS92" i="1"/>
  <c r="O91" i="3" s="1"/>
  <c r="AT92" i="1"/>
  <c r="P91" i="3"/>
  <c r="AU92" i="1"/>
  <c r="Q91" i="3" s="1"/>
  <c r="AV92" i="1"/>
  <c r="R91" i="3"/>
  <c r="AF93" i="1"/>
  <c r="B92" i="3"/>
  <c r="AG93" i="1"/>
  <c r="C92" i="3"/>
  <c r="AH93" i="1"/>
  <c r="D92" i="3"/>
  <c r="AI93" i="1"/>
  <c r="E92" i="3"/>
  <c r="AJ93" i="1"/>
  <c r="F92" i="3"/>
  <c r="AK93" i="1"/>
  <c r="G92" i="3" s="1"/>
  <c r="AL93" i="1"/>
  <c r="H92" i="3"/>
  <c r="AM93" i="1"/>
  <c r="I92" i="3" s="1"/>
  <c r="AN93" i="1"/>
  <c r="J92" i="3"/>
  <c r="AO93" i="1"/>
  <c r="K92" i="3"/>
  <c r="AP93" i="1"/>
  <c r="L92" i="3"/>
  <c r="AQ93" i="1"/>
  <c r="M92" i="3"/>
  <c r="AR93" i="1"/>
  <c r="N92" i="3"/>
  <c r="AS93" i="1"/>
  <c r="O92" i="3" s="1"/>
  <c r="AT93" i="1"/>
  <c r="P92" i="3"/>
  <c r="AU93" i="1"/>
  <c r="Q92" i="3" s="1"/>
  <c r="AV93" i="1"/>
  <c r="R92" i="3" s="1"/>
  <c r="AF94" i="1"/>
  <c r="B93" i="3"/>
  <c r="AG94" i="1"/>
  <c r="C93" i="3"/>
  <c r="AH94" i="1"/>
  <c r="D93" i="3"/>
  <c r="AI94" i="1"/>
  <c r="E93" i="3"/>
  <c r="AJ94" i="1"/>
  <c r="F93" i="3" s="1"/>
  <c r="AK94" i="1"/>
  <c r="G93" i="3" s="1"/>
  <c r="AL94" i="1"/>
  <c r="H93" i="3"/>
  <c r="AM94" i="1"/>
  <c r="I93" i="3"/>
  <c r="AN94" i="1"/>
  <c r="J93" i="3"/>
  <c r="AO94" i="1"/>
  <c r="K93" i="3" s="1"/>
  <c r="AP94" i="1"/>
  <c r="L93" i="3"/>
  <c r="AQ94" i="1"/>
  <c r="M93" i="3"/>
  <c r="AR94" i="1"/>
  <c r="N93" i="3"/>
  <c r="AS94" i="1"/>
  <c r="O93" i="3"/>
  <c r="AT94" i="1"/>
  <c r="P93" i="3"/>
  <c r="AU94" i="1"/>
  <c r="Q93" i="3" s="1"/>
  <c r="AV94" i="1"/>
  <c r="R93" i="3"/>
  <c r="AF95" i="1"/>
  <c r="AW95" i="1" s="1"/>
  <c r="G95" i="1" s="1"/>
  <c r="B94" i="3"/>
  <c r="AG95" i="1"/>
  <c r="C94" i="3"/>
  <c r="AH95" i="1"/>
  <c r="D94" i="3"/>
  <c r="AI95" i="1"/>
  <c r="E94" i="3"/>
  <c r="AJ95" i="1"/>
  <c r="F94" i="3"/>
  <c r="AK95" i="1"/>
  <c r="G94" i="3"/>
  <c r="AL95" i="1"/>
  <c r="H94" i="3" s="1"/>
  <c r="AM95" i="1"/>
  <c r="I94" i="3"/>
  <c r="AN95" i="1"/>
  <c r="J94" i="3"/>
  <c r="AO95" i="1"/>
  <c r="K94" i="3"/>
  <c r="AP95" i="1"/>
  <c r="L94" i="3"/>
  <c r="AQ95" i="1"/>
  <c r="M94" i="3"/>
  <c r="AR95" i="1"/>
  <c r="N94" i="3"/>
  <c r="AS95" i="1"/>
  <c r="O94" i="3"/>
  <c r="AT95" i="1"/>
  <c r="P94" i="3"/>
  <c r="AU95" i="1"/>
  <c r="Q94" i="3"/>
  <c r="AV95" i="1"/>
  <c r="R94" i="3"/>
  <c r="AF96" i="1"/>
  <c r="B95" i="3"/>
  <c r="AG96" i="1"/>
  <c r="C95" i="3"/>
  <c r="AH96" i="1"/>
  <c r="D95" i="3" s="1"/>
  <c r="AI96" i="1"/>
  <c r="E95" i="3"/>
  <c r="AJ96" i="1"/>
  <c r="F95" i="3"/>
  <c r="AK96" i="1"/>
  <c r="G95" i="3" s="1"/>
  <c r="AL96" i="1"/>
  <c r="H95" i="3"/>
  <c r="AM96" i="1"/>
  <c r="I95" i="3" s="1"/>
  <c r="AN96" i="1"/>
  <c r="J95" i="3"/>
  <c r="AO96" i="1"/>
  <c r="K95" i="3"/>
  <c r="AP96" i="1"/>
  <c r="L95" i="3"/>
  <c r="AQ96" i="1"/>
  <c r="M95" i="3"/>
  <c r="AR96" i="1"/>
  <c r="N95" i="3"/>
  <c r="AS96" i="1"/>
  <c r="O95" i="3"/>
  <c r="AT96" i="1"/>
  <c r="P95" i="3"/>
  <c r="AU96" i="1"/>
  <c r="Q95" i="3"/>
  <c r="AV96" i="1"/>
  <c r="R95" i="3"/>
  <c r="AF97" i="1"/>
  <c r="B96" i="3"/>
  <c r="AG97" i="1"/>
  <c r="C96" i="3"/>
  <c r="AH97" i="1"/>
  <c r="D96" i="3"/>
  <c r="AI97" i="1"/>
  <c r="E96" i="3"/>
  <c r="AJ97" i="1"/>
  <c r="F96" i="3"/>
  <c r="AK97" i="1"/>
  <c r="G96" i="3" s="1"/>
  <c r="AL97" i="1"/>
  <c r="H96" i="3"/>
  <c r="AM97" i="1"/>
  <c r="I96" i="3"/>
  <c r="AN97" i="1"/>
  <c r="J96" i="3"/>
  <c r="AO97" i="1"/>
  <c r="K96" i="3"/>
  <c r="AP97" i="1"/>
  <c r="L96" i="3"/>
  <c r="AQ97" i="1"/>
  <c r="M96" i="3" s="1"/>
  <c r="AR97" i="1"/>
  <c r="N96" i="3" s="1"/>
  <c r="AS97" i="1"/>
  <c r="O96" i="3" s="1"/>
  <c r="AT97" i="1"/>
  <c r="P96" i="3" s="1"/>
  <c r="AU97" i="1"/>
  <c r="Q96" i="3" s="1"/>
  <c r="AV97" i="1"/>
  <c r="R96" i="3" s="1"/>
  <c r="AF98" i="1"/>
  <c r="B97" i="3"/>
  <c r="AG98" i="1"/>
  <c r="C97" i="3"/>
  <c r="AH98" i="1"/>
  <c r="D97" i="3" s="1"/>
  <c r="AI98" i="1"/>
  <c r="E97" i="3"/>
  <c r="AJ98" i="1"/>
  <c r="F97" i="3"/>
  <c r="AK98" i="1"/>
  <c r="G97" i="3"/>
  <c r="AL98" i="1"/>
  <c r="H97" i="3"/>
  <c r="AM98" i="1"/>
  <c r="I97" i="3"/>
  <c r="AN98" i="1"/>
  <c r="J97" i="3"/>
  <c r="AO98" i="1"/>
  <c r="K97" i="3"/>
  <c r="AP98" i="1"/>
  <c r="L97" i="3"/>
  <c r="AQ98" i="1"/>
  <c r="M97" i="3" s="1"/>
  <c r="AR98" i="1"/>
  <c r="N97" i="3"/>
  <c r="AS98" i="1"/>
  <c r="O97" i="3"/>
  <c r="AT98" i="1"/>
  <c r="P97" i="3"/>
  <c r="AU98" i="1"/>
  <c r="Q97" i="3"/>
  <c r="AV98" i="1"/>
  <c r="R97" i="3"/>
  <c r="AF99" i="1"/>
  <c r="B98" i="3"/>
  <c r="AG99" i="1"/>
  <c r="C98" i="3" s="1"/>
  <c r="AH99" i="1"/>
  <c r="D98" i="3" s="1"/>
  <c r="AI99" i="1"/>
  <c r="E98" i="3" s="1"/>
  <c r="AJ99" i="1"/>
  <c r="F98" i="3" s="1"/>
  <c r="AK99" i="1"/>
  <c r="G98" i="3"/>
  <c r="AL99" i="1"/>
  <c r="H98" i="3"/>
  <c r="AM99" i="1"/>
  <c r="I98" i="3"/>
  <c r="AN99" i="1"/>
  <c r="J98" i="3" s="1"/>
  <c r="AO99" i="1"/>
  <c r="K98" i="3"/>
  <c r="AP99" i="1"/>
  <c r="L98" i="3"/>
  <c r="AQ99" i="1"/>
  <c r="M98" i="3"/>
  <c r="AR99" i="1"/>
  <c r="N98" i="3"/>
  <c r="AS99" i="1"/>
  <c r="O98" i="3"/>
  <c r="AT99" i="1"/>
  <c r="P98" i="3" s="1"/>
  <c r="AU99" i="1"/>
  <c r="Q98" i="3"/>
  <c r="AV99" i="1"/>
  <c r="R98" i="3"/>
  <c r="AF100" i="1"/>
  <c r="B99" i="3" s="1"/>
  <c r="AG100" i="1"/>
  <c r="C99" i="3"/>
  <c r="AH100" i="1"/>
  <c r="D99" i="3"/>
  <c r="AI100" i="1"/>
  <c r="E99" i="3"/>
  <c r="AJ100" i="1"/>
  <c r="AK100" i="1"/>
  <c r="G99" i="3"/>
  <c r="AL100" i="1"/>
  <c r="H99" i="3"/>
  <c r="AM100" i="1"/>
  <c r="I99" i="3"/>
  <c r="AN100" i="1"/>
  <c r="J99" i="3"/>
  <c r="AO100" i="1"/>
  <c r="K99" i="3"/>
  <c r="AP100" i="1"/>
  <c r="L99" i="3"/>
  <c r="AQ100" i="1"/>
  <c r="M99" i="3"/>
  <c r="AR100" i="1"/>
  <c r="N99" i="3"/>
  <c r="AS100" i="1"/>
  <c r="O99" i="3"/>
  <c r="AT100" i="1"/>
  <c r="P99" i="3"/>
  <c r="AU100" i="1"/>
  <c r="Q99" i="3"/>
  <c r="AV100" i="1"/>
  <c r="R99" i="3"/>
  <c r="AF101" i="1"/>
  <c r="AW101" i="1" s="1"/>
  <c r="G101" i="1" s="1"/>
  <c r="B100" i="3"/>
  <c r="S100" i="3" s="1"/>
  <c r="AG101" i="1"/>
  <c r="C100" i="3"/>
  <c r="AH101" i="1"/>
  <c r="D100" i="3"/>
  <c r="AI101" i="1"/>
  <c r="E100" i="3"/>
  <c r="AJ101" i="1"/>
  <c r="F100" i="3"/>
  <c r="AK101" i="1"/>
  <c r="G100" i="3"/>
  <c r="AL101" i="1"/>
  <c r="H100" i="3" s="1"/>
  <c r="AM101" i="1"/>
  <c r="I100" i="3" s="1"/>
  <c r="AN101" i="1"/>
  <c r="J100" i="3" s="1"/>
  <c r="AO101" i="1"/>
  <c r="K100" i="3" s="1"/>
  <c r="AP101" i="1"/>
  <c r="L100" i="3"/>
  <c r="AQ101" i="1"/>
  <c r="M100" i="3" s="1"/>
  <c r="AR101" i="1"/>
  <c r="N100" i="3" s="1"/>
  <c r="AS101" i="1"/>
  <c r="O100" i="3"/>
  <c r="AT101" i="1"/>
  <c r="P100" i="3"/>
  <c r="AU101" i="1"/>
  <c r="Q100" i="3"/>
  <c r="AV101" i="1"/>
  <c r="R100" i="3" s="1"/>
  <c r="AF102" i="1"/>
  <c r="B101" i="3"/>
  <c r="AG102" i="1"/>
  <c r="C101" i="3"/>
  <c r="AH102" i="1"/>
  <c r="D101" i="3" s="1"/>
  <c r="AI102" i="1"/>
  <c r="E101" i="3"/>
  <c r="AJ102" i="1"/>
  <c r="F101" i="3"/>
  <c r="AK102" i="1"/>
  <c r="G101" i="3"/>
  <c r="AL102" i="1"/>
  <c r="H101" i="3" s="1"/>
  <c r="AM102" i="1"/>
  <c r="I101" i="3"/>
  <c r="AN102" i="1"/>
  <c r="J101" i="3" s="1"/>
  <c r="AO102" i="1"/>
  <c r="K101" i="3"/>
  <c r="AP102" i="1"/>
  <c r="L101" i="3"/>
  <c r="AQ102" i="1"/>
  <c r="M101" i="3"/>
  <c r="AR102" i="1"/>
  <c r="N101" i="3"/>
  <c r="AS102" i="1"/>
  <c r="O101" i="3"/>
  <c r="AT102" i="1"/>
  <c r="P101" i="3"/>
  <c r="AU102" i="1"/>
  <c r="Q101" i="3"/>
  <c r="AV102" i="1"/>
  <c r="R101" i="3"/>
  <c r="S101" i="3"/>
  <c r="AF103" i="1"/>
  <c r="B102" i="3"/>
  <c r="AG103" i="1"/>
  <c r="C102" i="3"/>
  <c r="AH103" i="1"/>
  <c r="D102" i="3" s="1"/>
  <c r="AI103" i="1"/>
  <c r="E102" i="3" s="1"/>
  <c r="AJ103" i="1"/>
  <c r="F102" i="3"/>
  <c r="AK103" i="1"/>
  <c r="G102" i="3"/>
  <c r="AL103" i="1"/>
  <c r="H102" i="3"/>
  <c r="AM103" i="1"/>
  <c r="I102" i="3"/>
  <c r="AN103" i="1"/>
  <c r="J102" i="3" s="1"/>
  <c r="AO103" i="1"/>
  <c r="K102" i="3" s="1"/>
  <c r="AP103" i="1"/>
  <c r="L102" i="3" s="1"/>
  <c r="AQ103" i="1"/>
  <c r="M102" i="3" s="1"/>
  <c r="AR103" i="1"/>
  <c r="N102" i="3"/>
  <c r="AS103" i="1"/>
  <c r="O102" i="3"/>
  <c r="AT103" i="1"/>
  <c r="P102" i="3" s="1"/>
  <c r="AU103" i="1"/>
  <c r="Q102" i="3"/>
  <c r="AV103" i="1"/>
  <c r="R102" i="3"/>
  <c r="AF104" i="1"/>
  <c r="B103" i="3"/>
  <c r="AG104" i="1"/>
  <c r="C103" i="3" s="1"/>
  <c r="AH104" i="1"/>
  <c r="D103" i="3" s="1"/>
  <c r="AI104" i="1"/>
  <c r="E103" i="3"/>
  <c r="AJ104" i="1"/>
  <c r="F103" i="3"/>
  <c r="AK104" i="1"/>
  <c r="G103" i="3"/>
  <c r="AL104" i="1"/>
  <c r="H103" i="3"/>
  <c r="AM104" i="1"/>
  <c r="I103" i="3"/>
  <c r="AN104" i="1"/>
  <c r="J103" i="3"/>
  <c r="AO104" i="1"/>
  <c r="K103" i="3"/>
  <c r="AP104" i="1"/>
  <c r="L103" i="3"/>
  <c r="AQ104" i="1"/>
  <c r="M103" i="3"/>
  <c r="AR104" i="1"/>
  <c r="N103" i="3"/>
  <c r="AS104" i="1"/>
  <c r="O103" i="3"/>
  <c r="AT104" i="1"/>
  <c r="P103" i="3"/>
  <c r="AU104" i="1"/>
  <c r="Q103" i="3"/>
  <c r="AV104" i="1"/>
  <c r="R103" i="3"/>
  <c r="S103" i="3"/>
  <c r="AF105" i="1"/>
  <c r="B104" i="3"/>
  <c r="AG105" i="1"/>
  <c r="C104" i="3" s="1"/>
  <c r="AH105" i="1"/>
  <c r="D104" i="3" s="1"/>
  <c r="AI105" i="1"/>
  <c r="E104" i="3" s="1"/>
  <c r="AJ105" i="1"/>
  <c r="F104" i="3"/>
  <c r="AK105" i="1"/>
  <c r="G104" i="3" s="1"/>
  <c r="AL105" i="1"/>
  <c r="H104" i="3" s="1"/>
  <c r="AM105" i="1"/>
  <c r="I104" i="3" s="1"/>
  <c r="AN105" i="1"/>
  <c r="J104" i="3" s="1"/>
  <c r="AO105" i="1"/>
  <c r="K104" i="3" s="1"/>
  <c r="AP105" i="1"/>
  <c r="L104" i="3" s="1"/>
  <c r="AQ105" i="1"/>
  <c r="M104" i="3"/>
  <c r="AR105" i="1"/>
  <c r="N104" i="3"/>
  <c r="AS105" i="1"/>
  <c r="O104" i="3" s="1"/>
  <c r="AT105" i="1"/>
  <c r="P104" i="3"/>
  <c r="AU105" i="1"/>
  <c r="Q104" i="3"/>
  <c r="AV105" i="1"/>
  <c r="R104" i="3" s="1"/>
  <c r="AF106" i="1"/>
  <c r="B105" i="3" s="1"/>
  <c r="AG106" i="1"/>
  <c r="C105" i="3" s="1"/>
  <c r="AH106" i="1"/>
  <c r="D105" i="3"/>
  <c r="AI106" i="1"/>
  <c r="E105" i="3"/>
  <c r="AJ106" i="1"/>
  <c r="F105" i="3" s="1"/>
  <c r="AK106" i="1"/>
  <c r="G105" i="3"/>
  <c r="AL106" i="1"/>
  <c r="H105" i="3"/>
  <c r="AM106" i="1"/>
  <c r="I105" i="3"/>
  <c r="AN106" i="1"/>
  <c r="AO106" i="1"/>
  <c r="K105" i="3"/>
  <c r="AP106" i="1"/>
  <c r="L105" i="3"/>
  <c r="AQ106" i="1"/>
  <c r="M105" i="3"/>
  <c r="AR106" i="1"/>
  <c r="N105" i="3"/>
  <c r="AS106" i="1"/>
  <c r="O105" i="3"/>
  <c r="AT106" i="1"/>
  <c r="P105" i="3"/>
  <c r="AU106" i="1"/>
  <c r="Q105" i="3"/>
  <c r="AV106" i="1"/>
  <c r="R105" i="3" s="1"/>
  <c r="AF107" i="1"/>
  <c r="B106" i="3"/>
  <c r="AG107" i="1"/>
  <c r="C106" i="3"/>
  <c r="AH107" i="1"/>
  <c r="D106" i="3" s="1"/>
  <c r="AI107" i="1"/>
  <c r="E106" i="3"/>
  <c r="AJ107" i="1"/>
  <c r="F106" i="3"/>
  <c r="AK107" i="1"/>
  <c r="G106" i="3"/>
  <c r="AL107" i="1"/>
  <c r="H106" i="3"/>
  <c r="AM107" i="1"/>
  <c r="I106" i="3" s="1"/>
  <c r="AN107" i="1"/>
  <c r="J106" i="3"/>
  <c r="AO107" i="1"/>
  <c r="K106" i="3"/>
  <c r="AP107" i="1"/>
  <c r="L106" i="3" s="1"/>
  <c r="AQ107" i="1"/>
  <c r="M106" i="3" s="1"/>
  <c r="AR107" i="1"/>
  <c r="N106" i="3" s="1"/>
  <c r="AS107" i="1"/>
  <c r="O106" i="3"/>
  <c r="AT107" i="1"/>
  <c r="P106" i="3"/>
  <c r="AU107" i="1"/>
  <c r="Q106" i="3"/>
  <c r="AV107" i="1"/>
  <c r="R106" i="3" s="1"/>
  <c r="AF108" i="1"/>
  <c r="B107" i="3"/>
  <c r="AG108" i="1"/>
  <c r="C107" i="3" s="1"/>
  <c r="AH108" i="1"/>
  <c r="D107" i="3"/>
  <c r="AI108" i="1"/>
  <c r="E107" i="3" s="1"/>
  <c r="AJ108" i="1"/>
  <c r="F107" i="3" s="1"/>
  <c r="AK108" i="1"/>
  <c r="G107" i="3"/>
  <c r="AL108" i="1"/>
  <c r="H107" i="3"/>
  <c r="AM108" i="1"/>
  <c r="I107" i="3"/>
  <c r="AN108" i="1"/>
  <c r="J107" i="3"/>
  <c r="AO108" i="1"/>
  <c r="K107" i="3"/>
  <c r="AP108" i="1"/>
  <c r="L107" i="3"/>
  <c r="AQ108" i="1"/>
  <c r="M107" i="3"/>
  <c r="AR108" i="1"/>
  <c r="N107" i="3"/>
  <c r="AS108" i="1"/>
  <c r="O107" i="3"/>
  <c r="AT108" i="1"/>
  <c r="P107" i="3"/>
  <c r="AU108" i="1"/>
  <c r="Q107" i="3"/>
  <c r="AV108" i="1"/>
  <c r="R107" i="3" s="1"/>
  <c r="AF109" i="1"/>
  <c r="B108" i="3"/>
  <c r="AG109" i="1"/>
  <c r="C108" i="3"/>
  <c r="AH109" i="1"/>
  <c r="D108" i="3"/>
  <c r="AI109" i="1"/>
  <c r="E108" i="3"/>
  <c r="AJ109" i="1"/>
  <c r="F108" i="3"/>
  <c r="AK109" i="1"/>
  <c r="G108" i="3" s="1"/>
  <c r="AL109" i="1"/>
  <c r="H108" i="3"/>
  <c r="AM109" i="1"/>
  <c r="I108" i="3"/>
  <c r="AN109" i="1"/>
  <c r="J108" i="3"/>
  <c r="AO109" i="1"/>
  <c r="K108" i="3"/>
  <c r="AP109" i="1"/>
  <c r="L108" i="3" s="1"/>
  <c r="AQ109" i="1"/>
  <c r="M108" i="3"/>
  <c r="AR109" i="1"/>
  <c r="N108" i="3" s="1"/>
  <c r="AS109" i="1"/>
  <c r="O108" i="3" s="1"/>
  <c r="AT109" i="1"/>
  <c r="P108" i="3" s="1"/>
  <c r="AU109" i="1"/>
  <c r="Q108" i="3"/>
  <c r="AV109" i="1"/>
  <c r="R108" i="3"/>
  <c r="AF110" i="1"/>
  <c r="B109" i="3"/>
  <c r="AG110" i="1"/>
  <c r="C109" i="3" s="1"/>
  <c r="AH110" i="1"/>
  <c r="D109" i="3" s="1"/>
  <c r="AI110" i="1"/>
  <c r="E109" i="3"/>
  <c r="AJ110" i="1"/>
  <c r="F109" i="3" s="1"/>
  <c r="AK110" i="1"/>
  <c r="G109" i="3"/>
  <c r="AL110" i="1"/>
  <c r="H109" i="3"/>
  <c r="AM110" i="1"/>
  <c r="I109" i="3"/>
  <c r="AN110" i="1"/>
  <c r="J109" i="3"/>
  <c r="AO110" i="1"/>
  <c r="K109" i="3"/>
  <c r="AP110" i="1"/>
  <c r="L109" i="3"/>
  <c r="AQ110" i="1"/>
  <c r="M109" i="3"/>
  <c r="AR110" i="1"/>
  <c r="N109" i="3"/>
  <c r="AS110" i="1"/>
  <c r="O109" i="3" s="1"/>
  <c r="AT110" i="1"/>
  <c r="P109" i="3"/>
  <c r="AU110" i="1"/>
  <c r="Q109" i="3"/>
  <c r="AV110" i="1"/>
  <c r="R109" i="3"/>
  <c r="S109" i="3"/>
  <c r="AF111" i="1"/>
  <c r="B110" i="3"/>
  <c r="AG111" i="1"/>
  <c r="C110" i="3"/>
  <c r="AH111" i="1"/>
  <c r="D110" i="3" s="1"/>
  <c r="AI111" i="1"/>
  <c r="E110" i="3" s="1"/>
  <c r="AJ111" i="1"/>
  <c r="F110" i="3" s="1"/>
  <c r="AK111" i="1"/>
  <c r="G110" i="3"/>
  <c r="AL111" i="1"/>
  <c r="H110" i="3"/>
  <c r="AM111" i="1"/>
  <c r="I110" i="3" s="1"/>
  <c r="AN111" i="1"/>
  <c r="J110" i="3"/>
  <c r="AO111" i="1"/>
  <c r="K110" i="3"/>
  <c r="AP111" i="1"/>
  <c r="L110" i="3"/>
  <c r="AQ111" i="1"/>
  <c r="M110" i="3"/>
  <c r="AR111" i="1"/>
  <c r="N110" i="3"/>
  <c r="AS111" i="1"/>
  <c r="O110" i="3"/>
  <c r="AT111" i="1"/>
  <c r="P110" i="3" s="1"/>
  <c r="AU111" i="1"/>
  <c r="Q110" i="3" s="1"/>
  <c r="AV111" i="1"/>
  <c r="R110" i="3" s="1"/>
  <c r="AF112" i="1"/>
  <c r="B111" i="3"/>
  <c r="AG112" i="1"/>
  <c r="C111" i="3" s="1"/>
  <c r="AH112" i="1"/>
  <c r="D111" i="3" s="1"/>
  <c r="AI112" i="1"/>
  <c r="E111" i="3"/>
  <c r="AJ112" i="1"/>
  <c r="AK112" i="1"/>
  <c r="G111" i="3"/>
  <c r="AL112" i="1"/>
  <c r="H111" i="3"/>
  <c r="AM112" i="1"/>
  <c r="I111" i="3"/>
  <c r="AN112" i="1"/>
  <c r="J111" i="3"/>
  <c r="AO112" i="1"/>
  <c r="K111" i="3" s="1"/>
  <c r="AP112" i="1"/>
  <c r="L111" i="3" s="1"/>
  <c r="AQ112" i="1"/>
  <c r="M111" i="3"/>
  <c r="AR112" i="1"/>
  <c r="N111" i="3"/>
  <c r="AS112" i="1"/>
  <c r="O111" i="3"/>
  <c r="AT112" i="1"/>
  <c r="P111" i="3"/>
  <c r="AU112" i="1"/>
  <c r="Q111" i="3"/>
  <c r="AV112" i="1"/>
  <c r="R111" i="3"/>
  <c r="AF113" i="1"/>
  <c r="AG113" i="1"/>
  <c r="C112" i="3" s="1"/>
  <c r="AH113" i="1"/>
  <c r="D112" i="3" s="1"/>
  <c r="AI113" i="1"/>
  <c r="E112" i="3"/>
  <c r="AJ113" i="1"/>
  <c r="F112" i="3"/>
  <c r="AK113" i="1"/>
  <c r="G112" i="3" s="1"/>
  <c r="AL113" i="1"/>
  <c r="H112" i="3"/>
  <c r="AM113" i="1"/>
  <c r="I112" i="3"/>
  <c r="AN113" i="1"/>
  <c r="J112" i="3"/>
  <c r="AO113" i="1"/>
  <c r="K112" i="3"/>
  <c r="AP113" i="1"/>
  <c r="L112" i="3"/>
  <c r="AQ113" i="1"/>
  <c r="M112" i="3"/>
  <c r="AR113" i="1"/>
  <c r="N112" i="3"/>
  <c r="AS113" i="1"/>
  <c r="O112" i="3"/>
  <c r="AT113" i="1"/>
  <c r="P112" i="3" s="1"/>
  <c r="AU113" i="1"/>
  <c r="Q112" i="3"/>
  <c r="AV113" i="1"/>
  <c r="R112" i="3"/>
  <c r="A3" i="12"/>
  <c r="C53" i="6"/>
  <c r="C15" i="12"/>
  <c r="D49" i="6"/>
  <c r="D53" i="6" s="1"/>
  <c r="C14" i="12" s="1"/>
  <c r="E11" i="6"/>
  <c r="P25" i="9" s="1"/>
  <c r="E53" i="6"/>
  <c r="C13" i="12" s="1"/>
  <c r="W25" i="9"/>
  <c r="C5" i="12" s="1"/>
  <c r="J3" i="17"/>
  <c r="J4" i="17"/>
  <c r="AC115" i="1"/>
  <c r="M115" i="1"/>
  <c r="M117" i="1" s="1"/>
  <c r="B10" i="17"/>
  <c r="N115" i="1"/>
  <c r="B11" i="17" s="1"/>
  <c r="O115" i="1"/>
  <c r="O117" i="1" s="1"/>
  <c r="B12" i="17"/>
  <c r="P115" i="1"/>
  <c r="B13" i="17"/>
  <c r="Q115" i="1"/>
  <c r="B14" i="17" s="1"/>
  <c r="D20" i="18" s="1"/>
  <c r="R115" i="1"/>
  <c r="B15" i="17"/>
  <c r="S115" i="1"/>
  <c r="B16" i="17"/>
  <c r="T115" i="1"/>
  <c r="B17" i="17"/>
  <c r="U115" i="1"/>
  <c r="B18" i="17" s="1"/>
  <c r="V115" i="1"/>
  <c r="B19" i="17"/>
  <c r="W115" i="1"/>
  <c r="B20" i="17"/>
  <c r="X115" i="1"/>
  <c r="B21" i="17"/>
  <c r="Y115" i="1"/>
  <c r="B22" i="17"/>
  <c r="D42" i="18" s="1"/>
  <c r="Z115" i="1"/>
  <c r="B23" i="17" s="1"/>
  <c r="D47" i="18" s="1"/>
  <c r="AA115" i="1"/>
  <c r="B24" i="17"/>
  <c r="D50" i="18" s="1"/>
  <c r="AB115" i="1"/>
  <c r="AB119" i="1" s="1"/>
  <c r="AB124" i="1" s="1"/>
  <c r="B25" i="17"/>
  <c r="E47" i="17"/>
  <c r="J41" i="19"/>
  <c r="K41" i="19"/>
  <c r="T41" i="19"/>
  <c r="E85" i="17"/>
  <c r="B4" i="20" s="1"/>
  <c r="L58" i="20"/>
  <c r="M58" i="20"/>
  <c r="B58" i="20"/>
  <c r="B25" i="20"/>
  <c r="B26" i="20"/>
  <c r="B28" i="20"/>
  <c r="B34" i="20"/>
  <c r="E34" i="20" s="1"/>
  <c r="I87" i="20" s="1"/>
  <c r="B35" i="20"/>
  <c r="B40" i="20"/>
  <c r="B41" i="20"/>
  <c r="B42" i="20"/>
  <c r="B44" i="20"/>
  <c r="B45" i="20"/>
  <c r="B47" i="20"/>
  <c r="B50" i="20"/>
  <c r="B51" i="20"/>
  <c r="B52" i="20"/>
  <c r="B54" i="20"/>
  <c r="B55" i="20"/>
  <c r="E57" i="20" s="1"/>
  <c r="I115" i="20" s="1"/>
  <c r="B60" i="20"/>
  <c r="F58" i="20"/>
  <c r="F25" i="20"/>
  <c r="F26" i="20"/>
  <c r="F28" i="20"/>
  <c r="F34" i="20"/>
  <c r="F35" i="20"/>
  <c r="F40" i="20"/>
  <c r="F41" i="20"/>
  <c r="F42" i="20"/>
  <c r="F44" i="20"/>
  <c r="F45" i="20"/>
  <c r="F47" i="20"/>
  <c r="F50" i="20"/>
  <c r="F51" i="20"/>
  <c r="F52" i="20"/>
  <c r="F54" i="20"/>
  <c r="F55" i="20"/>
  <c r="F60" i="20"/>
  <c r="G55" i="20" s="1"/>
  <c r="H20" i="20"/>
  <c r="J58" i="20" s="1"/>
  <c r="H4" i="20"/>
  <c r="L25" i="20"/>
  <c r="M25" i="20"/>
  <c r="H5" i="20"/>
  <c r="L26" i="20"/>
  <c r="M26" i="20" s="1"/>
  <c r="G28" i="20"/>
  <c r="H6" i="20"/>
  <c r="D80" i="20" s="1"/>
  <c r="J28" i="20"/>
  <c r="L28" i="20"/>
  <c r="L60" i="20" s="1"/>
  <c r="M28" i="20"/>
  <c r="C34" i="20"/>
  <c r="H7" i="20"/>
  <c r="D87" i="20" s="1"/>
  <c r="L34" i="20"/>
  <c r="M34" i="20"/>
  <c r="H8" i="20"/>
  <c r="L35" i="20"/>
  <c r="M35" i="20" s="1"/>
  <c r="H9" i="20"/>
  <c r="J40" i="20"/>
  <c r="L40" i="20"/>
  <c r="M40" i="20" s="1"/>
  <c r="H10" i="20"/>
  <c r="J41" i="20"/>
  <c r="L41" i="20"/>
  <c r="M41" i="20"/>
  <c r="H11" i="20"/>
  <c r="J42" i="20"/>
  <c r="L42" i="20"/>
  <c r="M42" i="20"/>
  <c r="C44" i="20"/>
  <c r="H12" i="20"/>
  <c r="J44" i="20" s="1"/>
  <c r="L44" i="20"/>
  <c r="M44" i="20"/>
  <c r="H13" i="20"/>
  <c r="J45" i="20"/>
  <c r="L45" i="20"/>
  <c r="M45" i="20"/>
  <c r="H14" i="20"/>
  <c r="D103" i="20" s="1"/>
  <c r="J47" i="20"/>
  <c r="L47" i="20"/>
  <c r="M47" i="20"/>
  <c r="M60" i="20" s="1"/>
  <c r="G50" i="20"/>
  <c r="H15" i="20"/>
  <c r="L50" i="20"/>
  <c r="M50" i="20" s="1"/>
  <c r="H16" i="20"/>
  <c r="J51" i="20" s="1"/>
  <c r="L51" i="20"/>
  <c r="M51" i="20"/>
  <c r="C52" i="20"/>
  <c r="H17" i="20"/>
  <c r="J52" i="20" s="1"/>
  <c r="L52" i="20"/>
  <c r="M52" i="20" s="1"/>
  <c r="C54" i="20"/>
  <c r="H18" i="20"/>
  <c r="J54" i="20" s="1"/>
  <c r="L54" i="20"/>
  <c r="M54" i="20" s="1"/>
  <c r="H19" i="20"/>
  <c r="D113" i="20" s="1"/>
  <c r="L55" i="20"/>
  <c r="M55" i="20"/>
  <c r="J40" i="19"/>
  <c r="K40" i="19"/>
  <c r="B42" i="19"/>
  <c r="C25" i="19"/>
  <c r="F25" i="19" s="1"/>
  <c r="D42" i="19"/>
  <c r="E25" i="19"/>
  <c r="H4" i="19"/>
  <c r="H25" i="19"/>
  <c r="J25" i="19"/>
  <c r="K25" i="19"/>
  <c r="C26" i="19"/>
  <c r="E26" i="19"/>
  <c r="F26" i="19"/>
  <c r="H5" i="19"/>
  <c r="H26" i="19"/>
  <c r="J26" i="19"/>
  <c r="K26" i="19"/>
  <c r="C27" i="19"/>
  <c r="E27" i="19"/>
  <c r="F27" i="19"/>
  <c r="H6" i="19"/>
  <c r="H27" i="19"/>
  <c r="J27" i="19"/>
  <c r="K27" i="19" s="1"/>
  <c r="H7" i="19"/>
  <c r="H28" i="19" s="1"/>
  <c r="J28" i="19"/>
  <c r="K28" i="19" s="1"/>
  <c r="H8" i="19"/>
  <c r="H29" i="19"/>
  <c r="J29" i="19"/>
  <c r="K29" i="19" s="1"/>
  <c r="H9" i="19"/>
  <c r="H30" i="19" s="1"/>
  <c r="J30" i="19"/>
  <c r="K30" i="19"/>
  <c r="H10" i="19"/>
  <c r="H31" i="19"/>
  <c r="J31" i="19"/>
  <c r="K31" i="19" s="1"/>
  <c r="E32" i="19"/>
  <c r="H11" i="19"/>
  <c r="H32" i="19"/>
  <c r="J32" i="19"/>
  <c r="K32" i="19"/>
  <c r="T32" i="19" s="1"/>
  <c r="E33" i="19"/>
  <c r="H12" i="19"/>
  <c r="H33" i="19"/>
  <c r="J33" i="19"/>
  <c r="K33" i="19"/>
  <c r="C34" i="19"/>
  <c r="E34" i="19"/>
  <c r="F34" i="19"/>
  <c r="H13" i="19"/>
  <c r="H34" i="19"/>
  <c r="J34" i="19"/>
  <c r="K34" i="19" s="1"/>
  <c r="J35" i="19"/>
  <c r="K35" i="19" s="1"/>
  <c r="H15" i="19"/>
  <c r="H36" i="19" s="1"/>
  <c r="J36" i="19"/>
  <c r="K36" i="19"/>
  <c r="T36" i="19" s="1"/>
  <c r="E37" i="19"/>
  <c r="H16" i="19"/>
  <c r="H37" i="19"/>
  <c r="J37" i="19"/>
  <c r="K37" i="19"/>
  <c r="C38" i="19"/>
  <c r="E38" i="19"/>
  <c r="F38" i="19"/>
  <c r="H17" i="19"/>
  <c r="H38" i="19"/>
  <c r="J38" i="19"/>
  <c r="K38" i="19"/>
  <c r="C39" i="19"/>
  <c r="E39" i="19"/>
  <c r="H18" i="19"/>
  <c r="H39" i="19"/>
  <c r="J39" i="19"/>
  <c r="K39" i="19"/>
  <c r="C40" i="19"/>
  <c r="H19" i="19"/>
  <c r="H40" i="19"/>
  <c r="E41" i="19"/>
  <c r="H20" i="19"/>
  <c r="H41" i="19"/>
  <c r="E55" i="20"/>
  <c r="I113" i="20"/>
  <c r="E52" i="20"/>
  <c r="I109" i="20"/>
  <c r="E53" i="20"/>
  <c r="I110" i="20"/>
  <c r="E20" i="17"/>
  <c r="E47" i="20"/>
  <c r="I103" i="20"/>
  <c r="E49" i="20"/>
  <c r="I105" i="20"/>
  <c r="E48" i="20"/>
  <c r="I104" i="20"/>
  <c r="T34" i="19"/>
  <c r="E45" i="20"/>
  <c r="I100" i="20" s="1"/>
  <c r="I102" i="20" s="1"/>
  <c r="E46" i="20"/>
  <c r="I101" i="20" s="1"/>
  <c r="E42" i="20"/>
  <c r="I96" i="20"/>
  <c r="E43" i="20"/>
  <c r="I97" i="20"/>
  <c r="T29" i="19"/>
  <c r="E36" i="20"/>
  <c r="I89" i="20"/>
  <c r="T31" i="19"/>
  <c r="E30" i="20"/>
  <c r="I82" i="20"/>
  <c r="E31" i="20"/>
  <c r="I83" i="20"/>
  <c r="E32" i="20"/>
  <c r="I84" i="20"/>
  <c r="E33" i="20"/>
  <c r="I85" i="20"/>
  <c r="C8" i="21"/>
  <c r="E8" i="21"/>
  <c r="F8" i="21"/>
  <c r="G8" i="21"/>
  <c r="C7" i="21"/>
  <c r="E7" i="21"/>
  <c r="F7" i="21"/>
  <c r="G7" i="21"/>
  <c r="C6" i="21"/>
  <c r="E6" i="21"/>
  <c r="F6" i="21"/>
  <c r="G6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A2" i="1"/>
  <c r="B10" i="21"/>
  <c r="B2" i="21"/>
  <c r="J121" i="1"/>
  <c r="AW97" i="1"/>
  <c r="G97" i="1" s="1"/>
  <c r="J97" i="1" s="1"/>
  <c r="AD97" i="1"/>
  <c r="H97" i="1"/>
  <c r="AD94" i="1"/>
  <c r="H94" i="1"/>
  <c r="H44" i="1"/>
  <c r="AD44" i="1"/>
  <c r="AD103" i="1"/>
  <c r="H103" i="1"/>
  <c r="AD43" i="1"/>
  <c r="H43" i="1"/>
  <c r="AD26" i="1"/>
  <c r="H26" i="1"/>
  <c r="H47" i="1"/>
  <c r="AD47" i="1"/>
  <c r="H80" i="1"/>
  <c r="H104" i="1"/>
  <c r="H65" i="1"/>
  <c r="H61" i="1"/>
  <c r="H56" i="1"/>
  <c r="H50" i="1"/>
  <c r="H28" i="1"/>
  <c r="H81" i="1"/>
  <c r="AD71" i="1"/>
  <c r="H71" i="1"/>
  <c r="H95" i="1"/>
  <c r="H85" i="1"/>
  <c r="H73" i="1"/>
  <c r="H60" i="1"/>
  <c r="H52" i="1"/>
  <c r="H89" i="1"/>
  <c r="H74" i="1"/>
  <c r="AD74" i="1"/>
  <c r="AD67" i="1"/>
  <c r="H67" i="1"/>
  <c r="H48" i="1"/>
  <c r="AD48" i="1"/>
  <c r="H45" i="1"/>
  <c r="AW45" i="1"/>
  <c r="AD45" i="1"/>
  <c r="G45" i="1"/>
  <c r="AW22" i="1"/>
  <c r="AD22" i="1"/>
  <c r="G22" i="1"/>
  <c r="H22" i="1"/>
  <c r="AD19" i="1"/>
  <c r="H19" i="1"/>
  <c r="AD13" i="1"/>
  <c r="H13" i="1"/>
  <c r="AD106" i="1"/>
  <c r="H106" i="1"/>
  <c r="AD72" i="1"/>
  <c r="H72" i="1"/>
  <c r="H66" i="1"/>
  <c r="AW66" i="1"/>
  <c r="G66" i="1" s="1"/>
  <c r="AD66" i="1"/>
  <c r="U117" i="1"/>
  <c r="AS115" i="1"/>
  <c r="AR115" i="1"/>
  <c r="AL115" i="1"/>
  <c r="AK115" i="1"/>
  <c r="AW59" i="1"/>
  <c r="G59" i="1" s="1"/>
  <c r="AW61" i="1"/>
  <c r="G61" i="1" s="1"/>
  <c r="AW63" i="1"/>
  <c r="AW89" i="1"/>
  <c r="G89" i="1" s="1"/>
  <c r="AW110" i="1"/>
  <c r="G110" i="1" s="1"/>
  <c r="G63" i="1"/>
  <c r="G36" i="1"/>
  <c r="H110" i="1"/>
  <c r="H109" i="1"/>
  <c r="H108" i="1"/>
  <c r="H107" i="1"/>
  <c r="H105" i="1"/>
  <c r="H102" i="1"/>
  <c r="H101" i="1"/>
  <c r="H100" i="1"/>
  <c r="H99" i="1"/>
  <c r="H98" i="1"/>
  <c r="H96" i="1"/>
  <c r="H93" i="1"/>
  <c r="H92" i="1"/>
  <c r="H91" i="1"/>
  <c r="H90" i="1"/>
  <c r="H88" i="1"/>
  <c r="H87" i="1"/>
  <c r="H86" i="1"/>
  <c r="H84" i="1"/>
  <c r="H83" i="1"/>
  <c r="H82" i="1"/>
  <c r="H79" i="1"/>
  <c r="H78" i="1"/>
  <c r="H77" i="1"/>
  <c r="H76" i="1"/>
  <c r="H75" i="1"/>
  <c r="H70" i="1"/>
  <c r="H69" i="1"/>
  <c r="H68" i="1"/>
  <c r="H64" i="1"/>
  <c r="H63" i="1"/>
  <c r="H62" i="1"/>
  <c r="H59" i="1"/>
  <c r="H58" i="1"/>
  <c r="H57" i="1"/>
  <c r="H55" i="1"/>
  <c r="H54" i="1"/>
  <c r="H53" i="1"/>
  <c r="H51" i="1"/>
  <c r="H49" i="1"/>
  <c r="H46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7" i="1"/>
  <c r="H25" i="1"/>
  <c r="H24" i="1"/>
  <c r="H23" i="1"/>
  <c r="H21" i="1"/>
  <c r="H20" i="1"/>
  <c r="H18" i="1"/>
  <c r="H17" i="1"/>
  <c r="H16" i="1"/>
  <c r="H15" i="1"/>
  <c r="H14" i="1"/>
  <c r="H113" i="1"/>
  <c r="H112" i="1"/>
  <c r="H111" i="1"/>
  <c r="AB127" i="1"/>
  <c r="AB128" i="1" s="1"/>
  <c r="AD49" i="1"/>
  <c r="AD37" i="1"/>
  <c r="AD31" i="1"/>
  <c r="AD17" i="1"/>
  <c r="AD113" i="1"/>
  <c r="AD80" i="1"/>
  <c r="AD52" i="1"/>
  <c r="AD38" i="1"/>
  <c r="AD24" i="1"/>
  <c r="AD110" i="1"/>
  <c r="AD105" i="1"/>
  <c r="AD92" i="1"/>
  <c r="O118" i="1"/>
  <c r="O123" i="1"/>
  <c r="P117" i="1"/>
  <c r="P118" i="1"/>
  <c r="P123" i="1"/>
  <c r="R117" i="1"/>
  <c r="R118" i="1"/>
  <c r="R123" i="1"/>
  <c r="S117" i="1"/>
  <c r="S118" i="1"/>
  <c r="S123" i="1"/>
  <c r="U118" i="1"/>
  <c r="U123" i="1"/>
  <c r="V117" i="1"/>
  <c r="V118" i="1"/>
  <c r="V123" i="1"/>
  <c r="W117" i="1"/>
  <c r="W118" i="1"/>
  <c r="Z117" i="1"/>
  <c r="Z118" i="1"/>
  <c r="Z123" i="1"/>
  <c r="AA117" i="1"/>
  <c r="AA118" i="1"/>
  <c r="AA123" i="1"/>
  <c r="AB117" i="1"/>
  <c r="AB118" i="1"/>
  <c r="M118" i="1"/>
  <c r="M123" i="1"/>
  <c r="AD34" i="1"/>
  <c r="AD69" i="1"/>
  <c r="AD70" i="1"/>
  <c r="AD73" i="1"/>
  <c r="AD75" i="1"/>
  <c r="AD76" i="1"/>
  <c r="AD77" i="1"/>
  <c r="AD78" i="1"/>
  <c r="AD51" i="1"/>
  <c r="AD82" i="1"/>
  <c r="AD79" i="1"/>
  <c r="AD81" i="1"/>
  <c r="AD83" i="1"/>
  <c r="AD84" i="1"/>
  <c r="AD108" i="1"/>
  <c r="AD99" i="1"/>
  <c r="AD29" i="1"/>
  <c r="AD95" i="1"/>
  <c r="AD63" i="1"/>
  <c r="AD86" i="1"/>
  <c r="AD65" i="1"/>
  <c r="AD46" i="1"/>
  <c r="AD42" i="1"/>
  <c r="AD40" i="1"/>
  <c r="AD33" i="1"/>
  <c r="AD28" i="1"/>
  <c r="AD100" i="1"/>
  <c r="AD55" i="1"/>
  <c r="AD98" i="1"/>
  <c r="AD68" i="1"/>
  <c r="AD57" i="1"/>
  <c r="AD36" i="1"/>
  <c r="AD25" i="1"/>
  <c r="AD27" i="1"/>
  <c r="AD91" i="1"/>
  <c r="AD32" i="1"/>
  <c r="AD23" i="1"/>
  <c r="AD16" i="1"/>
  <c r="AD14" i="1"/>
  <c r="AD15" i="1"/>
  <c r="AD18" i="1"/>
  <c r="AD20" i="1"/>
  <c r="AD21" i="1"/>
  <c r="AD30" i="1"/>
  <c r="AD35" i="1"/>
  <c r="AD39" i="1"/>
  <c r="AD41" i="1"/>
  <c r="AD50" i="1"/>
  <c r="AD53" i="1"/>
  <c r="AD54" i="1"/>
  <c r="AD56" i="1"/>
  <c r="AD58" i="1"/>
  <c r="AD59" i="1"/>
  <c r="AD60" i="1"/>
  <c r="AD61" i="1"/>
  <c r="AD62" i="1"/>
  <c r="AD64" i="1"/>
  <c r="AD85" i="1"/>
  <c r="AD87" i="1"/>
  <c r="AD88" i="1"/>
  <c r="AD89" i="1"/>
  <c r="AD90" i="1"/>
  <c r="AD93" i="1"/>
  <c r="AD96" i="1"/>
  <c r="AD101" i="1"/>
  <c r="AD102" i="1"/>
  <c r="AD104" i="1"/>
  <c r="AD107" i="1"/>
  <c r="AD109" i="1"/>
  <c r="AD111" i="1"/>
  <c r="AD112" i="1"/>
  <c r="C115" i="1"/>
  <c r="B115" i="1"/>
  <c r="B117" i="1" s="1"/>
  <c r="A7" i="1"/>
  <c r="B116" i="1"/>
  <c r="C28" i="9"/>
  <c r="D28" i="9"/>
  <c r="L28" i="9"/>
  <c r="J119" i="1"/>
  <c r="Q118" i="3"/>
  <c r="A2" i="3"/>
  <c r="A2" i="4"/>
  <c r="O112" i="17"/>
  <c r="O111" i="17"/>
  <c r="M110" i="17"/>
  <c r="O110" i="17"/>
  <c r="O113" i="17"/>
  <c r="P112" i="17"/>
  <c r="P111" i="17"/>
  <c r="O109" i="17"/>
  <c r="O108" i="17"/>
  <c r="P108" i="17" s="1"/>
  <c r="O107" i="17"/>
  <c r="N113" i="17"/>
  <c r="M113" i="17"/>
  <c r="T109" i="17"/>
  <c r="A116" i="17"/>
  <c r="F85" i="17"/>
  <c r="D85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E27" i="17"/>
  <c r="A59" i="17"/>
  <c r="A31" i="17"/>
  <c r="A2" i="17"/>
  <c r="L2" i="17"/>
  <c r="B29" i="17"/>
  <c r="D8" i="18"/>
  <c r="D12" i="18"/>
  <c r="D34" i="18"/>
  <c r="D37" i="18"/>
  <c r="D51" i="18"/>
  <c r="I57" i="18"/>
  <c r="I54" i="18"/>
  <c r="I49" i="18"/>
  <c r="I46" i="18"/>
  <c r="I40" i="18"/>
  <c r="I36" i="18"/>
  <c r="I33" i="18"/>
  <c r="I30" i="18"/>
  <c r="I25" i="18"/>
  <c r="I18" i="18"/>
  <c r="I11" i="18"/>
  <c r="A2" i="18"/>
  <c r="G8" i="18"/>
  <c r="G9" i="18"/>
  <c r="G12" i="18"/>
  <c r="G19" i="18"/>
  <c r="G20" i="18"/>
  <c r="G26" i="18"/>
  <c r="G27" i="18"/>
  <c r="G28" i="18"/>
  <c r="G31" i="18"/>
  <c r="G34" i="18"/>
  <c r="G37" i="18"/>
  <c r="G41" i="18"/>
  <c r="G42" i="18"/>
  <c r="G47" i="18"/>
  <c r="G50" i="18"/>
  <c r="G51" i="18"/>
  <c r="G55" i="18"/>
  <c r="F21" i="19"/>
  <c r="E54" i="20"/>
  <c r="I112" i="20" s="1"/>
  <c r="E51" i="20"/>
  <c r="I108" i="20"/>
  <c r="E50" i="20"/>
  <c r="I107" i="20"/>
  <c r="E44" i="20"/>
  <c r="I99" i="20"/>
  <c r="E41" i="20"/>
  <c r="I95" i="20" s="1"/>
  <c r="W59" i="20"/>
  <c r="W57" i="20"/>
  <c r="W56" i="20"/>
  <c r="W53" i="20"/>
  <c r="W49" i="20"/>
  <c r="W48" i="20"/>
  <c r="W46" i="20"/>
  <c r="W43" i="20"/>
  <c r="W39" i="20"/>
  <c r="W38" i="20"/>
  <c r="W37" i="20"/>
  <c r="W36" i="20"/>
  <c r="W33" i="20"/>
  <c r="W32" i="20"/>
  <c r="W31" i="20"/>
  <c r="W30" i="20"/>
  <c r="W29" i="20"/>
  <c r="W27" i="20"/>
  <c r="F119" i="20"/>
  <c r="D60" i="20"/>
  <c r="D94" i="20"/>
  <c r="D95" i="20"/>
  <c r="D96" i="20"/>
  <c r="D99" i="20"/>
  <c r="D100" i="20"/>
  <c r="D108" i="20"/>
  <c r="D109" i="20"/>
  <c r="D112" i="20"/>
  <c r="D117" i="20"/>
  <c r="A69" i="20"/>
  <c r="F116" i="20"/>
  <c r="F111" i="20"/>
  <c r="F102" i="20"/>
  <c r="F98" i="20"/>
  <c r="F93" i="20"/>
  <c r="F86" i="20"/>
  <c r="F79" i="20"/>
  <c r="F21" i="20"/>
  <c r="A2" i="6"/>
  <c r="B12" i="6"/>
  <c r="G12" i="6"/>
  <c r="F16" i="7"/>
  <c r="F17" i="7"/>
  <c r="F19" i="7"/>
  <c r="D35" i="7"/>
  <c r="B35" i="7"/>
  <c r="A2" i="7"/>
  <c r="D15" i="8"/>
  <c r="T15" i="8" s="1"/>
  <c r="E15" i="8"/>
  <c r="F18" i="8"/>
  <c r="R25" i="8"/>
  <c r="E17" i="8"/>
  <c r="D17" i="8"/>
  <c r="T17" i="8" s="1"/>
  <c r="G19" i="8"/>
  <c r="T19" i="8" s="1"/>
  <c r="T12" i="8"/>
  <c r="U12" i="8"/>
  <c r="W12" i="8"/>
  <c r="T13" i="8"/>
  <c r="U13" i="8"/>
  <c r="W13" i="8"/>
  <c r="U17" i="8"/>
  <c r="W17" i="8"/>
  <c r="T23" i="8"/>
  <c r="U23" i="8"/>
  <c r="W23" i="8"/>
  <c r="T20" i="8"/>
  <c r="U20" i="8"/>
  <c r="W20" i="8"/>
  <c r="D29" i="8"/>
  <c r="B29" i="8"/>
  <c r="C29" i="8"/>
  <c r="G29" i="8"/>
  <c r="H29" i="8"/>
  <c r="I29" i="8"/>
  <c r="J29" i="8"/>
  <c r="K29" i="8"/>
  <c r="L29" i="8"/>
  <c r="M29" i="8"/>
  <c r="N29" i="8"/>
  <c r="O29" i="8"/>
  <c r="P29" i="8"/>
  <c r="Q29" i="8"/>
  <c r="S29" i="8"/>
  <c r="U9" i="8"/>
  <c r="U10" i="8"/>
  <c r="U11" i="8"/>
  <c r="U14" i="8"/>
  <c r="W14" i="8" s="1"/>
  <c r="U16" i="8"/>
  <c r="U18" i="8"/>
  <c r="U19" i="8"/>
  <c r="U21" i="8"/>
  <c r="U22" i="8"/>
  <c r="U24" i="8"/>
  <c r="U25" i="8"/>
  <c r="U26" i="8"/>
  <c r="U27" i="8"/>
  <c r="T10" i="8"/>
  <c r="T11" i="8"/>
  <c r="T14" i="8"/>
  <c r="T16" i="8"/>
  <c r="T21" i="8"/>
  <c r="W21" i="8" s="1"/>
  <c r="T22" i="8"/>
  <c r="T24" i="8"/>
  <c r="T26" i="8"/>
  <c r="T27" i="8"/>
  <c r="W10" i="8"/>
  <c r="V11" i="8"/>
  <c r="W16" i="8"/>
  <c r="W19" i="8"/>
  <c r="W22" i="8"/>
  <c r="W24" i="8"/>
  <c r="W26" i="8"/>
  <c r="W27" i="8"/>
  <c r="T9" i="8"/>
  <c r="V9" i="8"/>
  <c r="W9" i="8"/>
  <c r="V29" i="8"/>
  <c r="A2" i="8"/>
  <c r="V15" i="9"/>
  <c r="V12" i="9"/>
  <c r="V11" i="9"/>
  <c r="F25" i="9"/>
  <c r="E25" i="9"/>
  <c r="I25" i="9"/>
  <c r="C25" i="9"/>
  <c r="K25" i="9"/>
  <c r="D25" i="9"/>
  <c r="B25" i="9"/>
  <c r="G25" i="9"/>
  <c r="H25" i="9"/>
  <c r="J25" i="9"/>
  <c r="V30" i="9"/>
  <c r="V27" i="9"/>
  <c r="N2" i="9"/>
  <c r="A2" i="9"/>
  <c r="S62" i="10"/>
  <c r="T62" i="10"/>
  <c r="S29" i="10"/>
  <c r="T29" i="10" s="1"/>
  <c r="S86" i="10"/>
  <c r="T86" i="10" s="1"/>
  <c r="S69" i="10"/>
  <c r="T69" i="10" s="1"/>
  <c r="S57" i="10"/>
  <c r="T57" i="10"/>
  <c r="S58" i="10"/>
  <c r="T58" i="10"/>
  <c r="S50" i="10"/>
  <c r="T50" i="10"/>
  <c r="S39" i="10"/>
  <c r="T39" i="10"/>
  <c r="S32" i="10"/>
  <c r="T32" i="10"/>
  <c r="S22" i="10"/>
  <c r="T22" i="10"/>
  <c r="S16" i="10"/>
  <c r="T16" i="10" s="1"/>
  <c r="S79" i="10"/>
  <c r="T79" i="10"/>
  <c r="S74" i="10"/>
  <c r="T74" i="10" s="1"/>
  <c r="S34" i="10"/>
  <c r="T34" i="10" s="1"/>
  <c r="D88" i="10"/>
  <c r="E88" i="10"/>
  <c r="F88" i="10"/>
  <c r="G88" i="10"/>
  <c r="H88" i="10"/>
  <c r="I88" i="10"/>
  <c r="L88" i="10"/>
  <c r="M88" i="10"/>
  <c r="N88" i="10"/>
  <c r="O88" i="10"/>
  <c r="P88" i="10"/>
  <c r="Q88" i="10"/>
  <c r="B96" i="10"/>
  <c r="J88" i="10"/>
  <c r="B98" i="10"/>
  <c r="S84" i="10"/>
  <c r="T84" i="10"/>
  <c r="S56" i="10"/>
  <c r="T56" i="10"/>
  <c r="S49" i="10"/>
  <c r="T49" i="10"/>
  <c r="S26" i="10"/>
  <c r="T26" i="10"/>
  <c r="S15" i="10"/>
  <c r="T15" i="10" s="1"/>
  <c r="S23" i="10"/>
  <c r="T23" i="10" s="1"/>
  <c r="S40" i="10"/>
  <c r="T40" i="10"/>
  <c r="S85" i="10"/>
  <c r="T85" i="10" s="1"/>
  <c r="S72" i="10"/>
  <c r="T72" i="10"/>
  <c r="S70" i="10"/>
  <c r="T70" i="10"/>
  <c r="S71" i="10"/>
  <c r="T71" i="10"/>
  <c r="S48" i="10"/>
  <c r="T48" i="10"/>
  <c r="S82" i="10"/>
  <c r="T82" i="10" s="1"/>
  <c r="S67" i="10"/>
  <c r="T67" i="10"/>
  <c r="S55" i="10"/>
  <c r="T55" i="10"/>
  <c r="S30" i="10"/>
  <c r="T30" i="10"/>
  <c r="S25" i="10"/>
  <c r="T25" i="10" s="1"/>
  <c r="S19" i="10"/>
  <c r="T19" i="10"/>
  <c r="S76" i="10"/>
  <c r="T76" i="10" s="1"/>
  <c r="S77" i="10"/>
  <c r="T77" i="10"/>
  <c r="S54" i="10"/>
  <c r="T54" i="10" s="1"/>
  <c r="S44" i="10"/>
  <c r="T44" i="10"/>
  <c r="S45" i="10"/>
  <c r="T45" i="10"/>
  <c r="K88" i="10"/>
  <c r="R88" i="10"/>
  <c r="S75" i="10"/>
  <c r="T75" i="10"/>
  <c r="S63" i="10"/>
  <c r="T63" i="10"/>
  <c r="S43" i="10"/>
  <c r="T43" i="10"/>
  <c r="S38" i="10"/>
  <c r="T38" i="10"/>
  <c r="S13" i="10"/>
  <c r="S14" i="10"/>
  <c r="S17" i="10"/>
  <c r="S18" i="10"/>
  <c r="S20" i="10"/>
  <c r="S21" i="10"/>
  <c r="S24" i="10"/>
  <c r="T24" i="10" s="1"/>
  <c r="S27" i="10"/>
  <c r="T27" i="10" s="1"/>
  <c r="S28" i="10"/>
  <c r="T28" i="10" s="1"/>
  <c r="S31" i="10"/>
  <c r="T31" i="10" s="1"/>
  <c r="S36" i="10"/>
  <c r="T36" i="10" s="1"/>
  <c r="S37" i="10"/>
  <c r="T37" i="10" s="1"/>
  <c r="S41" i="10"/>
  <c r="S42" i="10"/>
  <c r="S46" i="10"/>
  <c r="S47" i="10"/>
  <c r="T47" i="10" s="1"/>
  <c r="S51" i="10"/>
  <c r="T51" i="10" s="1"/>
  <c r="S52" i="10"/>
  <c r="T52" i="10" s="1"/>
  <c r="S53" i="10"/>
  <c r="T53" i="10" s="1"/>
  <c r="S59" i="10"/>
  <c r="T59" i="10" s="1"/>
  <c r="S60" i="10"/>
  <c r="T60" i="10" s="1"/>
  <c r="S61" i="10"/>
  <c r="S64" i="10"/>
  <c r="S65" i="10"/>
  <c r="S66" i="10"/>
  <c r="S68" i="10"/>
  <c r="S73" i="10"/>
  <c r="T73" i="10" s="1"/>
  <c r="S33" i="10"/>
  <c r="T33" i="10" s="1"/>
  <c r="S78" i="10"/>
  <c r="T78" i="10" s="1"/>
  <c r="S80" i="10"/>
  <c r="S81" i="10"/>
  <c r="S35" i="10"/>
  <c r="S83" i="10"/>
  <c r="T13" i="10"/>
  <c r="T14" i="10"/>
  <c r="T17" i="10"/>
  <c r="T18" i="10"/>
  <c r="T20" i="10"/>
  <c r="T21" i="10"/>
  <c r="T41" i="10"/>
  <c r="T42" i="10"/>
  <c r="T46" i="10"/>
  <c r="T61" i="10"/>
  <c r="T64" i="10"/>
  <c r="T65" i="10"/>
  <c r="T66" i="10"/>
  <c r="T68" i="10"/>
  <c r="T80" i="10"/>
  <c r="T81" i="10"/>
  <c r="T35" i="10"/>
  <c r="T83" i="10"/>
  <c r="A7" i="10"/>
  <c r="A2" i="10"/>
  <c r="J32" i="22"/>
  <c r="H87" i="22"/>
  <c r="I87" i="22"/>
  <c r="J87" i="22"/>
  <c r="K87" i="22"/>
  <c r="L87" i="22"/>
  <c r="H86" i="22"/>
  <c r="I86" i="22"/>
  <c r="J86" i="22"/>
  <c r="K86" i="22"/>
  <c r="L86" i="22"/>
  <c r="H43" i="22"/>
  <c r="I43" i="22"/>
  <c r="J43" i="22"/>
  <c r="K43" i="22"/>
  <c r="H41" i="22"/>
  <c r="I41" i="22"/>
  <c r="J41" i="22"/>
  <c r="K41" i="22"/>
  <c r="L41" i="22"/>
  <c r="H117" i="22"/>
  <c r="I117" i="22"/>
  <c r="K117" i="22"/>
  <c r="L117" i="22"/>
  <c r="H32" i="22"/>
  <c r="I32" i="22"/>
  <c r="K32" i="22"/>
  <c r="L32" i="22"/>
  <c r="J108" i="22"/>
  <c r="H108" i="22"/>
  <c r="I108" i="22"/>
  <c r="K108" i="22"/>
  <c r="L108" i="22"/>
  <c r="J95" i="22"/>
  <c r="H95" i="22"/>
  <c r="I95" i="22"/>
  <c r="K95" i="22"/>
  <c r="L95" i="22"/>
  <c r="J89" i="22"/>
  <c r="H89" i="22"/>
  <c r="I89" i="22"/>
  <c r="K89" i="22"/>
  <c r="J81" i="22"/>
  <c r="H81" i="22"/>
  <c r="I81" i="22"/>
  <c r="L81" i="22" s="1"/>
  <c r="K81" i="22"/>
  <c r="J72" i="22"/>
  <c r="H72" i="22"/>
  <c r="I72" i="22"/>
  <c r="K72" i="22"/>
  <c r="H65" i="22"/>
  <c r="I65" i="22"/>
  <c r="J65" i="22"/>
  <c r="K65" i="22"/>
  <c r="L65" i="22"/>
  <c r="J60" i="22"/>
  <c r="H60" i="22"/>
  <c r="I60" i="22"/>
  <c r="K60" i="22"/>
  <c r="L60" i="22"/>
  <c r="J54" i="22"/>
  <c r="L54" i="22" s="1"/>
  <c r="H54" i="22"/>
  <c r="I54" i="22"/>
  <c r="K54" i="22"/>
  <c r="J52" i="22"/>
  <c r="H52" i="22"/>
  <c r="I52" i="22"/>
  <c r="K52" i="22"/>
  <c r="L52" i="22"/>
  <c r="J49" i="22"/>
  <c r="H49" i="22"/>
  <c r="L49" i="22" s="1"/>
  <c r="I49" i="22"/>
  <c r="K49" i="22"/>
  <c r="J40" i="22"/>
  <c r="H40" i="22"/>
  <c r="I40" i="22"/>
  <c r="K40" i="22"/>
  <c r="J34" i="22"/>
  <c r="H34" i="22"/>
  <c r="I34" i="22"/>
  <c r="K34" i="22"/>
  <c r="L34" i="22"/>
  <c r="J31" i="22"/>
  <c r="H31" i="22"/>
  <c r="I31" i="22"/>
  <c r="K31" i="22"/>
  <c r="L31" i="22"/>
  <c r="J28" i="22"/>
  <c r="H28" i="22"/>
  <c r="I28" i="22"/>
  <c r="K28" i="22"/>
  <c r="L28" i="22"/>
  <c r="J25" i="22"/>
  <c r="H25" i="22"/>
  <c r="I25" i="22"/>
  <c r="K25" i="22"/>
  <c r="L25" i="22"/>
  <c r="J21" i="22"/>
  <c r="H21" i="22"/>
  <c r="I21" i="22"/>
  <c r="K21" i="22"/>
  <c r="J48" i="22"/>
  <c r="H48" i="22"/>
  <c r="I48" i="22"/>
  <c r="K48" i="22"/>
  <c r="L48" i="22" s="1"/>
  <c r="H121" i="22"/>
  <c r="I121" i="22"/>
  <c r="J121" i="22"/>
  <c r="K121" i="22"/>
  <c r="J70" i="22"/>
  <c r="J66" i="22"/>
  <c r="J61" i="22"/>
  <c r="J59" i="22"/>
  <c r="J53" i="22"/>
  <c r="J24" i="22"/>
  <c r="L24" i="22" s="1"/>
  <c r="J90" i="22"/>
  <c r="J107" i="22"/>
  <c r="H90" i="22"/>
  <c r="I90" i="22"/>
  <c r="K90" i="22"/>
  <c r="L90" i="22"/>
  <c r="J88" i="22"/>
  <c r="H78" i="22"/>
  <c r="L78" i="22" s="1"/>
  <c r="I78" i="22"/>
  <c r="J78" i="22"/>
  <c r="K78" i="22"/>
  <c r="J44" i="22"/>
  <c r="J33" i="22"/>
  <c r="J104" i="22"/>
  <c r="J94" i="22"/>
  <c r="J64" i="22"/>
  <c r="J56" i="22"/>
  <c r="J80" i="22"/>
  <c r="H80" i="22"/>
  <c r="L80" i="22" s="1"/>
  <c r="I80" i="22"/>
  <c r="K80" i="22"/>
  <c r="H73" i="22"/>
  <c r="I73" i="22"/>
  <c r="J73" i="22"/>
  <c r="K73" i="22"/>
  <c r="L73" i="22"/>
  <c r="J50" i="22"/>
  <c r="H50" i="22"/>
  <c r="I50" i="22"/>
  <c r="K50" i="22"/>
  <c r="J51" i="22"/>
  <c r="H51" i="22"/>
  <c r="I51" i="22"/>
  <c r="K51" i="22"/>
  <c r="L51" i="22"/>
  <c r="J46" i="22"/>
  <c r="H46" i="22"/>
  <c r="I46" i="22"/>
  <c r="K46" i="22"/>
  <c r="L46" i="22"/>
  <c r="H45" i="22"/>
  <c r="I45" i="22"/>
  <c r="J45" i="22"/>
  <c r="K45" i="22"/>
  <c r="L45" i="22"/>
  <c r="J39" i="22"/>
  <c r="L39" i="22" s="1"/>
  <c r="J30" i="22"/>
  <c r="J29" i="22"/>
  <c r="J27" i="22"/>
  <c r="J20" i="22"/>
  <c r="H18" i="22"/>
  <c r="I18" i="22"/>
  <c r="J18" i="22"/>
  <c r="K18" i="22"/>
  <c r="L18" i="22"/>
  <c r="H113" i="22"/>
  <c r="I113" i="22"/>
  <c r="J113" i="22"/>
  <c r="K113" i="22"/>
  <c r="J71" i="22"/>
  <c r="H71" i="22"/>
  <c r="I71" i="22"/>
  <c r="K71" i="22"/>
  <c r="L71" i="22"/>
  <c r="J55" i="22"/>
  <c r="H55" i="22"/>
  <c r="I55" i="22"/>
  <c r="K55" i="22"/>
  <c r="L55" i="22"/>
  <c r="J69" i="22"/>
  <c r="H69" i="22"/>
  <c r="L69" i="22" s="1"/>
  <c r="I69" i="22"/>
  <c r="K69" i="22"/>
  <c r="J84" i="22"/>
  <c r="K84" i="22"/>
  <c r="H84" i="22"/>
  <c r="I84" i="22"/>
  <c r="L84" i="22"/>
  <c r="J93" i="22"/>
  <c r="H93" i="22"/>
  <c r="I93" i="22"/>
  <c r="K93" i="22"/>
  <c r="J98" i="22"/>
  <c r="H98" i="22"/>
  <c r="I98" i="22"/>
  <c r="K98" i="22"/>
  <c r="L98" i="22"/>
  <c r="J114" i="22"/>
  <c r="H114" i="22"/>
  <c r="I114" i="22"/>
  <c r="K114" i="22"/>
  <c r="J120" i="22"/>
  <c r="H120" i="22"/>
  <c r="I120" i="22"/>
  <c r="K120" i="22"/>
  <c r="L120" i="22"/>
  <c r="H20" i="22"/>
  <c r="I20" i="22"/>
  <c r="K20" i="22"/>
  <c r="L20" i="22"/>
  <c r="H27" i="22"/>
  <c r="I27" i="22"/>
  <c r="K27" i="22"/>
  <c r="L27" i="22"/>
  <c r="H29" i="22"/>
  <c r="I29" i="22"/>
  <c r="K29" i="22"/>
  <c r="K30" i="22"/>
  <c r="H30" i="22"/>
  <c r="I30" i="22"/>
  <c r="L30" i="22"/>
  <c r="J35" i="22"/>
  <c r="H35" i="22"/>
  <c r="I35" i="22"/>
  <c r="K35" i="22"/>
  <c r="L35" i="22" s="1"/>
  <c r="H39" i="22"/>
  <c r="I39" i="22"/>
  <c r="K39" i="22"/>
  <c r="J63" i="22"/>
  <c r="H63" i="22"/>
  <c r="I63" i="22"/>
  <c r="K63" i="22"/>
  <c r="L63" i="22"/>
  <c r="J82" i="22"/>
  <c r="H82" i="22"/>
  <c r="I82" i="22"/>
  <c r="K82" i="22"/>
  <c r="J85" i="22"/>
  <c r="H85" i="22"/>
  <c r="I85" i="22"/>
  <c r="K85" i="22"/>
  <c r="L85" i="22"/>
  <c r="J91" i="22"/>
  <c r="K91" i="22"/>
  <c r="H91" i="22"/>
  <c r="L91" i="22" s="1"/>
  <c r="I91" i="22"/>
  <c r="J96" i="22"/>
  <c r="H96" i="22"/>
  <c r="I96" i="22"/>
  <c r="K96" i="22"/>
  <c r="J97" i="22"/>
  <c r="H97" i="22"/>
  <c r="I97" i="22"/>
  <c r="K97" i="22"/>
  <c r="L97" i="22"/>
  <c r="J99" i="22"/>
  <c r="H99" i="22"/>
  <c r="L99" i="22" s="1"/>
  <c r="I99" i="22"/>
  <c r="K99" i="22"/>
  <c r="J100" i="22"/>
  <c r="H100" i="22"/>
  <c r="I100" i="22"/>
  <c r="K100" i="22"/>
  <c r="L100" i="22"/>
  <c r="J118" i="22"/>
  <c r="K118" i="22"/>
  <c r="H118" i="22"/>
  <c r="I118" i="22"/>
  <c r="L118" i="22"/>
  <c r="H56" i="22"/>
  <c r="I56" i="22"/>
  <c r="K56" i="22"/>
  <c r="L56" i="22"/>
  <c r="H64" i="22"/>
  <c r="I64" i="22"/>
  <c r="K64" i="22"/>
  <c r="L64" i="22"/>
  <c r="J74" i="22"/>
  <c r="H74" i="22"/>
  <c r="I74" i="22"/>
  <c r="K74" i="22"/>
  <c r="J75" i="22"/>
  <c r="K75" i="22"/>
  <c r="H75" i="22"/>
  <c r="L75" i="22" s="1"/>
  <c r="I75" i="22"/>
  <c r="J76" i="22"/>
  <c r="H76" i="22"/>
  <c r="I76" i="22"/>
  <c r="K76" i="22"/>
  <c r="J77" i="22"/>
  <c r="K77" i="22"/>
  <c r="H77" i="22"/>
  <c r="I77" i="22"/>
  <c r="L77" i="22"/>
  <c r="J79" i="22"/>
  <c r="H79" i="22"/>
  <c r="L79" i="22" s="1"/>
  <c r="I79" i="22"/>
  <c r="K79" i="22"/>
  <c r="H94" i="22"/>
  <c r="I94" i="22"/>
  <c r="K94" i="22"/>
  <c r="J103" i="22"/>
  <c r="H103" i="22"/>
  <c r="I103" i="22"/>
  <c r="K103" i="22"/>
  <c r="H104" i="22"/>
  <c r="L104" i="22" s="1"/>
  <c r="I104" i="22"/>
  <c r="K104" i="22"/>
  <c r="J105" i="22"/>
  <c r="H105" i="22"/>
  <c r="I105" i="22"/>
  <c r="L105" i="22" s="1"/>
  <c r="K105" i="22"/>
  <c r="J109" i="22"/>
  <c r="H109" i="22"/>
  <c r="L109" i="22" s="1"/>
  <c r="I109" i="22"/>
  <c r="K109" i="22"/>
  <c r="J115" i="22"/>
  <c r="H115" i="22"/>
  <c r="I115" i="22"/>
  <c r="K115" i="22"/>
  <c r="L115" i="22"/>
  <c r="J14" i="22"/>
  <c r="H14" i="22"/>
  <c r="I14" i="22"/>
  <c r="K14" i="22"/>
  <c r="L14" i="22"/>
  <c r="J17" i="22"/>
  <c r="H17" i="22"/>
  <c r="I17" i="22"/>
  <c r="K17" i="22"/>
  <c r="L17" i="22"/>
  <c r="J19" i="22"/>
  <c r="H19" i="22"/>
  <c r="I19" i="22"/>
  <c r="K19" i="22"/>
  <c r="L19" i="22"/>
  <c r="J22" i="22"/>
  <c r="I22" i="22"/>
  <c r="H22" i="22"/>
  <c r="K22" i="22"/>
  <c r="J23" i="22"/>
  <c r="H23" i="22"/>
  <c r="I23" i="22"/>
  <c r="L23" i="22" s="1"/>
  <c r="K23" i="22"/>
  <c r="H33" i="22"/>
  <c r="I33" i="22"/>
  <c r="K33" i="22"/>
  <c r="J36" i="22"/>
  <c r="H36" i="22"/>
  <c r="I36" i="22"/>
  <c r="K36" i="22"/>
  <c r="L36" i="22"/>
  <c r="J37" i="22"/>
  <c r="H37" i="22"/>
  <c r="I37" i="22"/>
  <c r="K37" i="22"/>
  <c r="L37" i="22"/>
  <c r="J42" i="22"/>
  <c r="H42" i="22"/>
  <c r="I42" i="22"/>
  <c r="K42" i="22"/>
  <c r="L42" i="22"/>
  <c r="H44" i="22"/>
  <c r="I44" i="22"/>
  <c r="K44" i="22"/>
  <c r="J83" i="22"/>
  <c r="H83" i="22"/>
  <c r="I83" i="22"/>
  <c r="K83" i="22"/>
  <c r="L83" i="22" s="1"/>
  <c r="H88" i="22"/>
  <c r="I88" i="22"/>
  <c r="K88" i="22"/>
  <c r="J92" i="22"/>
  <c r="H92" i="22"/>
  <c r="I92" i="22"/>
  <c r="K92" i="22"/>
  <c r="L92" i="22"/>
  <c r="J102" i="22"/>
  <c r="H102" i="22"/>
  <c r="I102" i="22"/>
  <c r="K102" i="22"/>
  <c r="L102" i="22"/>
  <c r="J106" i="22"/>
  <c r="H106" i="22"/>
  <c r="L106" i="22" s="1"/>
  <c r="I106" i="22"/>
  <c r="K106" i="22"/>
  <c r="H107" i="22"/>
  <c r="I107" i="22"/>
  <c r="K107" i="22"/>
  <c r="L107" i="22"/>
  <c r="J119" i="22"/>
  <c r="H119" i="22"/>
  <c r="I119" i="22"/>
  <c r="K119" i="22"/>
  <c r="L119" i="22"/>
  <c r="J15" i="22"/>
  <c r="H15" i="22"/>
  <c r="I15" i="22"/>
  <c r="K15" i="22"/>
  <c r="H24" i="22"/>
  <c r="I24" i="22"/>
  <c r="K24" i="22"/>
  <c r="J26" i="22"/>
  <c r="H26" i="22"/>
  <c r="I26" i="22"/>
  <c r="K26" i="22"/>
  <c r="J38" i="22"/>
  <c r="H38" i="22"/>
  <c r="I38" i="22"/>
  <c r="K38" i="22"/>
  <c r="H53" i="22"/>
  <c r="I53" i="22"/>
  <c r="K53" i="22"/>
  <c r="J57" i="22"/>
  <c r="H57" i="22"/>
  <c r="I57" i="22"/>
  <c r="K57" i="22"/>
  <c r="L57" i="22"/>
  <c r="J58" i="22"/>
  <c r="H58" i="22"/>
  <c r="L58" i="22" s="1"/>
  <c r="I58" i="22"/>
  <c r="K58" i="22"/>
  <c r="H59" i="22"/>
  <c r="I59" i="22"/>
  <c r="K59" i="22"/>
  <c r="L59" i="22"/>
  <c r="K61" i="22"/>
  <c r="H61" i="22"/>
  <c r="I61" i="22"/>
  <c r="J62" i="22"/>
  <c r="H62" i="22"/>
  <c r="I62" i="22"/>
  <c r="K62" i="22"/>
  <c r="L62" i="22"/>
  <c r="H66" i="22"/>
  <c r="I66" i="22"/>
  <c r="K66" i="22"/>
  <c r="J67" i="22"/>
  <c r="H67" i="22"/>
  <c r="I67" i="22"/>
  <c r="K67" i="22"/>
  <c r="L67" i="22"/>
  <c r="H70" i="22"/>
  <c r="I70" i="22"/>
  <c r="K70" i="22"/>
  <c r="J101" i="22"/>
  <c r="H101" i="22"/>
  <c r="L101" i="22" s="1"/>
  <c r="I101" i="22"/>
  <c r="K101" i="22"/>
  <c r="J110" i="22"/>
  <c r="H110" i="22"/>
  <c r="I110" i="22"/>
  <c r="K110" i="22"/>
  <c r="L110" i="22"/>
  <c r="J111" i="22"/>
  <c r="H111" i="22"/>
  <c r="I111" i="22"/>
  <c r="K111" i="22"/>
  <c r="J112" i="22"/>
  <c r="H112" i="22"/>
  <c r="I112" i="22"/>
  <c r="L112" i="22" s="1"/>
  <c r="K112" i="22"/>
  <c r="J116" i="22"/>
  <c r="H116" i="22"/>
  <c r="L116" i="22" s="1"/>
  <c r="I116" i="22"/>
  <c r="K116" i="22"/>
  <c r="H13" i="22"/>
  <c r="I13" i="22"/>
  <c r="J13" i="22"/>
  <c r="K13" i="22"/>
  <c r="L13" i="22"/>
  <c r="H16" i="22"/>
  <c r="I16" i="22"/>
  <c r="J16" i="22"/>
  <c r="K16" i="22"/>
  <c r="H47" i="22"/>
  <c r="L47" i="22" s="1"/>
  <c r="I47" i="22"/>
  <c r="J47" i="22"/>
  <c r="K47" i="22"/>
  <c r="H68" i="22"/>
  <c r="I68" i="22"/>
  <c r="J68" i="22"/>
  <c r="K68" i="22"/>
  <c r="L68" i="22"/>
  <c r="G123" i="22"/>
  <c r="G126" i="22"/>
  <c r="F123" i="22"/>
  <c r="F126" i="22" s="1"/>
  <c r="E123" i="22"/>
  <c r="E126" i="22"/>
  <c r="D123" i="22"/>
  <c r="D126" i="22"/>
  <c r="C123" i="22"/>
  <c r="C126" i="22" s="1"/>
  <c r="B123" i="22"/>
  <c r="B126" i="22"/>
  <c r="L128" i="22"/>
  <c r="A7" i="22"/>
  <c r="A2" i="22"/>
  <c r="A2" i="2"/>
  <c r="S24" i="3" l="1"/>
  <c r="AW70" i="1"/>
  <c r="G70" i="1" s="1"/>
  <c r="J70" i="1" s="1"/>
  <c r="N69" i="3"/>
  <c r="E115" i="1"/>
  <c r="E117" i="1" s="1"/>
  <c r="S102" i="3"/>
  <c r="AW103" i="1"/>
  <c r="G103" i="1" s="1"/>
  <c r="R17" i="9"/>
  <c r="S17" i="9" s="1"/>
  <c r="U17" i="9" s="1"/>
  <c r="S97" i="3"/>
  <c r="J50" i="20"/>
  <c r="D107" i="20"/>
  <c r="S95" i="3"/>
  <c r="J51" i="1"/>
  <c r="D115" i="1"/>
  <c r="D117" i="1" s="1"/>
  <c r="S91" i="3"/>
  <c r="S104" i="3"/>
  <c r="J22" i="1"/>
  <c r="S87" i="3"/>
  <c r="S93" i="3"/>
  <c r="J54" i="1"/>
  <c r="J52" i="1"/>
  <c r="J21" i="1"/>
  <c r="C35" i="7"/>
  <c r="F10" i="7"/>
  <c r="S74" i="3"/>
  <c r="S67" i="3"/>
  <c r="J27" i="1"/>
  <c r="J17" i="1"/>
  <c r="H52" i="20"/>
  <c r="AW105" i="1"/>
  <c r="G105" i="1" s="1"/>
  <c r="J105" i="1" s="1"/>
  <c r="J62" i="1"/>
  <c r="AW107" i="1"/>
  <c r="G107" i="1" s="1"/>
  <c r="J58" i="1"/>
  <c r="J107" i="1"/>
  <c r="T25" i="8"/>
  <c r="W25" i="8" s="1"/>
  <c r="R29" i="8"/>
  <c r="E43" i="3"/>
  <c r="S43" i="3" s="1"/>
  <c r="AW44" i="1"/>
  <c r="G44" i="1" s="1"/>
  <c r="O113" i="3"/>
  <c r="J13" i="1"/>
  <c r="F115" i="1"/>
  <c r="F117" i="1" s="1"/>
  <c r="S80" i="4"/>
  <c r="S36" i="4"/>
  <c r="S25" i="4"/>
  <c r="S108" i="3"/>
  <c r="P113" i="3"/>
  <c r="S72" i="4"/>
  <c r="S87" i="4"/>
  <c r="S43" i="4"/>
  <c r="S56" i="3"/>
  <c r="S32" i="4"/>
  <c r="Q114" i="4"/>
  <c r="B46" i="6" s="1"/>
  <c r="G46" i="6" s="1"/>
  <c r="F40" i="19"/>
  <c r="S110" i="3"/>
  <c r="D45" i="3"/>
  <c r="AW46" i="1"/>
  <c r="G46" i="1" s="1"/>
  <c r="J46" i="1" s="1"/>
  <c r="AW111" i="1"/>
  <c r="G111" i="1" s="1"/>
  <c r="S45" i="3"/>
  <c r="I98" i="20"/>
  <c r="N114" i="4"/>
  <c r="B40" i="6" s="1"/>
  <c r="G40" i="6" s="1"/>
  <c r="J29" i="1"/>
  <c r="AW50" i="1"/>
  <c r="G50" i="1" s="1"/>
  <c r="M114" i="4"/>
  <c r="B38" i="6" s="1"/>
  <c r="G38" i="6" s="1"/>
  <c r="J28" i="1"/>
  <c r="T26" i="19"/>
  <c r="S49" i="3"/>
  <c r="AW52" i="1"/>
  <c r="G52" i="1" s="1"/>
  <c r="K114" i="4"/>
  <c r="B34" i="6" s="1"/>
  <c r="G34" i="6" s="1"/>
  <c r="J26" i="1"/>
  <c r="E52" i="21"/>
  <c r="G52" i="21" s="1"/>
  <c r="E54" i="21"/>
  <c r="F39" i="19"/>
  <c r="E54" i="17"/>
  <c r="B4" i="19" s="1"/>
  <c r="H14" i="19"/>
  <c r="H35" i="19" s="1"/>
  <c r="H42" i="19" s="1"/>
  <c r="S51" i="3"/>
  <c r="C4" i="21"/>
  <c r="C47" i="3"/>
  <c r="S47" i="3" s="1"/>
  <c r="AW48" i="1"/>
  <c r="G48" i="1" s="1"/>
  <c r="AW25" i="1"/>
  <c r="G25" i="1" s="1"/>
  <c r="J25" i="1" s="1"/>
  <c r="J60" i="1"/>
  <c r="R113" i="3"/>
  <c r="S106" i="3"/>
  <c r="S15" i="3"/>
  <c r="B64" i="3"/>
  <c r="S64" i="3" s="1"/>
  <c r="AW65" i="1"/>
  <c r="G65" i="1" s="1"/>
  <c r="J65" i="1" s="1"/>
  <c r="Y118" i="1"/>
  <c r="Y117" i="1"/>
  <c r="Y123" i="1" s="1"/>
  <c r="L66" i="22"/>
  <c r="D41" i="18"/>
  <c r="Q113" i="3"/>
  <c r="X117" i="1"/>
  <c r="X123" i="1" s="1"/>
  <c r="X118" i="1"/>
  <c r="AW54" i="1"/>
  <c r="G54" i="1" s="1"/>
  <c r="AW39" i="1"/>
  <c r="G39" i="1" s="1"/>
  <c r="J49" i="1"/>
  <c r="J39" i="1"/>
  <c r="N113" i="3"/>
  <c r="AT115" i="1"/>
  <c r="R114" i="4"/>
  <c r="B48" i="6" s="1"/>
  <c r="G48" i="6" s="1"/>
  <c r="D113" i="3"/>
  <c r="D31" i="18"/>
  <c r="S70" i="3"/>
  <c r="D27" i="18"/>
  <c r="AW71" i="1"/>
  <c r="G71" i="1" s="1"/>
  <c r="AW62" i="1"/>
  <c r="G62" i="1" s="1"/>
  <c r="J85" i="1"/>
  <c r="S29" i="4"/>
  <c r="J104" i="1"/>
  <c r="J103" i="1"/>
  <c r="S68" i="3"/>
  <c r="L61" i="22"/>
  <c r="D77" i="20"/>
  <c r="J26" i="20"/>
  <c r="H21" i="20"/>
  <c r="T118" i="1"/>
  <c r="T117" i="1"/>
  <c r="T123" i="1" s="1"/>
  <c r="L94" i="22"/>
  <c r="AW58" i="1"/>
  <c r="G58" i="1" s="1"/>
  <c r="J48" i="1"/>
  <c r="J111" i="1"/>
  <c r="J108" i="1"/>
  <c r="J102" i="1"/>
  <c r="AW67" i="1"/>
  <c r="G67" i="1" s="1"/>
  <c r="J67" i="1" s="1"/>
  <c r="D28" i="18"/>
  <c r="AW69" i="1"/>
  <c r="G69" i="1" s="1"/>
  <c r="J69" i="1" s="1"/>
  <c r="AW56" i="1"/>
  <c r="G56" i="1" s="1"/>
  <c r="J56" i="1" s="1"/>
  <c r="J55" i="20"/>
  <c r="J50" i="1"/>
  <c r="J112" i="1"/>
  <c r="AW92" i="1"/>
  <c r="G92" i="1" s="1"/>
  <c r="J92" i="1" s="1"/>
  <c r="J109" i="1"/>
  <c r="J44" i="1"/>
  <c r="I114" i="4"/>
  <c r="B30" i="6" s="1"/>
  <c r="G30" i="6" s="1"/>
  <c r="T18" i="8"/>
  <c r="W18" i="8" s="1"/>
  <c r="F29" i="8"/>
  <c r="E29" i="8"/>
  <c r="X29" i="8" s="1"/>
  <c r="U15" i="8"/>
  <c r="S113" i="4"/>
  <c r="S14" i="4"/>
  <c r="AW109" i="1"/>
  <c r="G109" i="1" s="1"/>
  <c r="S66" i="3"/>
  <c r="S94" i="3"/>
  <c r="S30" i="3"/>
  <c r="J34" i="3"/>
  <c r="S34" i="3" s="1"/>
  <c r="AW35" i="1"/>
  <c r="G35" i="1" s="1"/>
  <c r="J35" i="1" s="1"/>
  <c r="E114" i="4"/>
  <c r="B22" i="6" s="1"/>
  <c r="G22" i="6" s="1"/>
  <c r="T88" i="10"/>
  <c r="D19" i="18"/>
  <c r="I115" i="1"/>
  <c r="I117" i="1" s="1"/>
  <c r="AW33" i="1"/>
  <c r="G33" i="1" s="1"/>
  <c r="J33" i="1" s="1"/>
  <c r="S18" i="4"/>
  <c r="S114" i="4" s="1"/>
  <c r="C10" i="11" s="1"/>
  <c r="J38" i="1"/>
  <c r="C11" i="12"/>
  <c r="B14" i="6"/>
  <c r="G14" i="6" s="1"/>
  <c r="S76" i="4"/>
  <c r="T37" i="19"/>
  <c r="AW41" i="1"/>
  <c r="G41" i="1" s="1"/>
  <c r="J41" i="1" s="1"/>
  <c r="J123" i="22"/>
  <c r="J126" i="22" s="1"/>
  <c r="AW64" i="1"/>
  <c r="G64" i="1" s="1"/>
  <c r="J64" i="1" s="1"/>
  <c r="S98" i="3"/>
  <c r="I111" i="20"/>
  <c r="S28" i="3"/>
  <c r="J47" i="1"/>
  <c r="J43" i="1"/>
  <c r="C16" i="12"/>
  <c r="B50" i="6"/>
  <c r="G50" i="6" s="1"/>
  <c r="C96" i="10"/>
  <c r="B92" i="10"/>
  <c r="B94" i="10" s="1"/>
  <c r="G114" i="4"/>
  <c r="B26" i="6" s="1"/>
  <c r="G26" i="6" s="1"/>
  <c r="AW90" i="1"/>
  <c r="G90" i="1" s="1"/>
  <c r="J90" i="1" s="1"/>
  <c r="AW73" i="1"/>
  <c r="G73" i="1" s="1"/>
  <c r="J73" i="1" s="1"/>
  <c r="L89" i="22"/>
  <c r="AW99" i="1"/>
  <c r="G99" i="1" s="1"/>
  <c r="J99" i="1" s="1"/>
  <c r="AW94" i="1"/>
  <c r="G94" i="1" s="1"/>
  <c r="J94" i="1" s="1"/>
  <c r="H54" i="20"/>
  <c r="S85" i="3"/>
  <c r="AW75" i="1"/>
  <c r="G75" i="1" s="1"/>
  <c r="J75" i="1" s="1"/>
  <c r="S72" i="3"/>
  <c r="AW68" i="1"/>
  <c r="G68" i="1" s="1"/>
  <c r="J68" i="1" s="1"/>
  <c r="S69" i="4"/>
  <c r="C17" i="12"/>
  <c r="C92" i="10"/>
  <c r="C94" i="10" s="1"/>
  <c r="B51" i="6"/>
  <c r="G51" i="6" s="1"/>
  <c r="C98" i="10"/>
  <c r="S83" i="3"/>
  <c r="AW60" i="1"/>
  <c r="G60" i="1" s="1"/>
  <c r="G51" i="20"/>
  <c r="G40" i="20"/>
  <c r="G35" i="20"/>
  <c r="G52" i="20"/>
  <c r="G58" i="20"/>
  <c r="G45" i="20"/>
  <c r="G25" i="20"/>
  <c r="G26" i="20"/>
  <c r="G34" i="20"/>
  <c r="H34" i="20" s="1"/>
  <c r="G42" i="20"/>
  <c r="G41" i="20"/>
  <c r="G54" i="20"/>
  <c r="L76" i="22"/>
  <c r="L21" i="22"/>
  <c r="D9" i="18"/>
  <c r="AW20" i="1"/>
  <c r="G20" i="1" s="1"/>
  <c r="J20" i="1" s="1"/>
  <c r="L16" i="22"/>
  <c r="B112" i="3"/>
  <c r="S112" i="3" s="1"/>
  <c r="AW113" i="1"/>
  <c r="G113" i="1" s="1"/>
  <c r="J113" i="1" s="1"/>
  <c r="L33" i="22"/>
  <c r="AW102" i="1"/>
  <c r="G102" i="1" s="1"/>
  <c r="J114" i="4"/>
  <c r="B32" i="6" s="1"/>
  <c r="G32" i="6" s="1"/>
  <c r="L26" i="22"/>
  <c r="L22" i="22"/>
  <c r="AW13" i="1"/>
  <c r="G13" i="1" s="1"/>
  <c r="Q22" i="9"/>
  <c r="R22" i="9" s="1"/>
  <c r="S22" i="9" s="1"/>
  <c r="U22" i="9" s="1"/>
  <c r="P32" i="9"/>
  <c r="Q12" i="9"/>
  <c r="R12" i="9" s="1"/>
  <c r="S12" i="9" s="1"/>
  <c r="U12" i="9" s="1"/>
  <c r="Q8" i="9"/>
  <c r="Q9" i="9"/>
  <c r="R9" i="9" s="1"/>
  <c r="S9" i="9" s="1"/>
  <c r="U9" i="9" s="1"/>
  <c r="Q23" i="9"/>
  <c r="R23" i="9" s="1"/>
  <c r="S23" i="9" s="1"/>
  <c r="U23" i="9" s="1"/>
  <c r="Q24" i="9"/>
  <c r="R24" i="9" s="1"/>
  <c r="S24" i="9" s="1"/>
  <c r="U24" i="9" s="1"/>
  <c r="L15" i="22"/>
  <c r="L123" i="22" s="1"/>
  <c r="L126" i="22" s="1"/>
  <c r="L132" i="22" s="1"/>
  <c r="H123" i="22"/>
  <c r="H126" i="22" s="1"/>
  <c r="S112" i="4"/>
  <c r="S48" i="3"/>
  <c r="S71" i="3"/>
  <c r="S52" i="3"/>
  <c r="S46" i="3"/>
  <c r="P109" i="17"/>
  <c r="P107" i="17"/>
  <c r="P110" i="17" s="1"/>
  <c r="P113" i="17" s="1"/>
  <c r="AW74" i="1"/>
  <c r="G74" i="1" s="1"/>
  <c r="J74" i="1" s="1"/>
  <c r="Q19" i="9"/>
  <c r="R19" i="9" s="1"/>
  <c r="S19" i="9" s="1"/>
  <c r="U19" i="9" s="1"/>
  <c r="S59" i="4"/>
  <c r="S88" i="10"/>
  <c r="E28" i="20"/>
  <c r="I80" i="20" s="1"/>
  <c r="C28" i="20"/>
  <c r="H28" i="20" s="1"/>
  <c r="E29" i="20"/>
  <c r="I81" i="20" s="1"/>
  <c r="AW17" i="1"/>
  <c r="G17" i="1" s="1"/>
  <c r="S78" i="4"/>
  <c r="C26" i="20"/>
  <c r="E26" i="20"/>
  <c r="I77" i="20" s="1"/>
  <c r="E27" i="20"/>
  <c r="I78" i="20" s="1"/>
  <c r="Q18" i="9"/>
  <c r="R18" i="9" s="1"/>
  <c r="S18" i="9" s="1"/>
  <c r="U18" i="9" s="1"/>
  <c r="S81" i="4"/>
  <c r="AB123" i="1"/>
  <c r="H113" i="3"/>
  <c r="I106" i="20"/>
  <c r="L74" i="22"/>
  <c r="S68" i="4"/>
  <c r="S23" i="3"/>
  <c r="AW43" i="1"/>
  <c r="G43" i="1" s="1"/>
  <c r="AG115" i="1"/>
  <c r="AW15" i="1"/>
  <c r="G15" i="1" s="1"/>
  <c r="J15" i="1" s="1"/>
  <c r="Q21" i="9"/>
  <c r="R21" i="9" s="1"/>
  <c r="S21" i="9" s="1"/>
  <c r="U21" i="9" s="1"/>
  <c r="S86" i="3"/>
  <c r="S50" i="3"/>
  <c r="I123" i="22"/>
  <c r="I126" i="22" s="1"/>
  <c r="L43" i="22"/>
  <c r="C25" i="20"/>
  <c r="F111" i="3"/>
  <c r="S111" i="3" s="1"/>
  <c r="AW112" i="1"/>
  <c r="G112" i="1" s="1"/>
  <c r="S54" i="3"/>
  <c r="O114" i="4"/>
  <c r="B42" i="6" s="1"/>
  <c r="G42" i="6" s="1"/>
  <c r="S105" i="4"/>
  <c r="L29" i="22"/>
  <c r="S46" i="4"/>
  <c r="J98" i="1"/>
  <c r="J72" i="1"/>
  <c r="AC118" i="1"/>
  <c r="B26" i="17"/>
  <c r="AC117" i="1"/>
  <c r="AC123" i="1" s="1"/>
  <c r="S38" i="3"/>
  <c r="J42" i="19"/>
  <c r="AW96" i="1"/>
  <c r="G96" i="1" s="1"/>
  <c r="J96" i="1" s="1"/>
  <c r="F114" i="4"/>
  <c r="B24" i="6" s="1"/>
  <c r="G24" i="6" s="1"/>
  <c r="AW24" i="1"/>
  <c r="G24" i="1" s="1"/>
  <c r="J24" i="1" s="1"/>
  <c r="D114" i="4"/>
  <c r="B20" i="6" s="1"/>
  <c r="G20" i="6" s="1"/>
  <c r="C45" i="20"/>
  <c r="H45" i="20" s="1"/>
  <c r="C47" i="20"/>
  <c r="H47" i="20" s="1"/>
  <c r="C50" i="20"/>
  <c r="H50" i="20" s="1"/>
  <c r="S97" i="4"/>
  <c r="W123" i="1"/>
  <c r="S86" i="4"/>
  <c r="S101" i="4"/>
  <c r="C42" i="20"/>
  <c r="L50" i="22"/>
  <c r="AW85" i="1"/>
  <c r="G85" i="1" s="1"/>
  <c r="AV115" i="1"/>
  <c r="R13" i="3"/>
  <c r="C40" i="20"/>
  <c r="Q17" i="9"/>
  <c r="E37" i="3"/>
  <c r="S37" i="3" s="1"/>
  <c r="AW38" i="1"/>
  <c r="G38" i="1" s="1"/>
  <c r="L113" i="3"/>
  <c r="G47" i="20"/>
  <c r="AW18" i="1"/>
  <c r="G18" i="1" s="1"/>
  <c r="J18" i="1" s="1"/>
  <c r="I113" i="3"/>
  <c r="AW37" i="1"/>
  <c r="G37" i="1" s="1"/>
  <c r="J37" i="1" s="1"/>
  <c r="B36" i="3"/>
  <c r="S36" i="3" s="1"/>
  <c r="G58" i="18"/>
  <c r="S42" i="3"/>
  <c r="S12" i="3"/>
  <c r="S25" i="3"/>
  <c r="S82" i="4"/>
  <c r="Q20" i="9"/>
  <c r="R20" i="9" s="1"/>
  <c r="S20" i="9" s="1"/>
  <c r="U20" i="9" s="1"/>
  <c r="E37" i="20"/>
  <c r="I90" i="20" s="1"/>
  <c r="E38" i="20"/>
  <c r="I91" i="20" s="1"/>
  <c r="C35" i="20"/>
  <c r="H35" i="20" s="1"/>
  <c r="E35" i="20"/>
  <c r="I88" i="20" s="1"/>
  <c r="I93" i="20" s="1"/>
  <c r="AU115" i="1"/>
  <c r="S18" i="3"/>
  <c r="Q15" i="9"/>
  <c r="R15" i="9" s="1"/>
  <c r="S15" i="9" s="1"/>
  <c r="U15" i="9" s="1"/>
  <c r="S40" i="3"/>
  <c r="H114" i="4"/>
  <c r="B28" i="6" s="1"/>
  <c r="G28" i="6" s="1"/>
  <c r="J105" i="3"/>
  <c r="S105" i="3" s="1"/>
  <c r="AW106" i="1"/>
  <c r="G106" i="1" s="1"/>
  <c r="J106" i="1" s="1"/>
  <c r="S71" i="4"/>
  <c r="S73" i="3"/>
  <c r="AW87" i="1"/>
  <c r="G87" i="1" s="1"/>
  <c r="J87" i="1" s="1"/>
  <c r="AW53" i="1"/>
  <c r="G53" i="1" s="1"/>
  <c r="J53" i="1" s="1"/>
  <c r="L70" i="22"/>
  <c r="AW19" i="1"/>
  <c r="G19" i="1" s="1"/>
  <c r="J19" i="1" s="1"/>
  <c r="AO115" i="1"/>
  <c r="K13" i="3"/>
  <c r="K113" i="3" s="1"/>
  <c r="L114" i="4"/>
  <c r="B36" i="6" s="1"/>
  <c r="G36" i="6" s="1"/>
  <c r="J91" i="1"/>
  <c r="S79" i="4"/>
  <c r="C114" i="4"/>
  <c r="B18" i="6" s="1"/>
  <c r="G18" i="6" s="1"/>
  <c r="AJ115" i="1"/>
  <c r="S64" i="4"/>
  <c r="AW57" i="1"/>
  <c r="G57" i="1" s="1"/>
  <c r="J57" i="1" s="1"/>
  <c r="L114" i="22"/>
  <c r="Q13" i="9"/>
  <c r="R13" i="9" s="1"/>
  <c r="S13" i="9" s="1"/>
  <c r="U13" i="9" s="1"/>
  <c r="E25" i="20"/>
  <c r="I76" i="20" s="1"/>
  <c r="AW91" i="1"/>
  <c r="G91" i="1" s="1"/>
  <c r="S92" i="4"/>
  <c r="AW98" i="1"/>
  <c r="G98" i="1" s="1"/>
  <c r="J95" i="1"/>
  <c r="S61" i="4"/>
  <c r="S50" i="4"/>
  <c r="S39" i="4"/>
  <c r="S94" i="4"/>
  <c r="AW28" i="1"/>
  <c r="G28" i="1" s="1"/>
  <c r="B27" i="3"/>
  <c r="S27" i="3" s="1"/>
  <c r="AW34" i="1"/>
  <c r="G34" i="1" s="1"/>
  <c r="J34" i="1" s="1"/>
  <c r="J34" i="20"/>
  <c r="AN115" i="1"/>
  <c r="P114" i="4"/>
  <c r="B44" i="6" s="1"/>
  <c r="G44" i="6" s="1"/>
  <c r="O27" i="17"/>
  <c r="S98" i="4"/>
  <c r="S83" i="4"/>
  <c r="F99" i="3"/>
  <c r="S99" i="3" s="1"/>
  <c r="AW100" i="1"/>
  <c r="G100" i="1" s="1"/>
  <c r="J100" i="1" s="1"/>
  <c r="J88" i="1"/>
  <c r="W11" i="8"/>
  <c r="B114" i="4"/>
  <c r="J82" i="1"/>
  <c r="AW72" i="1"/>
  <c r="G72" i="1" s="1"/>
  <c r="C41" i="20"/>
  <c r="H41" i="20" s="1"/>
  <c r="S93" i="4"/>
  <c r="D88" i="20"/>
  <c r="J35" i="20"/>
  <c r="S20" i="3"/>
  <c r="J86" i="1"/>
  <c r="AI115" i="1"/>
  <c r="E14" i="3"/>
  <c r="S14" i="3" s="1"/>
  <c r="AW108" i="1"/>
  <c r="G108" i="1" s="1"/>
  <c r="AW30" i="1"/>
  <c r="G30" i="1" s="1"/>
  <c r="J30" i="1" s="1"/>
  <c r="L111" i="22"/>
  <c r="S44" i="3"/>
  <c r="T33" i="19"/>
  <c r="E59" i="20"/>
  <c r="I118" i="20" s="1"/>
  <c r="C58" i="20"/>
  <c r="H58" i="20" s="1"/>
  <c r="E58" i="20"/>
  <c r="I117" i="20" s="1"/>
  <c r="I119" i="20" s="1"/>
  <c r="S88" i="3"/>
  <c r="Q16" i="9"/>
  <c r="R16" i="9" s="1"/>
  <c r="S16" i="9" s="1"/>
  <c r="U16" i="9" s="1"/>
  <c r="Q11" i="9"/>
  <c r="R11" i="9" s="1"/>
  <c r="S11" i="9" s="1"/>
  <c r="U11" i="9" s="1"/>
  <c r="L93" i="22"/>
  <c r="Q10" i="9"/>
  <c r="R10" i="9" s="1"/>
  <c r="S10" i="9" s="1"/>
  <c r="U10" i="9" s="1"/>
  <c r="T30" i="19"/>
  <c r="E39" i="20"/>
  <c r="I92" i="20" s="1"/>
  <c r="AW21" i="1"/>
  <c r="G21" i="1" s="1"/>
  <c r="S17" i="3"/>
  <c r="L53" i="22"/>
  <c r="S19" i="3"/>
  <c r="K42" i="19"/>
  <c r="S57" i="4"/>
  <c r="Q28" i="9"/>
  <c r="N35" i="9" s="1"/>
  <c r="S75" i="4"/>
  <c r="B11" i="6"/>
  <c r="G11" i="6" s="1"/>
  <c r="S29" i="3"/>
  <c r="AH115" i="1"/>
  <c r="S104" i="4"/>
  <c r="AW32" i="1"/>
  <c r="G32" i="1" s="1"/>
  <c r="J32" i="1" s="1"/>
  <c r="F32" i="7"/>
  <c r="S84" i="3"/>
  <c r="AW42" i="1"/>
  <c r="G42" i="1" s="1"/>
  <c r="J42" i="1" s="1"/>
  <c r="AQ115" i="1"/>
  <c r="M13" i="3"/>
  <c r="M113" i="3" s="1"/>
  <c r="E40" i="20"/>
  <c r="I94" i="20" s="1"/>
  <c r="S96" i="3"/>
  <c r="S92" i="3"/>
  <c r="AW78" i="1"/>
  <c r="G78" i="1" s="1"/>
  <c r="B77" i="3"/>
  <c r="S77" i="3" s="1"/>
  <c r="S62" i="3"/>
  <c r="S60" i="3"/>
  <c r="L96" i="22"/>
  <c r="AF115" i="1"/>
  <c r="AW93" i="1"/>
  <c r="G93" i="1" s="1"/>
  <c r="J93" i="1" s="1"/>
  <c r="S58" i="3"/>
  <c r="V88" i="10"/>
  <c r="AW23" i="1"/>
  <c r="G23" i="1" s="1"/>
  <c r="J23" i="1" s="1"/>
  <c r="AP115" i="1"/>
  <c r="L88" i="22"/>
  <c r="C35" i="19"/>
  <c r="F35" i="19" s="1"/>
  <c r="C30" i="19"/>
  <c r="F30" i="19" s="1"/>
  <c r="C28" i="19"/>
  <c r="F28" i="19" s="1"/>
  <c r="C29" i="19"/>
  <c r="F29" i="19" s="1"/>
  <c r="C36" i="19"/>
  <c r="F36" i="19" s="1"/>
  <c r="C37" i="19"/>
  <c r="F37" i="19" s="1"/>
  <c r="C32" i="19"/>
  <c r="F32" i="19" s="1"/>
  <c r="AW77" i="1"/>
  <c r="G77" i="1" s="1"/>
  <c r="J77" i="1" s="1"/>
  <c r="B76" i="3"/>
  <c r="S76" i="3" s="1"/>
  <c r="Q14" i="9"/>
  <c r="R14" i="9" s="1"/>
  <c r="S14" i="9" s="1"/>
  <c r="U14" i="9" s="1"/>
  <c r="F30" i="7"/>
  <c r="L103" i="22"/>
  <c r="F29" i="7"/>
  <c r="AW27" i="1"/>
  <c r="G27" i="1" s="1"/>
  <c r="F28" i="7"/>
  <c r="S78" i="3"/>
  <c r="S89" i="4"/>
  <c r="AW29" i="1"/>
  <c r="G29" i="1" s="1"/>
  <c r="L44" i="22"/>
  <c r="C33" i="19"/>
  <c r="F33" i="19" s="1"/>
  <c r="D76" i="20"/>
  <c r="J25" i="20"/>
  <c r="AW79" i="1"/>
  <c r="G79" i="1" s="1"/>
  <c r="J79" i="1" s="1"/>
  <c r="S26" i="4"/>
  <c r="AD115" i="1"/>
  <c r="AW81" i="1"/>
  <c r="G81" i="1" s="1"/>
  <c r="J81" i="1" s="1"/>
  <c r="S80" i="3"/>
  <c r="S55" i="4"/>
  <c r="L82" i="22"/>
  <c r="L72" i="22"/>
  <c r="L25" i="9"/>
  <c r="H115" i="1"/>
  <c r="H117" i="1" s="1"/>
  <c r="S32" i="3"/>
  <c r="S107" i="4"/>
  <c r="C41" i="19"/>
  <c r="F41" i="19" s="1"/>
  <c r="AW31" i="1"/>
  <c r="G31" i="1" s="1"/>
  <c r="J31" i="1" s="1"/>
  <c r="S96" i="4"/>
  <c r="S82" i="3"/>
  <c r="AW14" i="1"/>
  <c r="L113" i="22"/>
  <c r="L121" i="22"/>
  <c r="V25" i="9"/>
  <c r="C31" i="19"/>
  <c r="AW83" i="1"/>
  <c r="G83" i="1" s="1"/>
  <c r="J83" i="1" s="1"/>
  <c r="AW16" i="1"/>
  <c r="G16" i="1" s="1"/>
  <c r="J16" i="1" s="1"/>
  <c r="G44" i="20"/>
  <c r="H44" i="20" s="1"/>
  <c r="S31" i="3"/>
  <c r="J78" i="1"/>
  <c r="E30" i="19"/>
  <c r="E28" i="19"/>
  <c r="E42" i="19" s="1"/>
  <c r="E35" i="19"/>
  <c r="E36" i="19"/>
  <c r="E29" i="19"/>
  <c r="E31" i="19"/>
  <c r="S53" i="3"/>
  <c r="S55" i="3"/>
  <c r="J71" i="1"/>
  <c r="S69" i="3"/>
  <c r="S57" i="3"/>
  <c r="F27" i="7"/>
  <c r="D26" i="18"/>
  <c r="L38" i="22"/>
  <c r="K123" i="22"/>
  <c r="K126" i="22" s="1"/>
  <c r="E40" i="19"/>
  <c r="Q118" i="1"/>
  <c r="Q117" i="1"/>
  <c r="Q123" i="1" s="1"/>
  <c r="B75" i="3"/>
  <c r="S75" i="3" s="1"/>
  <c r="AW76" i="1"/>
  <c r="G76" i="1" s="1"/>
  <c r="J76" i="1" s="1"/>
  <c r="F23" i="7"/>
  <c r="AW104" i="1"/>
  <c r="G104" i="1" s="1"/>
  <c r="AW86" i="1"/>
  <c r="G86" i="1" s="1"/>
  <c r="AW84" i="1"/>
  <c r="G84" i="1" s="1"/>
  <c r="J84" i="1" s="1"/>
  <c r="AW82" i="1"/>
  <c r="G82" i="1" s="1"/>
  <c r="AW80" i="1"/>
  <c r="G80" i="1" s="1"/>
  <c r="J80" i="1" s="1"/>
  <c r="F21" i="7"/>
  <c r="J66" i="1"/>
  <c r="C51" i="20"/>
  <c r="H51" i="20" s="1"/>
  <c r="F20" i="7"/>
  <c r="N117" i="1"/>
  <c r="N118" i="1"/>
  <c r="AM115" i="1"/>
  <c r="S107" i="3"/>
  <c r="C55" i="20"/>
  <c r="H55" i="20" s="1"/>
  <c r="S79" i="3"/>
  <c r="E56" i="20"/>
  <c r="I114" i="20" s="1"/>
  <c r="I116" i="20" s="1"/>
  <c r="G113" i="3"/>
  <c r="T39" i="19"/>
  <c r="S81" i="3"/>
  <c r="S47" i="4"/>
  <c r="S110" i="4"/>
  <c r="L40" i="22"/>
  <c r="AW40" i="1"/>
  <c r="G40" i="1" s="1"/>
  <c r="J40" i="1" s="1"/>
  <c r="B33" i="6" l="1"/>
  <c r="K116" i="3"/>
  <c r="K120" i="3" s="1"/>
  <c r="H94" i="20"/>
  <c r="G139" i="17" s="1"/>
  <c r="R15" i="17"/>
  <c r="J2" i="17"/>
  <c r="J5" i="17" s="1"/>
  <c r="C6" i="11"/>
  <c r="B10" i="6"/>
  <c r="G10" i="6" s="1"/>
  <c r="P30" i="17" s="1"/>
  <c r="C60" i="20"/>
  <c r="H25" i="20"/>
  <c r="H90" i="20"/>
  <c r="G135" i="17" s="1"/>
  <c r="H88" i="20"/>
  <c r="H91" i="20"/>
  <c r="G136" i="17" s="1"/>
  <c r="H92" i="20"/>
  <c r="G137" i="17" s="1"/>
  <c r="R14" i="17"/>
  <c r="H89" i="20"/>
  <c r="G134" i="17" s="1"/>
  <c r="H103" i="20"/>
  <c r="R20" i="17"/>
  <c r="H105" i="20"/>
  <c r="G151" i="17" s="1"/>
  <c r="H104" i="20"/>
  <c r="G152" i="17" s="1"/>
  <c r="G60" i="20"/>
  <c r="T29" i="8"/>
  <c r="R24" i="17"/>
  <c r="H112" i="20"/>
  <c r="G163" i="17" s="1"/>
  <c r="H77" i="20"/>
  <c r="H78" i="20"/>
  <c r="G123" i="17" s="1"/>
  <c r="R11" i="17"/>
  <c r="R23" i="17"/>
  <c r="H109" i="20"/>
  <c r="H110" i="20"/>
  <c r="G161" i="17" s="1"/>
  <c r="H108" i="20"/>
  <c r="G155" i="17" s="1"/>
  <c r="G159" i="17" s="1"/>
  <c r="R22" i="17"/>
  <c r="H87" i="20"/>
  <c r="G132" i="17" s="1"/>
  <c r="R13" i="17"/>
  <c r="E113" i="3"/>
  <c r="Q25" i="9"/>
  <c r="R8" i="9"/>
  <c r="F31" i="19"/>
  <c r="F42" i="19" s="1"/>
  <c r="R18" i="17"/>
  <c r="H99" i="20"/>
  <c r="G144" i="17" s="1"/>
  <c r="G146" i="17" s="1"/>
  <c r="F35" i="7"/>
  <c r="X30" i="8" s="1"/>
  <c r="X31" i="8" s="1"/>
  <c r="AW115" i="1"/>
  <c r="G14" i="1"/>
  <c r="J14" i="1" s="1"/>
  <c r="J115" i="1" s="1"/>
  <c r="J117" i="1" s="1"/>
  <c r="J123" i="1" s="1"/>
  <c r="H100" i="20"/>
  <c r="H101" i="20"/>
  <c r="G148" i="17" s="1"/>
  <c r="R19" i="17"/>
  <c r="D58" i="18"/>
  <c r="E9" i="18" s="1"/>
  <c r="S117" i="4"/>
  <c r="B16" i="6"/>
  <c r="G16" i="6" s="1"/>
  <c r="W29" i="8"/>
  <c r="W31" i="8" s="1"/>
  <c r="J113" i="3"/>
  <c r="H107" i="20"/>
  <c r="G154" i="17" s="1"/>
  <c r="R21" i="17"/>
  <c r="B8" i="6"/>
  <c r="E123" i="1"/>
  <c r="E125" i="1" s="1"/>
  <c r="J132" i="22"/>
  <c r="J134" i="22" s="1"/>
  <c r="C4" i="11"/>
  <c r="D120" i="20"/>
  <c r="D55" i="18"/>
  <c r="H95" i="20"/>
  <c r="G140" i="17" s="1"/>
  <c r="R16" i="17"/>
  <c r="N123" i="1"/>
  <c r="H117" i="20"/>
  <c r="H118" i="20"/>
  <c r="G169" i="17" s="1"/>
  <c r="R26" i="17"/>
  <c r="J60" i="20"/>
  <c r="H40" i="20"/>
  <c r="H26" i="20"/>
  <c r="H96" i="20"/>
  <c r="R17" i="17"/>
  <c r="H97" i="20"/>
  <c r="G142" i="17" s="1"/>
  <c r="R116" i="3"/>
  <c r="R120" i="3" s="1"/>
  <c r="B47" i="6"/>
  <c r="M116" i="3"/>
  <c r="M120" i="3" s="1"/>
  <c r="B37" i="6"/>
  <c r="C10" i="12"/>
  <c r="B13" i="6"/>
  <c r="G13" i="6" s="1"/>
  <c r="B36" i="7"/>
  <c r="J25" i="17"/>
  <c r="J14" i="17"/>
  <c r="Q107" i="17" s="1"/>
  <c r="B52" i="6"/>
  <c r="D116" i="3"/>
  <c r="D120" i="3" s="1"/>
  <c r="B19" i="6"/>
  <c r="C42" i="19"/>
  <c r="H116" i="3"/>
  <c r="H120" i="3" s="1"/>
  <c r="B27" i="6"/>
  <c r="N116" i="3"/>
  <c r="N120" i="3" s="1"/>
  <c r="B39" i="6"/>
  <c r="Q116" i="3"/>
  <c r="Q120" i="3" s="1"/>
  <c r="B45" i="6"/>
  <c r="O116" i="3"/>
  <c r="O120" i="3" s="1"/>
  <c r="B41" i="6"/>
  <c r="B113" i="3"/>
  <c r="S13" i="3"/>
  <c r="S113" i="3" s="1"/>
  <c r="B27" i="17"/>
  <c r="G116" i="3"/>
  <c r="G120" i="3" s="1"/>
  <c r="B25" i="6"/>
  <c r="B29" i="6"/>
  <c r="I116" i="3"/>
  <c r="I120" i="3" s="1"/>
  <c r="F113" i="3"/>
  <c r="I86" i="20"/>
  <c r="H21" i="19"/>
  <c r="L116" i="3"/>
  <c r="L120" i="3" s="1"/>
  <c r="B35" i="6"/>
  <c r="B9" i="6"/>
  <c r="G9" i="6" s="1"/>
  <c r="C8" i="12" s="1"/>
  <c r="C5" i="11"/>
  <c r="I79" i="20"/>
  <c r="H42" i="20"/>
  <c r="P116" i="3"/>
  <c r="P120" i="3" s="1"/>
  <c r="B43" i="6"/>
  <c r="H80" i="20"/>
  <c r="H82" i="20"/>
  <c r="G127" i="17" s="1"/>
  <c r="H85" i="20"/>
  <c r="G130" i="17" s="1"/>
  <c r="R12" i="17"/>
  <c r="H81" i="20"/>
  <c r="G126" i="17" s="1"/>
  <c r="H83" i="20"/>
  <c r="G128" i="17" s="1"/>
  <c r="H84" i="20"/>
  <c r="G129" i="17" s="1"/>
  <c r="G4" i="21"/>
  <c r="C5" i="21"/>
  <c r="G5" i="21" s="1"/>
  <c r="C113" i="3"/>
  <c r="H115" i="20"/>
  <c r="G166" i="17" s="1"/>
  <c r="H114" i="20"/>
  <c r="G165" i="17" s="1"/>
  <c r="H113" i="20"/>
  <c r="R25" i="17"/>
  <c r="W15" i="8"/>
  <c r="U29" i="8"/>
  <c r="C8" i="11" l="1"/>
  <c r="S116" i="3"/>
  <c r="S120" i="3" s="1"/>
  <c r="H93" i="20"/>
  <c r="G133" i="17"/>
  <c r="G138" i="17" s="1"/>
  <c r="H60" i="20"/>
  <c r="G8" i="6"/>
  <c r="B23" i="6"/>
  <c r="F116" i="3"/>
  <c r="F120" i="3" s="1"/>
  <c r="B38" i="7"/>
  <c r="C13" i="11"/>
  <c r="G125" i="17"/>
  <c r="G131" i="17" s="1"/>
  <c r="H86" i="20"/>
  <c r="F25" i="6"/>
  <c r="F17" i="21" s="1"/>
  <c r="G25" i="6"/>
  <c r="Q15" i="17" s="1"/>
  <c r="F139" i="17" s="1"/>
  <c r="F39" i="6"/>
  <c r="F24" i="21" s="1"/>
  <c r="G39" i="6"/>
  <c r="Q22" i="17" s="1"/>
  <c r="F19" i="6"/>
  <c r="F14" i="21" s="1"/>
  <c r="E27" i="18"/>
  <c r="F37" i="6"/>
  <c r="F23" i="21" s="1"/>
  <c r="B17" i="6"/>
  <c r="C116" i="3"/>
  <c r="C120" i="3" s="1"/>
  <c r="F29" i="6"/>
  <c r="F19" i="21" s="1"/>
  <c r="G29" i="6"/>
  <c r="Q17" i="17" s="1"/>
  <c r="C24" i="17"/>
  <c r="C27" i="17"/>
  <c r="C12" i="17"/>
  <c r="C14" i="17"/>
  <c r="C19" i="17"/>
  <c r="C22" i="17"/>
  <c r="C15" i="17"/>
  <c r="C16" i="17"/>
  <c r="C11" i="17"/>
  <c r="C18" i="17"/>
  <c r="C17" i="17"/>
  <c r="C23" i="17"/>
  <c r="C10" i="17"/>
  <c r="C25" i="17"/>
  <c r="C20" i="17"/>
  <c r="C13" i="17"/>
  <c r="C21" i="17"/>
  <c r="E31" i="18"/>
  <c r="R10" i="17"/>
  <c r="R27" i="17" s="1"/>
  <c r="H76" i="20"/>
  <c r="G121" i="17" s="1"/>
  <c r="F41" i="6"/>
  <c r="F25" i="21" s="1"/>
  <c r="G41" i="6"/>
  <c r="Q23" i="17" s="1"/>
  <c r="R109" i="17"/>
  <c r="R108" i="17"/>
  <c r="R107" i="17"/>
  <c r="R111" i="17"/>
  <c r="R112" i="17"/>
  <c r="H116" i="20"/>
  <c r="G164" i="17"/>
  <c r="G167" i="17" s="1"/>
  <c r="J8" i="17"/>
  <c r="J9" i="17"/>
  <c r="J7" i="17"/>
  <c r="C54" i="21"/>
  <c r="C26" i="17"/>
  <c r="E8" i="18"/>
  <c r="E50" i="18"/>
  <c r="E34" i="18"/>
  <c r="E20" i="18"/>
  <c r="E47" i="18"/>
  <c r="E42" i="18"/>
  <c r="E12" i="18"/>
  <c r="E37" i="18"/>
  <c r="E51" i="18"/>
  <c r="E19" i="18"/>
  <c r="B21" i="6"/>
  <c r="E116" i="3"/>
  <c r="E120" i="3" s="1"/>
  <c r="F27" i="6"/>
  <c r="F18" i="21" s="1"/>
  <c r="G168" i="17"/>
  <c r="G170" i="17" s="1"/>
  <c r="H120" i="20"/>
  <c r="E55" i="18"/>
  <c r="F43" i="6"/>
  <c r="F26" i="21" s="1"/>
  <c r="F35" i="6"/>
  <c r="F22" i="21" s="1"/>
  <c r="G35" i="6"/>
  <c r="Q20" i="17" s="1"/>
  <c r="H102" i="20"/>
  <c r="G147" i="17"/>
  <c r="G149" i="17" s="1"/>
  <c r="R25" i="9"/>
  <c r="R29" i="9" s="1"/>
  <c r="S8" i="9"/>
  <c r="J116" i="3"/>
  <c r="J120" i="3" s="1"/>
  <c r="B31" i="6"/>
  <c r="G150" i="17"/>
  <c r="G153" i="17" s="1"/>
  <c r="H106" i="20"/>
  <c r="E41" i="18"/>
  <c r="T113" i="3"/>
  <c r="B15" i="6"/>
  <c r="B116" i="3"/>
  <c r="B120" i="3" s="1"/>
  <c r="H111" i="20"/>
  <c r="G160" i="17"/>
  <c r="G162" i="17" s="1"/>
  <c r="C18" i="12"/>
  <c r="C16" i="11"/>
  <c r="G52" i="6"/>
  <c r="E26" i="18"/>
  <c r="F47" i="6"/>
  <c r="F28" i="21" s="1"/>
  <c r="H98" i="20"/>
  <c r="G141" i="17"/>
  <c r="G143" i="17" s="1"/>
  <c r="E28" i="18"/>
  <c r="F45" i="6"/>
  <c r="F27" i="21" s="1"/>
  <c r="G122" i="17"/>
  <c r="G124" i="17" s="1"/>
  <c r="H79" i="20"/>
  <c r="G115" i="1"/>
  <c r="G117" i="1" s="1"/>
  <c r="C17" i="11"/>
  <c r="C29" i="11" s="1"/>
  <c r="F33" i="6"/>
  <c r="F21" i="21" s="1"/>
  <c r="G33" i="6"/>
  <c r="Q19" i="17" s="1"/>
  <c r="E58" i="18" l="1"/>
  <c r="D87" i="17"/>
  <c r="C121" i="20"/>
  <c r="B3" i="20"/>
  <c r="C4" i="20" s="1"/>
  <c r="J52" i="18"/>
  <c r="M101" i="17" s="1"/>
  <c r="J53" i="18"/>
  <c r="M102" i="17" s="1"/>
  <c r="R110" i="17"/>
  <c r="J17" i="17"/>
  <c r="J51" i="18"/>
  <c r="J19" i="17"/>
  <c r="O101" i="17"/>
  <c r="O102" i="17"/>
  <c r="D176" i="17" s="1"/>
  <c r="O100" i="17"/>
  <c r="F31" i="6"/>
  <c r="F20" i="21" s="1"/>
  <c r="F150" i="17"/>
  <c r="F153" i="17"/>
  <c r="B3" i="19"/>
  <c r="C4" i="19" s="1"/>
  <c r="D56" i="17"/>
  <c r="R101" i="17"/>
  <c r="G175" i="17" s="1"/>
  <c r="R102" i="17"/>
  <c r="G176" i="17" s="1"/>
  <c r="R100" i="17"/>
  <c r="J22" i="17"/>
  <c r="N100" i="17"/>
  <c r="J18" i="17"/>
  <c r="B46" i="11"/>
  <c r="E32" i="11"/>
  <c r="C31" i="11"/>
  <c r="G47" i="6"/>
  <c r="Q26" i="17" s="1"/>
  <c r="F141" i="17"/>
  <c r="F143" i="17"/>
  <c r="F155" i="17"/>
  <c r="F159" i="17"/>
  <c r="F149" i="17"/>
  <c r="F147" i="17"/>
  <c r="F160" i="17"/>
  <c r="F162" i="17"/>
  <c r="G45" i="6"/>
  <c r="Q25" i="17" s="1"/>
  <c r="G19" i="6"/>
  <c r="Q12" i="17" s="1"/>
  <c r="G43" i="6"/>
  <c r="Q24" i="17" s="1"/>
  <c r="F163" i="17" s="1"/>
  <c r="H121" i="20"/>
  <c r="D18" i="17"/>
  <c r="D12" i="17"/>
  <c r="D20" i="17"/>
  <c r="D25" i="17"/>
  <c r="D24" i="17"/>
  <c r="D22" i="17"/>
  <c r="D15" i="17"/>
  <c r="J11" i="17"/>
  <c r="D10" i="17"/>
  <c r="D26" i="17"/>
  <c r="D17" i="17"/>
  <c r="D11" i="17"/>
  <c r="D16" i="17"/>
  <c r="D23" i="17"/>
  <c r="D29" i="17"/>
  <c r="D21" i="17"/>
  <c r="D13" i="17"/>
  <c r="D19" i="17"/>
  <c r="D14" i="17"/>
  <c r="Q100" i="17"/>
  <c r="F15" i="6"/>
  <c r="S25" i="9"/>
  <c r="U8" i="9"/>
  <c r="U25" i="9" s="1"/>
  <c r="F17" i="6"/>
  <c r="F13" i="21" s="1"/>
  <c r="G37" i="6"/>
  <c r="Q21" i="17" s="1"/>
  <c r="F154" i="17" s="1"/>
  <c r="G172" i="17"/>
  <c r="G27" i="6"/>
  <c r="Q16" i="17" s="1"/>
  <c r="F140" i="17" s="1"/>
  <c r="F21" i="6"/>
  <c r="F15" i="21" s="1"/>
  <c r="F23" i="6"/>
  <c r="F16" i="21" s="1"/>
  <c r="B53" i="6"/>
  <c r="C7" i="12"/>
  <c r="F18" i="17" l="1"/>
  <c r="F31" i="18"/>
  <c r="F27" i="18"/>
  <c r="F16" i="17"/>
  <c r="F25" i="17"/>
  <c r="F51" i="18"/>
  <c r="O103" i="17"/>
  <c r="D174" i="17"/>
  <c r="G23" i="6"/>
  <c r="Q14" i="17" s="1"/>
  <c r="F34" i="18"/>
  <c r="F19" i="17"/>
  <c r="F22" i="17"/>
  <c r="F42" i="18"/>
  <c r="R103" i="17"/>
  <c r="G174" i="17"/>
  <c r="G177" i="17" s="1"/>
  <c r="J54" i="18"/>
  <c r="M100" i="17"/>
  <c r="F14" i="17"/>
  <c r="F20" i="18"/>
  <c r="F131" i="17"/>
  <c r="F125" i="17"/>
  <c r="C174" i="17"/>
  <c r="C177" i="17" s="1"/>
  <c r="N103" i="17"/>
  <c r="F23" i="17"/>
  <c r="F47" i="18"/>
  <c r="F10" i="17"/>
  <c r="F8" i="18"/>
  <c r="D27" i="17"/>
  <c r="F12" i="17"/>
  <c r="F12" i="18"/>
  <c r="F53" i="17"/>
  <c r="F38" i="17"/>
  <c r="F44" i="17"/>
  <c r="W42" i="19"/>
  <c r="F41" i="17"/>
  <c r="F49" i="17"/>
  <c r="F45" i="17"/>
  <c r="F51" i="17"/>
  <c r="F42" i="17"/>
  <c r="G2" i="19"/>
  <c r="F43" i="17"/>
  <c r="F48" i="17"/>
  <c r="C23" i="19"/>
  <c r="F46" i="17"/>
  <c r="R24" i="19"/>
  <c r="R113" i="17"/>
  <c r="J20" i="17"/>
  <c r="F41" i="18"/>
  <c r="F21" i="17"/>
  <c r="F17" i="17"/>
  <c r="F28" i="18"/>
  <c r="F20" i="17"/>
  <c r="F37" i="18"/>
  <c r="B176" i="17"/>
  <c r="E176" i="17" s="1"/>
  <c r="P102" i="17"/>
  <c r="S102" i="17" s="1"/>
  <c r="H176" i="17" s="1"/>
  <c r="F12" i="21"/>
  <c r="F53" i="6"/>
  <c r="C12" i="12" s="1"/>
  <c r="F55" i="18"/>
  <c r="F26" i="17"/>
  <c r="F24" i="17"/>
  <c r="F50" i="18"/>
  <c r="G31" i="6"/>
  <c r="Q18" i="17" s="1"/>
  <c r="G21" i="6"/>
  <c r="Q13" i="17" s="1"/>
  <c r="F132" i="17" s="1"/>
  <c r="P101" i="17"/>
  <c r="S101" i="17" s="1"/>
  <c r="H175" i="17" s="1"/>
  <c r="B175" i="17"/>
  <c r="F13" i="17"/>
  <c r="F19" i="18"/>
  <c r="F15" i="17"/>
  <c r="F26" i="18"/>
  <c r="F170" i="17"/>
  <c r="F168" i="17"/>
  <c r="C23" i="20"/>
  <c r="T24" i="20"/>
  <c r="G2" i="20"/>
  <c r="Y60" i="20"/>
  <c r="F174" i="17"/>
  <c r="F177" i="17" s="1"/>
  <c r="Q103" i="17"/>
  <c r="G178" i="17"/>
  <c r="F9" i="18"/>
  <c r="F11" i="17"/>
  <c r="F164" i="17"/>
  <c r="F167" i="17"/>
  <c r="G17" i="6"/>
  <c r="Q11" i="17" s="1"/>
  <c r="G15" i="6"/>
  <c r="C139" i="17" l="1"/>
  <c r="D42" i="17"/>
  <c r="N15" i="17"/>
  <c r="C155" i="17"/>
  <c r="C159" i="17" s="1"/>
  <c r="N22" i="17"/>
  <c r="D49" i="17"/>
  <c r="H42" i="18"/>
  <c r="M22" i="17"/>
  <c r="C154" i="17"/>
  <c r="N21" i="17"/>
  <c r="D48" i="17"/>
  <c r="F58" i="18"/>
  <c r="H34" i="18"/>
  <c r="M19" i="17"/>
  <c r="H8" i="18"/>
  <c r="M10" i="17"/>
  <c r="F27" i="17"/>
  <c r="F122" i="17"/>
  <c r="F124" i="17"/>
  <c r="F133" i="17"/>
  <c r="F138" i="17"/>
  <c r="C168" i="17"/>
  <c r="C170" i="17" s="1"/>
  <c r="D53" i="17"/>
  <c r="N26" i="17"/>
  <c r="M15" i="17"/>
  <c r="H26" i="18"/>
  <c r="K26" i="18" s="1"/>
  <c r="B139" i="17" s="1"/>
  <c r="H37" i="18"/>
  <c r="M20" i="17"/>
  <c r="Q10" i="17"/>
  <c r="G53" i="6"/>
  <c r="G11" i="20"/>
  <c r="I11" i="20" s="1"/>
  <c r="G18" i="20"/>
  <c r="I18" i="20" s="1"/>
  <c r="G17" i="20"/>
  <c r="I17" i="20" s="1"/>
  <c r="G13" i="20"/>
  <c r="I13" i="20" s="1"/>
  <c r="G14" i="20"/>
  <c r="I14" i="20" s="1"/>
  <c r="G7" i="20"/>
  <c r="I7" i="20" s="1"/>
  <c r="G8" i="20"/>
  <c r="I8" i="20" s="1"/>
  <c r="G4" i="20"/>
  <c r="G12" i="20"/>
  <c r="I12" i="20" s="1"/>
  <c r="G10" i="20"/>
  <c r="I10" i="20" s="1"/>
  <c r="G9" i="20"/>
  <c r="I9" i="20" s="1"/>
  <c r="G5" i="20"/>
  <c r="I5" i="20" s="1"/>
  <c r="G20" i="20"/>
  <c r="I20" i="20" s="1"/>
  <c r="G6" i="20"/>
  <c r="G19" i="20"/>
  <c r="I19" i="20" s="1"/>
  <c r="G16" i="20"/>
  <c r="I16" i="20" s="1"/>
  <c r="G15" i="20"/>
  <c r="I15" i="20" s="1"/>
  <c r="C163" i="17"/>
  <c r="D51" i="17"/>
  <c r="N24" i="17"/>
  <c r="H28" i="18"/>
  <c r="M17" i="17"/>
  <c r="N19" i="17"/>
  <c r="D46" i="17"/>
  <c r="C147" i="17"/>
  <c r="C149" i="17" s="1"/>
  <c r="M11" i="17"/>
  <c r="H9" i="18"/>
  <c r="C141" i="17"/>
  <c r="C143" i="17" s="1"/>
  <c r="D44" i="17"/>
  <c r="N17" i="17"/>
  <c r="H47" i="18"/>
  <c r="M23" i="17"/>
  <c r="P100" i="17"/>
  <c r="M103" i="17"/>
  <c r="B174" i="17"/>
  <c r="F144" i="17"/>
  <c r="F146" i="17"/>
  <c r="H51" i="18"/>
  <c r="M25" i="17"/>
  <c r="M21" i="17"/>
  <c r="H41" i="18"/>
  <c r="K41" i="18" s="1"/>
  <c r="B154" i="17" s="1"/>
  <c r="J23" i="17"/>
  <c r="J26" i="17" s="1"/>
  <c r="S113" i="17"/>
  <c r="J21" i="17" s="1"/>
  <c r="H12" i="18"/>
  <c r="M12" i="17"/>
  <c r="M16" i="17"/>
  <c r="H27" i="18"/>
  <c r="K27" i="18" s="1"/>
  <c r="B140" i="17" s="1"/>
  <c r="G36" i="19"/>
  <c r="I36" i="19" s="1"/>
  <c r="G35" i="19"/>
  <c r="I35" i="19" s="1"/>
  <c r="G31" i="19"/>
  <c r="I31" i="19" s="1"/>
  <c r="G39" i="19"/>
  <c r="I39" i="19" s="1"/>
  <c r="G32" i="19"/>
  <c r="I32" i="19" s="1"/>
  <c r="G40" i="19"/>
  <c r="I40" i="19" s="1"/>
  <c r="G41" i="19"/>
  <c r="I41" i="19" s="1"/>
  <c r="G33" i="19"/>
  <c r="I33" i="19" s="1"/>
  <c r="G34" i="19"/>
  <c r="I34" i="19" s="1"/>
  <c r="G37" i="19"/>
  <c r="I37" i="19" s="1"/>
  <c r="G26" i="19"/>
  <c r="I26" i="19" s="1"/>
  <c r="G25" i="19"/>
  <c r="G30" i="19"/>
  <c r="I30" i="19" s="1"/>
  <c r="G28" i="19"/>
  <c r="I28" i="19" s="1"/>
  <c r="G29" i="19"/>
  <c r="I29" i="19" s="1"/>
  <c r="G38" i="19"/>
  <c r="I38" i="19" s="1"/>
  <c r="G27" i="19"/>
  <c r="I27" i="19" s="1"/>
  <c r="C122" i="17"/>
  <c r="C124" i="17" s="1"/>
  <c r="D38" i="17"/>
  <c r="N11" i="17"/>
  <c r="H20" i="18"/>
  <c r="M14" i="17"/>
  <c r="M13" i="17"/>
  <c r="H19" i="18"/>
  <c r="K19" i="18" s="1"/>
  <c r="B132" i="17" s="1"/>
  <c r="H50" i="18"/>
  <c r="K50" i="18" s="1"/>
  <c r="B163" i="17" s="1"/>
  <c r="M24" i="17"/>
  <c r="D43" i="17"/>
  <c r="N16" i="17"/>
  <c r="C140" i="17"/>
  <c r="C133" i="17"/>
  <c r="C138" i="17" s="1"/>
  <c r="D41" i="17"/>
  <c r="N14" i="17"/>
  <c r="H55" i="18"/>
  <c r="M26" i="17"/>
  <c r="F53" i="21"/>
  <c r="G53" i="21" s="1"/>
  <c r="F54" i="21"/>
  <c r="G4" i="19"/>
  <c r="G5" i="19"/>
  <c r="I5" i="19" s="1"/>
  <c r="G14" i="19"/>
  <c r="I14" i="19" s="1"/>
  <c r="G12" i="19"/>
  <c r="I12" i="19" s="1"/>
  <c r="G16" i="19"/>
  <c r="I16" i="19" s="1"/>
  <c r="G10" i="19"/>
  <c r="I10" i="19" s="1"/>
  <c r="G11" i="19"/>
  <c r="I11" i="19" s="1"/>
  <c r="G7" i="19"/>
  <c r="I7" i="19" s="1"/>
  <c r="G9" i="19"/>
  <c r="I9" i="19" s="1"/>
  <c r="G6" i="19"/>
  <c r="G8" i="19"/>
  <c r="I8" i="19" s="1"/>
  <c r="G13" i="19"/>
  <c r="I13" i="19" s="1"/>
  <c r="G15" i="19"/>
  <c r="I15" i="19" s="1"/>
  <c r="G17" i="19"/>
  <c r="I17" i="19" s="1"/>
  <c r="G20" i="19"/>
  <c r="I20" i="19" s="1"/>
  <c r="G19" i="19"/>
  <c r="I19" i="19" s="1"/>
  <c r="G18" i="19"/>
  <c r="I18" i="19" s="1"/>
  <c r="N18" i="17"/>
  <c r="D45" i="17"/>
  <c r="C144" i="17"/>
  <c r="C146" i="17" s="1"/>
  <c r="I42" i="20"/>
  <c r="K42" i="20" s="1"/>
  <c r="I44" i="20"/>
  <c r="K44" i="20" s="1"/>
  <c r="I35" i="20"/>
  <c r="K35" i="20" s="1"/>
  <c r="I51" i="20"/>
  <c r="K51" i="20" s="1"/>
  <c r="I40" i="20"/>
  <c r="K40" i="20" s="1"/>
  <c r="I52" i="20"/>
  <c r="K52" i="20" s="1"/>
  <c r="I41" i="20"/>
  <c r="K41" i="20" s="1"/>
  <c r="I54" i="20"/>
  <c r="K54" i="20" s="1"/>
  <c r="I45" i="20"/>
  <c r="K45" i="20" s="1"/>
  <c r="I25" i="20"/>
  <c r="I58" i="20"/>
  <c r="K58" i="20" s="1"/>
  <c r="I47" i="20"/>
  <c r="K47" i="20" s="1"/>
  <c r="I34" i="20"/>
  <c r="K34" i="20" s="1"/>
  <c r="I55" i="20"/>
  <c r="K55" i="20" s="1"/>
  <c r="I28" i="20"/>
  <c r="K28" i="20" s="1"/>
  <c r="I26" i="20"/>
  <c r="K26" i="20" s="1"/>
  <c r="I50" i="20"/>
  <c r="K50" i="20" s="1"/>
  <c r="M18" i="17"/>
  <c r="H31" i="18"/>
  <c r="T15" i="17" l="1"/>
  <c r="P15" i="17"/>
  <c r="S15" i="17" s="1"/>
  <c r="P26" i="19"/>
  <c r="Q26" i="19" s="1"/>
  <c r="R26" i="19" s="1"/>
  <c r="L26" i="19"/>
  <c r="N26" i="19"/>
  <c r="R28" i="20"/>
  <c r="N28" i="20"/>
  <c r="P28" i="20"/>
  <c r="K8" i="18"/>
  <c r="H58" i="18"/>
  <c r="L29" i="19"/>
  <c r="P29" i="19"/>
  <c r="Q29" i="19" s="1"/>
  <c r="R29" i="19" s="1"/>
  <c r="N29" i="19"/>
  <c r="K32" i="18"/>
  <c r="B145" i="17" s="1"/>
  <c r="E145" i="17" s="1"/>
  <c r="M31" i="18"/>
  <c r="M32" i="18"/>
  <c r="N33" i="18"/>
  <c r="L33" i="19"/>
  <c r="P33" i="19"/>
  <c r="Q33" i="19" s="1"/>
  <c r="R33" i="19" s="1"/>
  <c r="N33" i="19"/>
  <c r="P19" i="17"/>
  <c r="S19" i="17" s="1"/>
  <c r="T19" i="17"/>
  <c r="N36" i="18"/>
  <c r="M35" i="18"/>
  <c r="M34" i="18"/>
  <c r="K35" i="18"/>
  <c r="B148" i="17" s="1"/>
  <c r="R26" i="20"/>
  <c r="S26" i="20" s="1"/>
  <c r="T26" i="20" s="1"/>
  <c r="N26" i="20"/>
  <c r="O26" i="20" s="1"/>
  <c r="P26" i="20"/>
  <c r="P24" i="17"/>
  <c r="S24" i="17" s="1"/>
  <c r="T24" i="17"/>
  <c r="P28" i="19"/>
  <c r="L28" i="19"/>
  <c r="N28" i="19"/>
  <c r="L34" i="19"/>
  <c r="P34" i="19"/>
  <c r="Q34" i="19" s="1"/>
  <c r="R34" i="19" s="1"/>
  <c r="N34" i="19"/>
  <c r="M9" i="18"/>
  <c r="N11" i="18"/>
  <c r="M10" i="18"/>
  <c r="K10" i="18"/>
  <c r="B123" i="17" s="1"/>
  <c r="T17" i="17"/>
  <c r="P17" i="17"/>
  <c r="S17" i="17" s="1"/>
  <c r="G42" i="19"/>
  <c r="I25" i="19"/>
  <c r="L40" i="19"/>
  <c r="P40" i="19"/>
  <c r="N40" i="19"/>
  <c r="M27" i="17"/>
  <c r="P21" i="17"/>
  <c r="S21" i="17" s="1"/>
  <c r="T21" i="17"/>
  <c r="P14" i="17"/>
  <c r="S14" i="17" s="1"/>
  <c r="T14" i="17"/>
  <c r="P38" i="19"/>
  <c r="L38" i="19"/>
  <c r="N38" i="19"/>
  <c r="L37" i="19"/>
  <c r="P37" i="19"/>
  <c r="Q37" i="19" s="1"/>
  <c r="R37" i="19" s="1"/>
  <c r="N37" i="19"/>
  <c r="R47" i="20"/>
  <c r="N47" i="20"/>
  <c r="P47" i="20"/>
  <c r="P36" i="19"/>
  <c r="Q36" i="19" s="1"/>
  <c r="R36" i="19" s="1"/>
  <c r="L36" i="19"/>
  <c r="N36" i="19"/>
  <c r="N18" i="18"/>
  <c r="M12" i="18"/>
  <c r="K13" i="18"/>
  <c r="B126" i="17" s="1"/>
  <c r="K15" i="18"/>
  <c r="B128" i="17" s="1"/>
  <c r="K17" i="18"/>
  <c r="B130" i="17" s="1"/>
  <c r="M17" i="18"/>
  <c r="M13" i="18"/>
  <c r="M16" i="18"/>
  <c r="M15" i="18"/>
  <c r="M14" i="18"/>
  <c r="K16" i="18"/>
  <c r="B129" i="17" s="1"/>
  <c r="K14" i="18"/>
  <c r="B127" i="17" s="1"/>
  <c r="N30" i="18"/>
  <c r="M28" i="18"/>
  <c r="M30" i="18" s="1"/>
  <c r="M29" i="18"/>
  <c r="K29" i="18"/>
  <c r="B142" i="17" s="1"/>
  <c r="L41" i="19"/>
  <c r="P41" i="19"/>
  <c r="Q41" i="19" s="1"/>
  <c r="R41" i="19" s="1"/>
  <c r="N41" i="19"/>
  <c r="L35" i="19"/>
  <c r="P35" i="19"/>
  <c r="N35" i="19"/>
  <c r="N51" i="20"/>
  <c r="O51" i="20" s="1"/>
  <c r="R51" i="20"/>
  <c r="S51" i="20" s="1"/>
  <c r="T51" i="20" s="1"/>
  <c r="P51" i="20"/>
  <c r="M53" i="18"/>
  <c r="N54" i="18"/>
  <c r="M51" i="18"/>
  <c r="M54" i="18" s="1"/>
  <c r="M52" i="18"/>
  <c r="K53" i="18"/>
  <c r="B166" i="17" s="1"/>
  <c r="K52" i="18"/>
  <c r="B165" i="17" s="1"/>
  <c r="P22" i="17"/>
  <c r="S22" i="17" s="1"/>
  <c r="T22" i="17"/>
  <c r="P11" i="17"/>
  <c r="S11" i="17" s="1"/>
  <c r="T11" i="17"/>
  <c r="R52" i="20"/>
  <c r="N52" i="20"/>
  <c r="P52" i="20"/>
  <c r="N44" i="20"/>
  <c r="O44" i="20" s="1"/>
  <c r="R44" i="20"/>
  <c r="S44" i="20" s="1"/>
  <c r="T44" i="20" s="1"/>
  <c r="P44" i="20"/>
  <c r="N46" i="18"/>
  <c r="M42" i="18"/>
  <c r="M46" i="18" s="1"/>
  <c r="M43" i="18"/>
  <c r="M44" i="18"/>
  <c r="M45" i="18"/>
  <c r="K43" i="18"/>
  <c r="B156" i="17" s="1"/>
  <c r="E156" i="17" s="1"/>
  <c r="K45" i="18"/>
  <c r="B158" i="17" s="1"/>
  <c r="E158" i="17" s="1"/>
  <c r="K44" i="18"/>
  <c r="B157" i="17" s="1"/>
  <c r="E157" i="17" s="1"/>
  <c r="N25" i="18"/>
  <c r="M20" i="18"/>
  <c r="M21" i="18"/>
  <c r="K22" i="18"/>
  <c r="B135" i="17" s="1"/>
  <c r="M24" i="18"/>
  <c r="K24" i="18"/>
  <c r="B137" i="17" s="1"/>
  <c r="M22" i="18"/>
  <c r="M23" i="18"/>
  <c r="K21" i="18"/>
  <c r="B134" i="17" s="1"/>
  <c r="K23" i="18"/>
  <c r="B136" i="17" s="1"/>
  <c r="Q27" i="17"/>
  <c r="F121" i="17"/>
  <c r="F172" i="17" s="1"/>
  <c r="F178" i="17" s="1"/>
  <c r="L32" i="19"/>
  <c r="N32" i="19"/>
  <c r="P32" i="19"/>
  <c r="Q32" i="19" s="1"/>
  <c r="R32" i="19" s="1"/>
  <c r="T16" i="17"/>
  <c r="P16" i="17"/>
  <c r="S16" i="17" s="1"/>
  <c r="R42" i="20"/>
  <c r="S42" i="20" s="1"/>
  <c r="T42" i="20" s="1"/>
  <c r="N42" i="20"/>
  <c r="O42" i="20" s="1"/>
  <c r="P42" i="20"/>
  <c r="P30" i="19"/>
  <c r="Q30" i="19" s="1"/>
  <c r="R30" i="19" s="1"/>
  <c r="L30" i="19"/>
  <c r="N30" i="19"/>
  <c r="M38" i="18"/>
  <c r="M39" i="18"/>
  <c r="K39" i="18"/>
  <c r="B151" i="17" s="1"/>
  <c r="K38" i="18"/>
  <c r="B152" i="17" s="1"/>
  <c r="N40" i="18"/>
  <c r="M37" i="18"/>
  <c r="M40" i="18" s="1"/>
  <c r="R55" i="20"/>
  <c r="N55" i="20"/>
  <c r="P55" i="20"/>
  <c r="N34" i="20"/>
  <c r="R34" i="20"/>
  <c r="P34" i="20"/>
  <c r="E174" i="17"/>
  <c r="B177" i="17"/>
  <c r="T26" i="17"/>
  <c r="P26" i="17"/>
  <c r="S26" i="17" s="1"/>
  <c r="L27" i="19"/>
  <c r="P27" i="19"/>
  <c r="N27" i="19"/>
  <c r="N50" i="20"/>
  <c r="O50" i="20" s="1"/>
  <c r="R50" i="20"/>
  <c r="S50" i="20" s="1"/>
  <c r="T50" i="20" s="1"/>
  <c r="P50" i="20"/>
  <c r="R58" i="20"/>
  <c r="S58" i="20" s="1"/>
  <c r="T58" i="20" s="1"/>
  <c r="N58" i="20"/>
  <c r="O58" i="20" s="1"/>
  <c r="P58" i="20"/>
  <c r="N41" i="20"/>
  <c r="O41" i="20" s="1"/>
  <c r="R41" i="20"/>
  <c r="S41" i="20" s="1"/>
  <c r="T41" i="20" s="1"/>
  <c r="P41" i="20"/>
  <c r="I4" i="19"/>
  <c r="G21" i="19"/>
  <c r="J21" i="19" s="1"/>
  <c r="I6" i="19" s="1"/>
  <c r="L39" i="19"/>
  <c r="P39" i="19"/>
  <c r="Q39" i="19" s="1"/>
  <c r="R39" i="19" s="1"/>
  <c r="N39" i="19"/>
  <c r="I60" i="20"/>
  <c r="K25" i="20"/>
  <c r="R45" i="20"/>
  <c r="S45" i="20" s="1"/>
  <c r="T45" i="20" s="1"/>
  <c r="N45" i="20"/>
  <c r="O45" i="20" s="1"/>
  <c r="P45" i="20"/>
  <c r="N40" i="20"/>
  <c r="O40" i="20" s="1"/>
  <c r="R40" i="20"/>
  <c r="S40" i="20" s="1"/>
  <c r="T40" i="20" s="1"/>
  <c r="P40" i="20"/>
  <c r="S100" i="17"/>
  <c r="P103" i="17"/>
  <c r="P31" i="19"/>
  <c r="Q31" i="19" s="1"/>
  <c r="R31" i="19" s="1"/>
  <c r="L31" i="19"/>
  <c r="N31" i="19"/>
  <c r="N54" i="20"/>
  <c r="O54" i="20" s="1"/>
  <c r="R54" i="20"/>
  <c r="S54" i="20" s="1"/>
  <c r="T54" i="20" s="1"/>
  <c r="P54" i="20"/>
  <c r="N35" i="20"/>
  <c r="O35" i="20" s="1"/>
  <c r="P35" i="20"/>
  <c r="R35" i="20"/>
  <c r="S35" i="20" s="1"/>
  <c r="T35" i="20" s="1"/>
  <c r="M55" i="18"/>
  <c r="M56" i="18"/>
  <c r="K56" i="18"/>
  <c r="B169" i="17" s="1"/>
  <c r="N57" i="18"/>
  <c r="I4" i="20"/>
  <c r="G21" i="20"/>
  <c r="J21" i="20" s="1"/>
  <c r="I6" i="20" s="1"/>
  <c r="P18" i="17"/>
  <c r="S18" i="17" s="1"/>
  <c r="T18" i="17"/>
  <c r="K48" i="18"/>
  <c r="B161" i="17" s="1"/>
  <c r="N49" i="18"/>
  <c r="M48" i="18"/>
  <c r="M47" i="18"/>
  <c r="M49" i="18" s="1"/>
  <c r="X26" i="20" l="1"/>
  <c r="U26" i="20"/>
  <c r="M33" i="18"/>
  <c r="X58" i="20"/>
  <c r="U58" i="20"/>
  <c r="H145" i="17"/>
  <c r="D40" i="21"/>
  <c r="G40" i="21" s="1"/>
  <c r="O40" i="18"/>
  <c r="K37" i="18" s="1"/>
  <c r="B150" i="17" s="1"/>
  <c r="S29" i="19"/>
  <c r="U29" i="19" s="1"/>
  <c r="V29" i="19"/>
  <c r="O46" i="18"/>
  <c r="K42" i="18" s="1"/>
  <c r="B155" i="17" s="1"/>
  <c r="V30" i="19"/>
  <c r="S30" i="19"/>
  <c r="U30" i="19" s="1"/>
  <c r="M18" i="18"/>
  <c r="O18" i="18" s="1"/>
  <c r="K12" i="18" s="1"/>
  <c r="B125" i="17" s="1"/>
  <c r="B121" i="17"/>
  <c r="V34" i="19"/>
  <c r="S34" i="19"/>
  <c r="U34" i="19" s="1"/>
  <c r="M57" i="18"/>
  <c r="O57" i="18" s="1"/>
  <c r="K55" i="18" s="1"/>
  <c r="B168" i="17" s="1"/>
  <c r="X35" i="20"/>
  <c r="U35" i="20"/>
  <c r="U54" i="20"/>
  <c r="X54" i="20"/>
  <c r="U44" i="20"/>
  <c r="X44" i="20"/>
  <c r="M11" i="18"/>
  <c r="V33" i="19"/>
  <c r="S33" i="19"/>
  <c r="U33" i="19" s="1"/>
  <c r="V36" i="19"/>
  <c r="S36" i="19"/>
  <c r="U36" i="19" s="1"/>
  <c r="V41" i="19"/>
  <c r="S41" i="19"/>
  <c r="U41" i="19" s="1"/>
  <c r="S104" i="17"/>
  <c r="H174" i="17"/>
  <c r="H177" i="17" s="1"/>
  <c r="X45" i="20"/>
  <c r="U45" i="20"/>
  <c r="X50" i="20"/>
  <c r="U50" i="20"/>
  <c r="N25" i="20"/>
  <c r="P25" i="20"/>
  <c r="P60" i="20" s="1"/>
  <c r="R25" i="20"/>
  <c r="K60" i="20"/>
  <c r="U41" i="20"/>
  <c r="X41" i="20"/>
  <c r="O49" i="18"/>
  <c r="K47" i="18" s="1"/>
  <c r="B160" i="17" s="1"/>
  <c r="M36" i="18"/>
  <c r="O36" i="18" s="1"/>
  <c r="K34" i="18" s="1"/>
  <c r="B147" i="17" s="1"/>
  <c r="U42" i="20"/>
  <c r="X42" i="20"/>
  <c r="V32" i="19"/>
  <c r="S32" i="19"/>
  <c r="U32" i="19" s="1"/>
  <c r="S110" i="17"/>
  <c r="T110" i="17" s="1"/>
  <c r="D175" i="17" s="1"/>
  <c r="S103" i="17"/>
  <c r="U40" i="20"/>
  <c r="X40" i="20"/>
  <c r="M25" i="18"/>
  <c r="O30" i="18"/>
  <c r="K28" i="18" s="1"/>
  <c r="B141" i="17" s="1"/>
  <c r="O25" i="18"/>
  <c r="K20" i="18" s="1"/>
  <c r="B133" i="17" s="1"/>
  <c r="S26" i="19"/>
  <c r="U26" i="19" s="1"/>
  <c r="V26" i="19"/>
  <c r="I21" i="19"/>
  <c r="I21" i="20"/>
  <c r="S39" i="19"/>
  <c r="U39" i="19" s="1"/>
  <c r="V39" i="19"/>
  <c r="H157" i="17"/>
  <c r="D45" i="21"/>
  <c r="G45" i="21" s="1"/>
  <c r="V37" i="19"/>
  <c r="S37" i="19"/>
  <c r="U37" i="19" s="1"/>
  <c r="O11" i="18"/>
  <c r="K9" i="18" s="1"/>
  <c r="B122" i="17" s="1"/>
  <c r="H158" i="17"/>
  <c r="D46" i="21"/>
  <c r="G46" i="21" s="1"/>
  <c r="P25" i="19"/>
  <c r="I42" i="19"/>
  <c r="L25" i="19"/>
  <c r="N25" i="19"/>
  <c r="N42" i="19" s="1"/>
  <c r="O54" i="18"/>
  <c r="K51" i="18" s="1"/>
  <c r="B164" i="17" s="1"/>
  <c r="X51" i="20"/>
  <c r="U51" i="20"/>
  <c r="O33" i="18"/>
  <c r="K31" i="18" s="1"/>
  <c r="B144" i="17" s="1"/>
  <c r="V31" i="19"/>
  <c r="S31" i="19"/>
  <c r="U31" i="19" s="1"/>
  <c r="H156" i="17"/>
  <c r="D44" i="21"/>
  <c r="G44" i="21" s="1"/>
  <c r="B170" i="17" l="1"/>
  <c r="B131" i="17"/>
  <c r="B149" i="17"/>
  <c r="P42" i="19"/>
  <c r="Q25" i="19" s="1"/>
  <c r="T104" i="17"/>
  <c r="B124" i="17"/>
  <c r="L42" i="19"/>
  <c r="B143" i="17"/>
  <c r="B162" i="17"/>
  <c r="R60" i="20"/>
  <c r="S25" i="20" s="1"/>
  <c r="D177" i="17"/>
  <c r="E175" i="17"/>
  <c r="E177" i="17" s="1"/>
  <c r="B153" i="17"/>
  <c r="N60" i="20"/>
  <c r="B138" i="17"/>
  <c r="B167" i="17"/>
  <c r="K58" i="18"/>
  <c r="B159" i="17"/>
  <c r="B146" i="17"/>
  <c r="T25" i="20" l="1"/>
  <c r="R25" i="19"/>
  <c r="O42" i="19"/>
  <c r="M38" i="19"/>
  <c r="M27" i="19"/>
  <c r="M40" i="19"/>
  <c r="M35" i="19"/>
  <c r="M28" i="19"/>
  <c r="Q60" i="20"/>
  <c r="O47" i="20"/>
  <c r="O52" i="20"/>
  <c r="Q52" i="20" s="1"/>
  <c r="V52" i="20" s="1"/>
  <c r="E109" i="20" s="1"/>
  <c r="O28" i="20"/>
  <c r="Q28" i="20" s="1"/>
  <c r="V28" i="20" s="1"/>
  <c r="E80" i="20" s="1"/>
  <c r="O55" i="20"/>
  <c r="Q55" i="20" s="1"/>
  <c r="V55" i="20" s="1"/>
  <c r="E113" i="20" s="1"/>
  <c r="O34" i="20"/>
  <c r="Q34" i="20" s="1"/>
  <c r="V34" i="20" s="1"/>
  <c r="E87" i="20" s="1"/>
  <c r="O25" i="20"/>
  <c r="Q28" i="19"/>
  <c r="R28" i="19" s="1"/>
  <c r="Q35" i="19"/>
  <c r="R35" i="19" s="1"/>
  <c r="Q40" i="19"/>
  <c r="R40" i="19" s="1"/>
  <c r="Q38" i="19"/>
  <c r="R38" i="19" s="1"/>
  <c r="Q27" i="19"/>
  <c r="R27" i="19" s="1"/>
  <c r="S47" i="20"/>
  <c r="T47" i="20" s="1"/>
  <c r="S34" i="20"/>
  <c r="T34" i="20" s="1"/>
  <c r="S28" i="20"/>
  <c r="T28" i="20" s="1"/>
  <c r="S55" i="20"/>
  <c r="T55" i="20" s="1"/>
  <c r="S52" i="20"/>
  <c r="T52" i="20" s="1"/>
  <c r="M25" i="19"/>
  <c r="M42" i="19" s="1"/>
  <c r="B172" i="17"/>
  <c r="B178" i="17" s="1"/>
  <c r="S38" i="19" l="1"/>
  <c r="V38" i="19"/>
  <c r="V35" i="19"/>
  <c r="S35" i="19"/>
  <c r="X28" i="20"/>
  <c r="S28" i="19"/>
  <c r="V28" i="19"/>
  <c r="U116" i="20"/>
  <c r="T115" i="20"/>
  <c r="G115" i="20"/>
  <c r="D166" i="17" s="1"/>
  <c r="E166" i="17" s="1"/>
  <c r="T113" i="20"/>
  <c r="T114" i="20"/>
  <c r="G114" i="20"/>
  <c r="D165" i="17" s="1"/>
  <c r="E165" i="17" s="1"/>
  <c r="C113" i="20"/>
  <c r="V27" i="19"/>
  <c r="Q58" i="20"/>
  <c r="V58" i="20" s="1"/>
  <c r="Q26" i="20"/>
  <c r="V26" i="20" s="1"/>
  <c r="Q54" i="20"/>
  <c r="V54" i="20" s="1"/>
  <c r="Q50" i="20"/>
  <c r="V50" i="20" s="1"/>
  <c r="Q51" i="20"/>
  <c r="V51" i="20" s="1"/>
  <c r="Q45" i="20"/>
  <c r="V45" i="20" s="1"/>
  <c r="Q42" i="20"/>
  <c r="V42" i="20" s="1"/>
  <c r="Q40" i="20"/>
  <c r="V40" i="20" s="1"/>
  <c r="Q41" i="20"/>
  <c r="V41" i="20" s="1"/>
  <c r="Q44" i="20"/>
  <c r="V44" i="20" s="1"/>
  <c r="Q35" i="20"/>
  <c r="V35" i="20" s="1"/>
  <c r="U55" i="20"/>
  <c r="W55" i="20" s="1"/>
  <c r="X55" i="20"/>
  <c r="G87" i="20"/>
  <c r="D132" i="17" s="1"/>
  <c r="C87" i="20"/>
  <c r="G82" i="20"/>
  <c r="D127" i="17" s="1"/>
  <c r="E127" i="17" s="1"/>
  <c r="G81" i="20"/>
  <c r="D126" i="17" s="1"/>
  <c r="E126" i="17" s="1"/>
  <c r="G84" i="20"/>
  <c r="D129" i="17" s="1"/>
  <c r="E129" i="17" s="1"/>
  <c r="G85" i="20"/>
  <c r="D130" i="17" s="1"/>
  <c r="E130" i="17" s="1"/>
  <c r="T81" i="20"/>
  <c r="T83" i="20"/>
  <c r="T80" i="20"/>
  <c r="T82" i="20"/>
  <c r="U86" i="20"/>
  <c r="T84" i="20"/>
  <c r="T85" i="20"/>
  <c r="G83" i="20"/>
  <c r="D128" i="17" s="1"/>
  <c r="E128" i="17" s="1"/>
  <c r="C80" i="20"/>
  <c r="R42" i="19"/>
  <c r="V42" i="19" s="1"/>
  <c r="X42" i="19" s="1"/>
  <c r="S27" i="19" s="1"/>
  <c r="U27" i="19" s="1"/>
  <c r="S25" i="19"/>
  <c r="V25" i="19"/>
  <c r="U111" i="20"/>
  <c r="T109" i="20"/>
  <c r="T111" i="20" s="1"/>
  <c r="T110" i="20"/>
  <c r="G109" i="20"/>
  <c r="G110" i="20"/>
  <c r="D161" i="17" s="1"/>
  <c r="E161" i="17" s="1"/>
  <c r="C109" i="20"/>
  <c r="Q42" i="19"/>
  <c r="X34" i="20"/>
  <c r="U34" i="20"/>
  <c r="W34" i="20" s="1"/>
  <c r="O60" i="20"/>
  <c r="Q25" i="20"/>
  <c r="S60" i="20"/>
  <c r="U52" i="20"/>
  <c r="W52" i="20" s="1"/>
  <c r="X52" i="20"/>
  <c r="U47" i="20"/>
  <c r="X47" i="20"/>
  <c r="S40" i="19"/>
  <c r="V40" i="19"/>
  <c r="Q47" i="20"/>
  <c r="V47" i="20" s="1"/>
  <c r="E103" i="20" s="1"/>
  <c r="O28" i="19"/>
  <c r="T28" i="19" s="1"/>
  <c r="F40" i="17" s="1"/>
  <c r="O25" i="19"/>
  <c r="T25" i="19" s="1"/>
  <c r="O35" i="19"/>
  <c r="T35" i="19" s="1"/>
  <c r="F47" i="17" s="1"/>
  <c r="O40" i="19"/>
  <c r="T40" i="19" s="1"/>
  <c r="F52" i="17" s="1"/>
  <c r="O38" i="19"/>
  <c r="T38" i="19" s="1"/>
  <c r="F50" i="17" s="1"/>
  <c r="O27" i="19"/>
  <c r="T27" i="19" s="1"/>
  <c r="F39" i="17" s="1"/>
  <c r="T60" i="20"/>
  <c r="X60" i="20" s="1"/>
  <c r="Z60" i="20" s="1"/>
  <c r="U28" i="20" s="1"/>
  <c r="W28" i="20" s="1"/>
  <c r="X25" i="20"/>
  <c r="U25" i="20"/>
  <c r="D34" i="21" l="1"/>
  <c r="G34" i="21" s="1"/>
  <c r="H130" i="17"/>
  <c r="T86" i="20"/>
  <c r="V86" i="20" s="1"/>
  <c r="G80" i="20" s="1"/>
  <c r="G111" i="20"/>
  <c r="D162" i="17" s="1"/>
  <c r="D160" i="17"/>
  <c r="D31" i="21"/>
  <c r="G31" i="21" s="1"/>
  <c r="H127" i="17"/>
  <c r="E77" i="20"/>
  <c r="W26" i="20"/>
  <c r="D32" i="21"/>
  <c r="G32" i="21" s="1"/>
  <c r="H128" i="17"/>
  <c r="T116" i="20"/>
  <c r="V116" i="20" s="1"/>
  <c r="G113" i="20" s="1"/>
  <c r="E96" i="20"/>
  <c r="W42" i="20"/>
  <c r="D39" i="17"/>
  <c r="C125" i="17"/>
  <c r="N12" i="17"/>
  <c r="D48" i="21"/>
  <c r="G48" i="21" s="1"/>
  <c r="H165" i="17"/>
  <c r="T42" i="19"/>
  <c r="F37" i="17"/>
  <c r="U28" i="19"/>
  <c r="Q61" i="20"/>
  <c r="V25" i="20"/>
  <c r="W25" i="20" s="1"/>
  <c r="E88" i="20"/>
  <c r="W35" i="20"/>
  <c r="E108" i="20"/>
  <c r="W51" i="20"/>
  <c r="C132" i="17"/>
  <c r="E132" i="17" s="1"/>
  <c r="D40" i="17"/>
  <c r="N13" i="17"/>
  <c r="V111" i="20"/>
  <c r="H129" i="17"/>
  <c r="D33" i="21"/>
  <c r="G33" i="21" s="1"/>
  <c r="E117" i="20"/>
  <c r="W58" i="20"/>
  <c r="D49" i="21"/>
  <c r="G49" i="21" s="1"/>
  <c r="H166" i="17"/>
  <c r="G105" i="20"/>
  <c r="D151" i="17" s="1"/>
  <c r="E151" i="17" s="1"/>
  <c r="G104" i="20"/>
  <c r="D152" i="17" s="1"/>
  <c r="E152" i="17" s="1"/>
  <c r="U106" i="20"/>
  <c r="T103" i="20"/>
  <c r="T104" i="20"/>
  <c r="T105" i="20"/>
  <c r="C103" i="20"/>
  <c r="D47" i="21"/>
  <c r="G47" i="21" s="1"/>
  <c r="H161" i="17"/>
  <c r="D30" i="21"/>
  <c r="G30" i="21" s="1"/>
  <c r="H126" i="17"/>
  <c r="E112" i="20"/>
  <c r="W54" i="20"/>
  <c r="D52" i="17"/>
  <c r="C164" i="17"/>
  <c r="N25" i="17"/>
  <c r="U35" i="19"/>
  <c r="E95" i="20"/>
  <c r="W41" i="20"/>
  <c r="E94" i="20"/>
  <c r="W40" i="20"/>
  <c r="U40" i="19"/>
  <c r="S42" i="19"/>
  <c r="U25" i="19"/>
  <c r="E107" i="20"/>
  <c r="W50" i="20"/>
  <c r="D50" i="17"/>
  <c r="N23" i="17"/>
  <c r="C160" i="17"/>
  <c r="E99" i="20"/>
  <c r="W44" i="20"/>
  <c r="E100" i="20"/>
  <c r="W45" i="20"/>
  <c r="U60" i="20"/>
  <c r="N20" i="17"/>
  <c r="C150" i="17"/>
  <c r="D47" i="17"/>
  <c r="W47" i="20"/>
  <c r="U38" i="19"/>
  <c r="G116" i="20" l="1"/>
  <c r="D167" i="17" s="1"/>
  <c r="D164" i="17"/>
  <c r="D125" i="17"/>
  <c r="G86" i="20"/>
  <c r="D131" i="17" s="1"/>
  <c r="G95" i="20"/>
  <c r="D140" i="17" s="1"/>
  <c r="E140" i="17" s="1"/>
  <c r="C95" i="20"/>
  <c r="T90" i="20"/>
  <c r="T91" i="20"/>
  <c r="T92" i="20"/>
  <c r="G89" i="20"/>
  <c r="D134" i="17" s="1"/>
  <c r="E134" i="17" s="1"/>
  <c r="U93" i="20"/>
  <c r="T88" i="20"/>
  <c r="T93" i="20" s="1"/>
  <c r="G92" i="20"/>
  <c r="D137" i="17" s="1"/>
  <c r="E137" i="17" s="1"/>
  <c r="T89" i="20"/>
  <c r="G90" i="20"/>
  <c r="D135" i="17" s="1"/>
  <c r="E135" i="17" s="1"/>
  <c r="G91" i="20"/>
  <c r="D136" i="17" s="1"/>
  <c r="E136" i="17" s="1"/>
  <c r="C88" i="20"/>
  <c r="T106" i="20"/>
  <c r="T78" i="20"/>
  <c r="U79" i="20"/>
  <c r="T77" i="20"/>
  <c r="T79" i="20" s="1"/>
  <c r="G78" i="20"/>
  <c r="D123" i="17" s="1"/>
  <c r="E123" i="17" s="1"/>
  <c r="C77" i="20"/>
  <c r="D42" i="21"/>
  <c r="G42" i="21" s="1"/>
  <c r="H152" i="17"/>
  <c r="T13" i="17"/>
  <c r="P13" i="17"/>
  <c r="S13" i="17" s="1"/>
  <c r="C131" i="17"/>
  <c r="E125" i="17"/>
  <c r="C153" i="17"/>
  <c r="G94" i="20"/>
  <c r="D139" i="17" s="1"/>
  <c r="E139" i="17" s="1"/>
  <c r="C94" i="20"/>
  <c r="H151" i="17"/>
  <c r="D43" i="21"/>
  <c r="G43" i="21" s="1"/>
  <c r="G99" i="20"/>
  <c r="C99" i="20"/>
  <c r="G112" i="20"/>
  <c r="D163" i="17" s="1"/>
  <c r="E163" i="17" s="1"/>
  <c r="C112" i="20"/>
  <c r="D37" i="17"/>
  <c r="D54" i="17" s="1"/>
  <c r="C121" i="17"/>
  <c r="F54" i="17"/>
  <c r="N10" i="17"/>
  <c r="C162" i="17"/>
  <c r="E160" i="17"/>
  <c r="V106" i="20"/>
  <c r="G103" i="20" s="1"/>
  <c r="W60" i="20"/>
  <c r="T23" i="17"/>
  <c r="P23" i="17"/>
  <c r="S23" i="17" s="1"/>
  <c r="T118" i="20"/>
  <c r="G118" i="20"/>
  <c r="D169" i="17" s="1"/>
  <c r="E169" i="17" s="1"/>
  <c r="U119" i="20"/>
  <c r="T117" i="20"/>
  <c r="C117" i="20"/>
  <c r="G108" i="20"/>
  <c r="C108" i="20"/>
  <c r="P12" i="17"/>
  <c r="S12" i="17" s="1"/>
  <c r="T12" i="17"/>
  <c r="C167" i="17"/>
  <c r="C172" i="17" s="1"/>
  <c r="C178" i="17" s="1"/>
  <c r="E164" i="17"/>
  <c r="U98" i="20"/>
  <c r="G97" i="20"/>
  <c r="D142" i="17" s="1"/>
  <c r="E142" i="17" s="1"/>
  <c r="T96" i="20"/>
  <c r="T97" i="20"/>
  <c r="C96" i="20"/>
  <c r="T101" i="20"/>
  <c r="U102" i="20"/>
  <c r="T100" i="20"/>
  <c r="T102" i="20" s="1"/>
  <c r="G101" i="20"/>
  <c r="D148" i="17" s="1"/>
  <c r="E148" i="17" s="1"/>
  <c r="C100" i="20"/>
  <c r="G107" i="20"/>
  <c r="D154" i="17" s="1"/>
  <c r="E154" i="17" s="1"/>
  <c r="C107" i="20"/>
  <c r="P25" i="17"/>
  <c r="S25" i="17" s="1"/>
  <c r="T25" i="17"/>
  <c r="D15" i="21"/>
  <c r="G15" i="21" s="1"/>
  <c r="H132" i="17"/>
  <c r="V60" i="20"/>
  <c r="E76" i="20"/>
  <c r="T20" i="17"/>
  <c r="P20" i="17"/>
  <c r="S20" i="17" s="1"/>
  <c r="U42" i="19"/>
  <c r="D50" i="21" l="1"/>
  <c r="G50" i="21" s="1"/>
  <c r="H169" i="17"/>
  <c r="T119" i="20"/>
  <c r="V93" i="20"/>
  <c r="G88" i="20" s="1"/>
  <c r="H160" i="17"/>
  <c r="E162" i="17"/>
  <c r="H162" i="17" s="1"/>
  <c r="D25" i="21"/>
  <c r="G25" i="21" s="1"/>
  <c r="D159" i="17"/>
  <c r="D155" i="17"/>
  <c r="E155" i="17" s="1"/>
  <c r="N27" i="17"/>
  <c r="T10" i="17"/>
  <c r="P10" i="17"/>
  <c r="D29" i="21"/>
  <c r="G29" i="21" s="1"/>
  <c r="H123" i="17"/>
  <c r="D38" i="21"/>
  <c r="G38" i="21" s="1"/>
  <c r="H137" i="17"/>
  <c r="V102" i="20"/>
  <c r="G100" i="20" s="1"/>
  <c r="D14" i="21"/>
  <c r="G14" i="21" s="1"/>
  <c r="H125" i="17"/>
  <c r="E131" i="17"/>
  <c r="H131" i="17" s="1"/>
  <c r="D36" i="21"/>
  <c r="G36" i="21" s="1"/>
  <c r="H135" i="17"/>
  <c r="D41" i="21"/>
  <c r="G41" i="21" s="1"/>
  <c r="H148" i="17"/>
  <c r="E167" i="17"/>
  <c r="H167" i="17" s="1"/>
  <c r="D27" i="21"/>
  <c r="G27" i="21" s="1"/>
  <c r="H164" i="17"/>
  <c r="H163" i="17"/>
  <c r="D26" i="21"/>
  <c r="G26" i="21" s="1"/>
  <c r="D37" i="21"/>
  <c r="G37" i="21" s="1"/>
  <c r="H136" i="17"/>
  <c r="D35" i="21"/>
  <c r="G35" i="21" s="1"/>
  <c r="H134" i="17"/>
  <c r="D18" i="21"/>
  <c r="G18" i="21" s="1"/>
  <c r="H140" i="17"/>
  <c r="D17" i="21"/>
  <c r="G17" i="21" s="1"/>
  <c r="H139" i="17"/>
  <c r="D144" i="17"/>
  <c r="E144" i="17" s="1"/>
  <c r="D146" i="17"/>
  <c r="G76" i="20"/>
  <c r="D121" i="17" s="1"/>
  <c r="E121" i="17" s="1"/>
  <c r="E120" i="20"/>
  <c r="C76" i="20"/>
  <c r="C120" i="20" s="1"/>
  <c r="T98" i="20"/>
  <c r="H154" i="17"/>
  <c r="D23" i="21"/>
  <c r="G23" i="21" s="1"/>
  <c r="D39" i="21"/>
  <c r="G39" i="21" s="1"/>
  <c r="H142" i="17"/>
  <c r="V119" i="20"/>
  <c r="G117" i="20" s="1"/>
  <c r="G106" i="20"/>
  <c r="D153" i="17" s="1"/>
  <c r="D150" i="17"/>
  <c r="E150" i="17" s="1"/>
  <c r="V79" i="20"/>
  <c r="G77" i="20" s="1"/>
  <c r="V98" i="20"/>
  <c r="G96" i="20" s="1"/>
  <c r="D12" i="21" l="1"/>
  <c r="H121" i="17"/>
  <c r="G102" i="20"/>
  <c r="D149" i="17" s="1"/>
  <c r="D147" i="17"/>
  <c r="E147" i="17" s="1"/>
  <c r="G79" i="20"/>
  <c r="D124" i="17" s="1"/>
  <c r="D122" i="17"/>
  <c r="E122" i="17" s="1"/>
  <c r="D168" i="17"/>
  <c r="E168" i="17" s="1"/>
  <c r="G120" i="20"/>
  <c r="P27" i="17"/>
  <c r="S30" i="17" s="1"/>
  <c r="S10" i="17"/>
  <c r="S27" i="17" s="1"/>
  <c r="E153" i="17"/>
  <c r="H153" i="17" s="1"/>
  <c r="D22" i="21"/>
  <c r="G22" i="21" s="1"/>
  <c r="H150" i="17"/>
  <c r="E146" i="17"/>
  <c r="H146" i="17" s="1"/>
  <c r="H144" i="17"/>
  <c r="D20" i="21"/>
  <c r="G20" i="21" s="1"/>
  <c r="G93" i="20"/>
  <c r="D138" i="17" s="1"/>
  <c r="D133" i="17"/>
  <c r="E133" i="17" s="1"/>
  <c r="G98" i="20"/>
  <c r="D143" i="17" s="1"/>
  <c r="D141" i="17"/>
  <c r="E141" i="17" s="1"/>
  <c r="H155" i="17"/>
  <c r="D24" i="21"/>
  <c r="G24" i="21" s="1"/>
  <c r="E159" i="17"/>
  <c r="H159" i="17" s="1"/>
  <c r="H141" i="17" l="1"/>
  <c r="D19" i="21"/>
  <c r="G19" i="21" s="1"/>
  <c r="E143" i="17"/>
  <c r="H143" i="17" s="1"/>
  <c r="E170" i="17"/>
  <c r="D28" i="21"/>
  <c r="G28" i="21" s="1"/>
  <c r="H168" i="17"/>
  <c r="H147" i="17"/>
  <c r="D21" i="21"/>
  <c r="G21" i="21" s="1"/>
  <c r="E149" i="17"/>
  <c r="H149" i="17" s="1"/>
  <c r="H122" i="17"/>
  <c r="D13" i="21"/>
  <c r="G13" i="21" s="1"/>
  <c r="E124" i="17"/>
  <c r="H124" i="17" s="1"/>
  <c r="D16" i="21"/>
  <c r="G16" i="21" s="1"/>
  <c r="H133" i="17"/>
  <c r="E138" i="17"/>
  <c r="H138" i="17" s="1"/>
  <c r="D170" i="17"/>
  <c r="D172" i="17" s="1"/>
  <c r="D178" i="17" s="1"/>
  <c r="G121" i="20"/>
  <c r="D51" i="21"/>
  <c r="G51" i="21" s="1"/>
  <c r="G12" i="21"/>
  <c r="G55" i="21" l="1"/>
  <c r="D54" i="21"/>
  <c r="G54" i="21" s="1"/>
  <c r="H170" i="17"/>
  <c r="H172" i="17" s="1"/>
  <c r="E172" i="17"/>
  <c r="E178" i="17" l="1"/>
  <c r="H173" i="17"/>
  <c r="C4" i="12"/>
  <c r="C19" i="12" s="1"/>
  <c r="H178" i="17"/>
</calcChain>
</file>

<file path=xl/comments1.xml><?xml version="1.0" encoding="utf-8"?>
<comments xmlns="http://schemas.openxmlformats.org/spreadsheetml/2006/main">
  <authors>
    <author>Department of Taxation</author>
  </authors>
  <commentList>
    <comment ref="L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 , subsec 1 (c)</t>
        </r>
      </text>
    </comment>
    <comment ref="M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(f)</t>
        </r>
      </text>
    </comment>
    <comment ref="N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(d)</t>
        </r>
      </text>
    </comment>
    <comment ref="O27" authorId="0">
      <text>
        <r>
          <rPr>
            <b/>
            <sz val="8"/>
            <color indexed="81"/>
            <rFont val="Tahoma"/>
          </rPr>
          <t>Department of Taxation:</t>
        </r>
        <r>
          <rPr>
            <sz val="8"/>
            <color indexed="81"/>
            <rFont val="Tahoma"/>
          </rPr>
          <t xml:space="preserve">
</t>
        </r>
      </text>
    </comment>
    <comment ref="O42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(e)</t>
        </r>
      </text>
    </comment>
  </commentList>
</comments>
</file>

<file path=xl/comments2.xml><?xml version="1.0" encoding="utf-8"?>
<comments xmlns="http://schemas.openxmlformats.org/spreadsheetml/2006/main">
  <authors>
    <author>Department of Taxation</author>
  </authors>
  <commentList>
    <comment ref="N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 , subsec 1 (c)</t>
        </r>
      </text>
    </comment>
    <comment ref="O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(f)</t>
        </r>
      </text>
    </comment>
    <comment ref="P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(d)</t>
        </r>
      </text>
    </comment>
  </commentList>
</comments>
</file>

<file path=xl/sharedStrings.xml><?xml version="1.0" encoding="utf-8"?>
<sst xmlns="http://schemas.openxmlformats.org/spreadsheetml/2006/main" count="1743" uniqueCount="788">
  <si>
    <t>SCHEDULE 1</t>
  </si>
  <si>
    <t>Report Month</t>
  </si>
  <si>
    <t>Activity Month</t>
  </si>
  <si>
    <t>STATE OF NEVADA</t>
  </si>
  <si>
    <t>MOTOR VEHICLE FUEL TAX COLLECTION AND DISTRIBUTION STATISTICAL</t>
  </si>
  <si>
    <t>GALLONS</t>
  </si>
  <si>
    <t>TAXABLE</t>
  </si>
  <si>
    <t>STATE TAX</t>
  </si>
  <si>
    <t>COUNTY</t>
  </si>
  <si>
    <t>GASOLINE</t>
  </si>
  <si>
    <t>OPTION</t>
  </si>
  <si>
    <t>COMBINED</t>
  </si>
  <si>
    <t>TOTAL</t>
  </si>
  <si>
    <t>DEALER</t>
  </si>
  <si>
    <t>GASOHOL</t>
  </si>
  <si>
    <t xml:space="preserve"> 12.65¢</t>
  </si>
  <si>
    <t>5¢</t>
  </si>
  <si>
    <t xml:space="preserve"> 5.35¢</t>
  </si>
  <si>
    <t>1 - 9¢</t>
  </si>
  <si>
    <t>1¢</t>
  </si>
  <si>
    <t>TAX TOTAL</t>
  </si>
  <si>
    <t>CARSON CITY</t>
  </si>
  <si>
    <t>CHURCHILL</t>
  </si>
  <si>
    <t>CLARK</t>
  </si>
  <si>
    <t>DOUGLAS</t>
  </si>
  <si>
    <t>ELKO</t>
  </si>
  <si>
    <t>ESMERALDA</t>
  </si>
  <si>
    <t>EUREKA</t>
  </si>
  <si>
    <t>HUMBOLDT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</si>
  <si>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</si>
  <si>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</si>
  <si>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</si>
  <si>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</si>
  <si>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</si>
  <si>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</si>
  <si>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</si>
  <si>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</si>
  <si>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</si>
  <si>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Affordable Fuel &amp; Oil Co</t>
  </si>
  <si>
    <t>Al Park Petroleum Inc</t>
  </si>
  <si>
    <t>America West Airlines Inc</t>
  </si>
  <si>
    <t>Bel-Court Service</t>
  </si>
  <si>
    <t>Carson Valley Oil Co., Inc.</t>
  </si>
  <si>
    <t>Chevron USA Inc</t>
  </si>
  <si>
    <t>Chris's Service Inc</t>
  </si>
  <si>
    <t>Circle K Stores Inc</t>
  </si>
  <si>
    <t>Conrad &amp; Bischoff Inc</t>
  </si>
  <si>
    <t>Hardy Enterprises</t>
  </si>
  <si>
    <t>Haycock Distributing Co</t>
  </si>
  <si>
    <t>Herbst Oil Co</t>
  </si>
  <si>
    <t>Hughes Oil</t>
  </si>
  <si>
    <t>Jackson Oil Inc</t>
  </si>
  <si>
    <t>Jenkin's Oil Company Inc</t>
  </si>
  <si>
    <t>Nat'l Oil &amp; Burner Co</t>
  </si>
  <si>
    <t>New West Petroleum</t>
  </si>
  <si>
    <t>Norcross Service Stations</t>
  </si>
  <si>
    <t>Petroleum Distributors Inc</t>
  </si>
  <si>
    <t>Phoenix Fuel Company Inc</t>
  </si>
  <si>
    <t>Rebel Oil Co Inc</t>
  </si>
  <si>
    <t>Reed Distributing Inc</t>
  </si>
  <si>
    <t>River City Petroleum Inc</t>
  </si>
  <si>
    <t>Sage Petroleum Products</t>
  </si>
  <si>
    <t>Sevier Valley Oil Co Inc</t>
  </si>
  <si>
    <t>Shell Products Inc</t>
  </si>
  <si>
    <t>Signature Flight Support</t>
  </si>
  <si>
    <t>Smitten Oil &amp; Tire Co Inc</t>
  </si>
  <si>
    <t>Sperry Oil Company</t>
  </si>
  <si>
    <t>Texmo Oil Co Jobbers Inc</t>
  </si>
  <si>
    <t>Time Oil Co</t>
  </si>
  <si>
    <t>Tom's Sierra Co Inc</t>
  </si>
  <si>
    <t>Washoe Fuel Inc</t>
  </si>
  <si>
    <t>Western Central Petroleum</t>
  </si>
  <si>
    <t>Column Total</t>
  </si>
  <si>
    <t xml:space="preserve">TOTAL </t>
  </si>
  <si>
    <t>Plus Gasohol</t>
  </si>
  <si>
    <t xml:space="preserve">Option </t>
  </si>
  <si>
    <t xml:space="preserve">1 Cent </t>
  </si>
  <si>
    <t>Avgas -- S6A</t>
  </si>
  <si>
    <t>Figure -- tape</t>
  </si>
  <si>
    <t>S1 Over/(Under)</t>
  </si>
  <si>
    <t>/FS~R</t>
  </si>
  <si>
    <t>DEALERS REPORTING NO TAXABLE GALLONAGE</t>
  </si>
  <si>
    <t xml:space="preserve"> </t>
  </si>
  <si>
    <t>Supreme Oil Company</t>
  </si>
  <si>
    <t>United Oil</t>
  </si>
  <si>
    <t>SCHEDULE 2</t>
  </si>
  <si>
    <t xml:space="preserve">    </t>
  </si>
  <si>
    <t>MOTOR VEHICLE FUEL TAX COLLECTION AND DISTRIBUTION</t>
  </si>
  <si>
    <t>1 - 9  CENT  COUNTY  OPTION  TAX  (NRS 373)</t>
  </si>
  <si>
    <t>9¢</t>
  </si>
  <si>
    <t>4¢</t>
  </si>
  <si>
    <t>Brico of Idaho, Inc.</t>
  </si>
  <si>
    <t>Chris's Service, Inc.</t>
  </si>
  <si>
    <t>Circle K Stores, Inc.</t>
  </si>
  <si>
    <t>Flying J, Inc.</t>
  </si>
  <si>
    <t>Herbst Oil Co.</t>
  </si>
  <si>
    <t>Phoenix Fuel Co., Inc.</t>
  </si>
  <si>
    <t>Reed Distributing, Inc.</t>
  </si>
  <si>
    <t>SCHEDULE 2A</t>
  </si>
  <si>
    <t>1 CENT COUNTY TAX (NRS 365.192)</t>
  </si>
  <si>
    <t xml:space="preserve">1¢   </t>
  </si>
  <si>
    <t>Al Park Petroleum</t>
  </si>
  <si>
    <t>Rebel Oil Co., Inc.</t>
  </si>
  <si>
    <t>River City Petroleum</t>
  </si>
  <si>
    <t>Sevier Valley Oil Co, Inc</t>
  </si>
  <si>
    <t>check figure</t>
  </si>
  <si>
    <t>SCHEDULE 3</t>
  </si>
  <si>
    <t>5.35 county gross tax</t>
  </si>
  <si>
    <t>Page 1</t>
  </si>
  <si>
    <t>Less wildlife</t>
  </si>
  <si>
    <t>Page 4</t>
  </si>
  <si>
    <t>1.75 CENT STATE TAX (COUNTY ALLOCATION)</t>
  </si>
  <si>
    <t>Less Admin Fees</t>
  </si>
  <si>
    <t>RECAP -- TOTAL TAX TO COUNTIES</t>
  </si>
  <si>
    <t>Total</t>
  </si>
  <si>
    <t xml:space="preserve">PERCENT </t>
  </si>
  <si>
    <t xml:space="preserve">1.75 CENTS LESS </t>
  </si>
  <si>
    <t xml:space="preserve">LESS </t>
  </si>
  <si>
    <t>1.75=32.7103%</t>
  </si>
  <si>
    <t>COUNTY OPTION</t>
  </si>
  <si>
    <t xml:space="preserve">COUNTY </t>
  </si>
  <si>
    <t xml:space="preserve">NET TO </t>
  </si>
  <si>
    <t xml:space="preserve">GALLONS </t>
  </si>
  <si>
    <t xml:space="preserve">OF TOTAL </t>
  </si>
  <si>
    <t xml:space="preserve">ADMINISTRATION </t>
  </si>
  <si>
    <t xml:space="preserve">REFUNDS </t>
  </si>
  <si>
    <t xml:space="preserve">1.75 TAX </t>
  </si>
  <si>
    <t>1.25=23.3645%</t>
  </si>
  <si>
    <t>1.75 TAX</t>
  </si>
  <si>
    <t>1.25 TAX</t>
  </si>
  <si>
    <t>2.35 TAX</t>
  </si>
  <si>
    <t xml:space="preserve">5.35 TAX </t>
  </si>
  <si>
    <t>1 - 9  CENTS</t>
  </si>
  <si>
    <t xml:space="preserve">1 CENT </t>
  </si>
  <si>
    <t xml:space="preserve">COUNTIES </t>
  </si>
  <si>
    <t>2.35=43.9252%</t>
  </si>
  <si>
    <t>Carson City</t>
  </si>
  <si>
    <t>Churchill</t>
  </si>
  <si>
    <t>Clark</t>
  </si>
  <si>
    <t>Douglas</t>
  </si>
  <si>
    <t>Elko</t>
  </si>
  <si>
    <t>Esmeralda</t>
  </si>
  <si>
    <t>Eureka</t>
  </si>
  <si>
    <t>Humboldt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</si>
  <si>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</si>
  <si>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</si>
  <si>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</si>
  <si>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</si>
  <si>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</si>
  <si>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</si>
  <si>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</si>
  <si>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</si>
  <si>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</si>
  <si>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LESS</t>
  </si>
  <si>
    <t xml:space="preserve">1.25 CENTS LESS </t>
  </si>
  <si>
    <t>DISTRIBUTION</t>
  </si>
  <si>
    <t>ADMINISTRATION</t>
  </si>
  <si>
    <t xml:space="preserve">1.25 TAX </t>
  </si>
  <si>
    <t>Page 3</t>
  </si>
  <si>
    <t xml:space="preserve">2.35 CENTS LESS </t>
  </si>
  <si>
    <t xml:space="preserve">2.35 TAX </t>
  </si>
  <si>
    <t>SCHEDULE 4</t>
  </si>
  <si>
    <t>TOTAL TAX RECEIPTS RECAP - GROSS TO NET</t>
  </si>
  <si>
    <t xml:space="preserve">LESS WILDLIFE </t>
  </si>
  <si>
    <t xml:space="preserve">LESS CIVIL </t>
  </si>
  <si>
    <t xml:space="preserve">GROSS TAX </t>
  </si>
  <si>
    <t xml:space="preserve"> AND PARKS </t>
  </si>
  <si>
    <t xml:space="preserve"> REFUNDS </t>
  </si>
  <si>
    <t xml:space="preserve">AIR PATROL </t>
  </si>
  <si>
    <t xml:space="preserve">ADMIN FEES </t>
  </si>
  <si>
    <t xml:space="preserve">NET TAX </t>
  </si>
  <si>
    <t>12.65¢ Gasoline-Highway</t>
  </si>
  <si>
    <t>5¢ Gasoline-Highway</t>
  </si>
  <si>
    <t>5.35¢ County</t>
  </si>
  <si>
    <t>1¢ Jet Fuel</t>
  </si>
  <si>
    <t>2¢ Jet Fuel Clark Co</t>
  </si>
  <si>
    <t>Carson City 9¢</t>
  </si>
  <si>
    <t>Carson City 1¢</t>
  </si>
  <si>
    <t>Churchill 1¢</t>
  </si>
  <si>
    <t>Clark 9¢</t>
  </si>
  <si>
    <t>Clark 1¢</t>
  </si>
  <si>
    <t>Douglas 4¢</t>
  </si>
  <si>
    <t>Douglas 1¢</t>
  </si>
  <si>
    <t>Elko 4¢</t>
  </si>
  <si>
    <t>Elko 1¢</t>
  </si>
  <si>
    <t>Esmeralda 4¢</t>
  </si>
  <si>
    <t>Esmeralda 1¢</t>
  </si>
  <si>
    <t>Eureka 4¢</t>
  </si>
  <si>
    <t>Eureka 1¢</t>
  </si>
  <si>
    <t>Humboldt 1¢</t>
  </si>
  <si>
    <t>Lander 1¢</t>
  </si>
  <si>
    <t>Lincoln 4¢</t>
  </si>
  <si>
    <t>Lincoln 1¢</t>
  </si>
  <si>
    <t>Lyon 9¢</t>
  </si>
  <si>
    <t>Lyon 1¢</t>
  </si>
  <si>
    <t>Mineral 9¢</t>
  </si>
  <si>
    <t>Mineral 1¢</t>
  </si>
  <si>
    <t>Nye 4¢</t>
  </si>
  <si>
    <t>Nye 1¢</t>
  </si>
  <si>
    <t>Pershing 9¢</t>
  </si>
  <si>
    <t>Pershing 1¢</t>
  </si>
  <si>
    <t>Storey 4¢</t>
  </si>
  <si>
    <t>Storey 1¢</t>
  </si>
  <si>
    <t>Washoe 9¢</t>
  </si>
  <si>
    <t>Washoe 1¢</t>
  </si>
  <si>
    <t>White Pine 1¢</t>
  </si>
  <si>
    <t>Cleanup Fee</t>
  </si>
  <si>
    <t>Inspection Fee</t>
  </si>
  <si>
    <t>SCHEDULE 5</t>
  </si>
  <si>
    <t>JET FUEL</t>
  </si>
  <si>
    <t>(NRS 365.170)</t>
  </si>
  <si>
    <t xml:space="preserve">CLARK </t>
  </si>
  <si>
    <t xml:space="preserve">JET TAX </t>
  </si>
  <si>
    <t xml:space="preserve">GALLONAGE </t>
  </si>
  <si>
    <t xml:space="preserve">2 CENTS </t>
  </si>
  <si>
    <t>Air Petro Corp.</t>
  </si>
  <si>
    <t>America West Airlines, Inc.</t>
  </si>
  <si>
    <t>Avfuel Corporation</t>
  </si>
  <si>
    <t>Chevron, U.S.A.</t>
  </si>
  <si>
    <t>Continental Airlines</t>
  </si>
  <si>
    <t>Delta Airlines</t>
  </si>
  <si>
    <t>Northwest Airlines</t>
  </si>
  <si>
    <t>Page Avjet Fuel Corp.</t>
  </si>
  <si>
    <t>Western Petroleum Co.</t>
  </si>
  <si>
    <t>World Fuel Services</t>
  </si>
  <si>
    <t>Total 1 cent and 2 cent</t>
  </si>
  <si>
    <t>Total from tape</t>
  </si>
  <si>
    <t>Tape is over/(under)</t>
  </si>
  <si>
    <t>SCHEDULE 5A</t>
  </si>
  <si>
    <t>JET FUEL DISTRIBUTION</t>
  </si>
  <si>
    <t>CARSON</t>
  </si>
  <si>
    <t>WHITE</t>
  </si>
  <si>
    <t>PRIOR MONTHS</t>
  </si>
  <si>
    <t>CITY</t>
  </si>
  <si>
    <t>PINE</t>
  </si>
  <si>
    <t>DISTRIBUTE</t>
  </si>
  <si>
    <t>G R A N D</t>
  </si>
  <si>
    <t xml:space="preserve">  1¢</t>
  </si>
  <si>
    <t>2¢</t>
  </si>
  <si>
    <t xml:space="preserve">2¢   </t>
  </si>
  <si>
    <t>GENERAL FUND</t>
  </si>
  <si>
    <t>T O T A L</t>
  </si>
  <si>
    <t>Boulder City AP</t>
  </si>
  <si>
    <t>Carson City AP</t>
  </si>
  <si>
    <t>Elko City AP</t>
  </si>
  <si>
    <t>Las Vegas Metro</t>
  </si>
  <si>
    <t>McCarran Intl AP</t>
  </si>
  <si>
    <t>North Las Vegas AP</t>
  </si>
  <si>
    <t>Reno-Stead AP</t>
  </si>
  <si>
    <t>Reno Tahoe Intl AP</t>
  </si>
  <si>
    <t>TOTALS</t>
  </si>
  <si>
    <t>SCHEDULE  6</t>
  </si>
  <si>
    <t>AVIATION  FUEL  GALLONS</t>
  </si>
  <si>
    <t>AVIATION  FUEL  DISTRIBUTION</t>
  </si>
  <si>
    <t>Check</t>
  </si>
  <si>
    <t xml:space="preserve">FISCAL YEAR </t>
  </si>
  <si>
    <t>Figure</t>
  </si>
  <si>
    <t>AIR</t>
  </si>
  <si>
    <t xml:space="preserve">GROSS </t>
  </si>
  <si>
    <t xml:space="preserve">PERCENTAGE </t>
  </si>
  <si>
    <t>AV GAS</t>
  </si>
  <si>
    <t>PETRO</t>
  </si>
  <si>
    <t>AVFUEL</t>
  </si>
  <si>
    <t>CHEVRON</t>
  </si>
  <si>
    <t>MERCURY</t>
  </si>
  <si>
    <t>C.A.P.</t>
  </si>
  <si>
    <t xml:space="preserve">TO DISTRIBUTE </t>
  </si>
  <si>
    <t xml:space="preserve">AMOUNT </t>
  </si>
  <si>
    <t>TAX FOR</t>
  </si>
  <si>
    <t xml:space="preserve">QUARTER </t>
  </si>
  <si>
    <t>CORP</t>
  </si>
  <si>
    <t>USA</t>
  </si>
  <si>
    <t>AVIATION</t>
  </si>
  <si>
    <t>PETROLEUM</t>
  </si>
  <si>
    <t xml:space="preserve">STATE TAX </t>
  </si>
  <si>
    <t xml:space="preserve">DEDUCTED </t>
  </si>
  <si>
    <t xml:space="preserve">DISTRIBUTION </t>
  </si>
  <si>
    <t>Payment Rec'd</t>
  </si>
  <si>
    <t>SCHEDULE 7</t>
  </si>
  <si>
    <t>PETROLEUM PRODUCTS DISCHARGE CLEANUP FEE</t>
  </si>
  <si>
    <t>PETROLEUM  PRODUCTS  INSPECTION  FEE</t>
  </si>
  <si>
    <t>CLEANUP</t>
  </si>
  <si>
    <t>INSPECTION</t>
  </si>
  <si>
    <t>GASOLINE GALLONS</t>
  </si>
  <si>
    <t>GASOHOL GALLONS</t>
  </si>
  <si>
    <t>AV-GAS GALLONS</t>
  </si>
  <si>
    <t>LUBE OIL</t>
  </si>
  <si>
    <t>DIESEL GALLONS</t>
  </si>
  <si>
    <t>HEATING OIL</t>
  </si>
  <si>
    <t>BLENDED GALLONS</t>
  </si>
  <si>
    <t>JET*</t>
  </si>
  <si>
    <t>NET</t>
  </si>
  <si>
    <t>FEE</t>
  </si>
  <si>
    <t>Excluding</t>
  </si>
  <si>
    <t xml:space="preserve"> .0075¢</t>
  </si>
  <si>
    <t>.00055¢</t>
  </si>
  <si>
    <t>IMPORTED</t>
  </si>
  <si>
    <t>EXPORTED</t>
  </si>
  <si>
    <t>Lube Oil</t>
  </si>
  <si>
    <t>Arizona Fuel Distributors L.L.C.</t>
  </si>
  <si>
    <t>Avfuel Corp.</t>
  </si>
  <si>
    <t>Canyon State Oil Co.</t>
  </si>
  <si>
    <t>Chevron U.S., Inc.</t>
  </si>
  <si>
    <t>Conrad &amp; Bischoff, Inc.</t>
  </si>
  <si>
    <t>Inter-State Oil Co.</t>
  </si>
  <si>
    <t>Jaco Oil Company</t>
  </si>
  <si>
    <t>Jenkins Oil Co., Inc.</t>
  </si>
  <si>
    <t>National Oil and Burner Co.</t>
  </si>
  <si>
    <t>Sinclair Oil Corp.</t>
  </si>
  <si>
    <t>Sperry Oil Co.</t>
  </si>
  <si>
    <t>Texmo Oil Co.</t>
  </si>
  <si>
    <t>Tower Energy Group, Inc.</t>
  </si>
  <si>
    <t>V P Racing Fuels, Inc.</t>
  </si>
  <si>
    <t>Washoe Fuel, Inc.</t>
  </si>
  <si>
    <t>*  Special Cleanup Fee Accounts</t>
  </si>
  <si>
    <t>Figure from tape</t>
  </si>
  <si>
    <t>Difference</t>
  </si>
  <si>
    <t>STATE  OF  NEVADA</t>
  </si>
  <si>
    <t>12.65      GASOLINE / GASOHOL</t>
  </si>
  <si>
    <t xml:space="preserve"> 5.00       GASOLINE / GASOHOL</t>
  </si>
  <si>
    <t xml:space="preserve"> 5.35       GASOLINE / GASOHOL</t>
  </si>
  <si>
    <t xml:space="preserve">       </t>
  </si>
  <si>
    <t>1 - 9 CENTS COUNTY OPTION:</t>
  </si>
  <si>
    <t xml:space="preserve">               GASOLINE / GASOHOL</t>
  </si>
  <si>
    <t>1 CENT COUNTY:</t>
  </si>
  <si>
    <t>AVIATION  FUEL TAX</t>
  </si>
  <si>
    <t>JET  FUEL TAX</t>
  </si>
  <si>
    <t>CLEANUP  FEE</t>
  </si>
  <si>
    <t>INSPECTION  FEE</t>
  </si>
  <si>
    <t>TOTAL MONEY DEPOSITED TO STATE TREASURER:</t>
  </si>
  <si>
    <t>TOTAL  COUNTIES</t>
  </si>
  <si>
    <t>TOTAL  AIRPORTS</t>
  </si>
  <si>
    <t>TOTAL TO HIGHWAY:</t>
  </si>
  <si>
    <t xml:space="preserve">              GASOLINE / GASOHOL -- 12.65</t>
  </si>
  <si>
    <t xml:space="preserve">              GASOLINE / GASOHOL --   5.00</t>
  </si>
  <si>
    <t>JET  FUEL:</t>
  </si>
  <si>
    <t xml:space="preserve">             1 CENT</t>
  </si>
  <si>
    <t xml:space="preserve">             2 CENT -- CLARK</t>
  </si>
  <si>
    <t>TOTAL  ADMIN  FEES:</t>
  </si>
  <si>
    <t>CIVIL  AIR  PATROL</t>
  </si>
  <si>
    <t>TOTAL  REFUNDS</t>
  </si>
  <si>
    <t>WILDLIFE &amp; PARKS</t>
  </si>
  <si>
    <t xml:space="preserve">                               TOTAL  TO  BE  DISTRIBUTED:  </t>
  </si>
  <si>
    <t>2¢ Aviation Fuel</t>
  </si>
  <si>
    <t>1 - 8¢ Aviation Fuel Option</t>
  </si>
  <si>
    <t xml:space="preserve">2 CENTS BALANCE </t>
  </si>
  <si>
    <t>2 CENTS</t>
  </si>
  <si>
    <t xml:space="preserve">AV GAS </t>
  </si>
  <si>
    <t xml:space="preserve">TAX FOR </t>
  </si>
  <si>
    <t>AVIATION  FUEL TAX - COUNTY OPTION</t>
  </si>
  <si>
    <t>Alsaker Corporation</t>
  </si>
  <si>
    <t>Berry Hinckley Industries</t>
  </si>
  <si>
    <t>Foreland Refining Corp</t>
  </si>
  <si>
    <t>Brad Hall &amp; Associates</t>
  </si>
  <si>
    <t>Inter State Oil Company</t>
  </si>
  <si>
    <t>Pro Petroleum</t>
  </si>
  <si>
    <t>T A Operating Corp</t>
  </si>
  <si>
    <t>Eagle Aviation</t>
  </si>
  <si>
    <t>Herbst Oil Company</t>
  </si>
  <si>
    <t>Southwest Airlines Company</t>
  </si>
  <si>
    <t>SCHEDULE  6A</t>
  </si>
  <si>
    <t>Foreland Refining Corporation</t>
  </si>
  <si>
    <t>Holt Oil Products Company</t>
  </si>
  <si>
    <t>Pro Petroleum Inc.</t>
  </si>
  <si>
    <t>T A Operating Corporation</t>
  </si>
  <si>
    <t>Churchill 9¢</t>
  </si>
  <si>
    <t>Humboldt 9¢</t>
  </si>
  <si>
    <t>Win Oil Company Inc</t>
  </si>
  <si>
    <t>Berry Properties Inc</t>
  </si>
  <si>
    <t>Tesoro Northwest Company</t>
  </si>
  <si>
    <t>Jackson Oil Inc.</t>
  </si>
  <si>
    <t>SIGNATURE</t>
  </si>
  <si>
    <t>FLGT SPT</t>
  </si>
  <si>
    <t>COUNTIES</t>
  </si>
  <si>
    <t>CITIES</t>
  </si>
  <si>
    <t>TOWNS</t>
  </si>
  <si>
    <t>AMOUNT TO BE DISTR</t>
  </si>
  <si>
    <t>PERCENTAGES</t>
  </si>
  <si>
    <t>Fallon</t>
  </si>
  <si>
    <t>Boulder City</t>
  </si>
  <si>
    <t>Henderson</t>
  </si>
  <si>
    <t>Las Vegas</t>
  </si>
  <si>
    <t>Mesquite</t>
  </si>
  <si>
    <t>North Las Vegas</t>
  </si>
  <si>
    <t>Carlin</t>
  </si>
  <si>
    <t>Wells</t>
  </si>
  <si>
    <t>West Wendover</t>
  </si>
  <si>
    <t>Winnemucca</t>
  </si>
  <si>
    <t>Kingston</t>
  </si>
  <si>
    <t>Caliente</t>
  </si>
  <si>
    <t>Yerington</t>
  </si>
  <si>
    <t>Fernley</t>
  </si>
  <si>
    <t>Pahrump</t>
  </si>
  <si>
    <t>Round Mountain</t>
  </si>
  <si>
    <t>Tonopah</t>
  </si>
  <si>
    <t>Lovelock</t>
  </si>
  <si>
    <t>Reno</t>
  </si>
  <si>
    <t>Sparks</t>
  </si>
  <si>
    <t>Ely</t>
  </si>
  <si>
    <t>Calculations for 1.25 Distribution</t>
  </si>
  <si>
    <t>-Total REFUNDS</t>
  </si>
  <si>
    <t>Counties</t>
  </si>
  <si>
    <t>Refunds</t>
  </si>
  <si>
    <t>Totals</t>
  </si>
  <si>
    <t xml:space="preserve">MINERAL </t>
  </si>
  <si>
    <t>Use NDOT distribution formula</t>
  </si>
  <si>
    <t>Population</t>
  </si>
  <si>
    <t>% Population</t>
  </si>
  <si>
    <t>Road Miles</t>
  </si>
  <si>
    <t>% Road Miles</t>
  </si>
  <si>
    <t>Minus refunds</t>
  </si>
  <si>
    <t>Balance</t>
  </si>
  <si>
    <t>% recalculated as 100% of all overages</t>
  </si>
  <si>
    <t>Calculations for 2.35 Distribution</t>
  </si>
  <si>
    <t>Money to Distribute (without refunds)</t>
  </si>
  <si>
    <t>Money to distribute (without refunds)</t>
  </si>
  <si>
    <t>% recalc as 100% of all overages</t>
  </si>
  <si>
    <t>% OF TOTAL</t>
  </si>
  <si>
    <t>1.75 CENTS LESS ADMIN</t>
  </si>
  <si>
    <t>REFUNDS</t>
  </si>
  <si>
    <t>TOTAL 1.75 TAX</t>
  </si>
  <si>
    <t>SUBTOTAL</t>
  </si>
  <si>
    <t>SUMMARY OF 2.35 CENT STATE TAX (COUNTY ALLOCATION)</t>
  </si>
  <si>
    <t>DETAIL OF 2.35 CENT STATE TAX (COUNTY ALLOCATION)</t>
  </si>
  <si>
    <t>LESS REFUNDS</t>
  </si>
  <si>
    <t>2.35 CENTS LESS ADMIN FEES</t>
  </si>
  <si>
    <t>1.75 CENT STATE TAX ALLOCATION</t>
  </si>
  <si>
    <t>SCHEDULE 3C</t>
  </si>
  <si>
    <t>SCHEDULE 3A</t>
  </si>
  <si>
    <t>SCHEDULE 3B</t>
  </si>
  <si>
    <t>SCHEDULE 3D</t>
  </si>
  <si>
    <t>County Total</t>
  </si>
  <si>
    <t>Benchmark Resources</t>
  </si>
  <si>
    <t>Crawford Oil, Inc</t>
  </si>
  <si>
    <t>Exxon/Mobil Oil Corp</t>
  </si>
  <si>
    <t>Gem Stop</t>
  </si>
  <si>
    <t xml:space="preserve">Mansfield Oil Co </t>
  </si>
  <si>
    <t>Petro Stopping Center No.15</t>
  </si>
  <si>
    <t>Pilot Travel Centers LLC</t>
  </si>
  <si>
    <t>Pinnacle Petroleum</t>
  </si>
  <si>
    <t>Quik Stop Markets</t>
  </si>
  <si>
    <t>Smith's Fuel Centers</t>
  </si>
  <si>
    <t>Transmontaigne Product Srvc</t>
  </si>
  <si>
    <t>Truman Arnold Companies</t>
  </si>
  <si>
    <t>DEPARTMENT OF MOTOR VEHICLE - CARSON CITY, NEVADA</t>
  </si>
  <si>
    <t>DEPARTMENT OF MOTOR VEHICLE</t>
  </si>
  <si>
    <t>Berry Co</t>
  </si>
  <si>
    <t>Berry-Hinckley Ind</t>
  </si>
  <si>
    <t xml:space="preserve">BP Products </t>
  </si>
  <si>
    <t>CFJ Properties</t>
  </si>
  <si>
    <t>Cool Fuel</t>
  </si>
  <si>
    <t>Dats Trucking</t>
  </si>
  <si>
    <t>BP Products</t>
  </si>
  <si>
    <t>Brad Hall and Associates</t>
  </si>
  <si>
    <t xml:space="preserve">Dats Trucking </t>
  </si>
  <si>
    <t>BP Products Inc</t>
  </si>
  <si>
    <t>Crest Distributing</t>
  </si>
  <si>
    <t>Ed Staub and Sons</t>
  </si>
  <si>
    <t>MF Barcellos Inc</t>
  </si>
  <si>
    <t>Pennzoil-Quaker State</t>
  </si>
  <si>
    <t>Reno Fuel</t>
  </si>
  <si>
    <t>Ron Menesini Petroleum</t>
  </si>
  <si>
    <t>Ron Menesini</t>
  </si>
  <si>
    <t>Mercury Air Group</t>
  </si>
  <si>
    <t>PHILLIPS</t>
  </si>
  <si>
    <t xml:space="preserve">Ed Staub and Sons Petro </t>
  </si>
  <si>
    <t>ExxonMobil Oil Corp.</t>
  </si>
  <si>
    <t>No Return filed</t>
  </si>
  <si>
    <t>Bennett's &amp; Sons</t>
  </si>
  <si>
    <t>Bradco</t>
  </si>
  <si>
    <t>Cargill Inc</t>
  </si>
  <si>
    <t>Carver's Distributing</t>
  </si>
  <si>
    <t>Mobil Diesel Supply</t>
  </si>
  <si>
    <t>Morgan Stanley</t>
  </si>
  <si>
    <t>Ken Bettridge</t>
  </si>
  <si>
    <t>Southern Counties Oil</t>
  </si>
  <si>
    <t>Tesoro Northwest</t>
  </si>
  <si>
    <t>Ray Bell Oil Company</t>
  </si>
  <si>
    <t>Regent Marketing Company</t>
  </si>
  <si>
    <t>Sierra Tobacco</t>
  </si>
  <si>
    <t>Southwest Jet Fuel Co</t>
  </si>
  <si>
    <t>Tauber Oil Co</t>
  </si>
  <si>
    <t>Union Distributing Co</t>
  </si>
  <si>
    <t>United Aviation Fuels</t>
  </si>
  <si>
    <t>United Liquid Gas Co</t>
  </si>
  <si>
    <t>Woody's Enterprises</t>
  </si>
  <si>
    <t>Paul Oil Co</t>
  </si>
  <si>
    <t>Arizona Fuel</t>
  </si>
  <si>
    <t>Brico of Idaho</t>
  </si>
  <si>
    <t xml:space="preserve">United Airlines </t>
  </si>
  <si>
    <t>United Airlines</t>
  </si>
  <si>
    <t>Win Oil Co</t>
  </si>
  <si>
    <t>Total 9¢ and 1¢</t>
  </si>
  <si>
    <t>OOR</t>
  </si>
  <si>
    <t>*State/County gallons discrepancies as a result of reporting error by Petroleum Distributors.</t>
  </si>
  <si>
    <t>Fastrip Oil Company</t>
  </si>
  <si>
    <t>THIRD</t>
  </si>
  <si>
    <t>Fearless Farris Wholesale</t>
  </si>
  <si>
    <t>EXXON</t>
  </si>
  <si>
    <t>MOBIL OIL</t>
  </si>
  <si>
    <t>*</t>
  </si>
  <si>
    <t>Schwartz Oil Co</t>
  </si>
  <si>
    <t>United El Segundo</t>
  </si>
  <si>
    <t>* Denotes non-taxable activity</t>
  </si>
  <si>
    <t>Adjusting Eneries</t>
  </si>
  <si>
    <t xml:space="preserve">For the Month of </t>
  </si>
  <si>
    <t>MOTOR FUELS - CARSON CITY CO</t>
  </si>
  <si>
    <t>MOTOR FUELS - CHURCHILL CO</t>
  </si>
  <si>
    <t>MOTOR FUELS - CLARK CO</t>
  </si>
  <si>
    <t>MOTOR FUELS - DOUGLAS CO</t>
  </si>
  <si>
    <t>MOTOR FUELS - ELKO CO</t>
  </si>
  <si>
    <t>MOTOR FUELS - ESMERALDA CO</t>
  </si>
  <si>
    <t>MOTOR FUELS - EUREKA CO</t>
  </si>
  <si>
    <t>MOTOR FUELS - HUMBOLDT CO</t>
  </si>
  <si>
    <t>MOTOR FUELS - LANDER CO</t>
  </si>
  <si>
    <t>MOTOR FUELS - LINCOLN CO</t>
  </si>
  <si>
    <t>MOTOR FUELS - LYON CO</t>
  </si>
  <si>
    <t>MOTOR FUELS - MINERAL CO</t>
  </si>
  <si>
    <t>MOTOR FUELS - NYE CO</t>
  </si>
  <si>
    <t>MOTOR FUELS - PERSHING CO</t>
  </si>
  <si>
    <t>MOTOR FUELS - STOREY CO</t>
  </si>
  <si>
    <t>MOTOR FUELS - WASHOE CO</t>
  </si>
  <si>
    <t>MOTOR FUELS - WHITE PINE CO</t>
  </si>
  <si>
    <t>GAS TAX OPTION ADMINISTRATION</t>
  </si>
  <si>
    <t xml:space="preserve">    MONTH OF</t>
  </si>
  <si>
    <t>DEPARTMENT OF WILDLIFE</t>
  </si>
  <si>
    <t>MARINA/PARKS DEVELOP. GAS TAX</t>
  </si>
  <si>
    <t>TO RECORD DISTRIBUTION TO MARINA AND WILDLIFE FOR THE</t>
  </si>
  <si>
    <t>MOTOR FUELS-FALLON</t>
  </si>
  <si>
    <t>MOTOR FUELS-BOULDER CITY</t>
  </si>
  <si>
    <t>MOTOR FUELS-HENDERSON</t>
  </si>
  <si>
    <t>MOTOR FUELS-LAS VEGAS</t>
  </si>
  <si>
    <t>MOTOR FUELS-MESQUITE</t>
  </si>
  <si>
    <t>MOTOR FUELS-NORTH LAS VEGAS</t>
  </si>
  <si>
    <t>MOTOR FUELS-CARLIN</t>
  </si>
  <si>
    <t>MOTOR FUELS-CITY OF ELKO</t>
  </si>
  <si>
    <t>MOTOR FUELS-WELLS</t>
  </si>
  <si>
    <t>MOTOR FUELS-WEST WENDOVER</t>
  </si>
  <si>
    <t>MOTOR FUELS-WINNEMUCCA</t>
  </si>
  <si>
    <t>MOTOR FUELS-KINGSTON</t>
  </si>
  <si>
    <t>MOTOR FUELS-CALIENTE</t>
  </si>
  <si>
    <t>MOTOR FUELS-YERINGTON</t>
  </si>
  <si>
    <t>MOTOR FUELS-FERNLEY</t>
  </si>
  <si>
    <t>MOTOR FUELS-PAHRUMP</t>
  </si>
  <si>
    <t>MOTOR FUELS-TONOPAH</t>
  </si>
  <si>
    <t>MOTOR FUELS-LOVELOCK</t>
  </si>
  <si>
    <t>MOTOR FUELS-CITY OF RENO</t>
  </si>
  <si>
    <t>MOTOR FUELS-SPARKS</t>
  </si>
  <si>
    <t>MOTOR FUELS-ELY</t>
  </si>
  <si>
    <t>12.65 CENT GASOLINE-HIGHWAY</t>
  </si>
  <si>
    <t>5 CENT GASOLINE-HIGHWAY</t>
  </si>
  <si>
    <t>5.35 CENT COUNTY</t>
  </si>
  <si>
    <t>5.35 CENT</t>
  </si>
  <si>
    <t>REFUND</t>
  </si>
  <si>
    <t>ADJUST</t>
  </si>
  <si>
    <t>ADMIN</t>
  </si>
  <si>
    <t>Wildlife</t>
  </si>
  <si>
    <t>&amp; Marina</t>
  </si>
  <si>
    <t>JULY 2002</t>
  </si>
  <si>
    <t>Douglas County AP</t>
  </si>
  <si>
    <t>Churchill Cnty Other</t>
  </si>
  <si>
    <t>Winnemucca AP</t>
  </si>
  <si>
    <t>Battle Mountain AP</t>
  </si>
  <si>
    <t>Tonopah AP</t>
  </si>
  <si>
    <t>Washoe Cnty Other</t>
  </si>
  <si>
    <t>Total Deposit</t>
  </si>
  <si>
    <t>Holding Acct</t>
  </si>
  <si>
    <t>Special Fuel</t>
  </si>
  <si>
    <t>OOR Total</t>
  </si>
  <si>
    <t>Sinclair Oil Corp</t>
  </si>
  <si>
    <t>Tower Energy</t>
  </si>
  <si>
    <t>Valero Marketing</t>
  </si>
  <si>
    <t>Elko Cnty Other</t>
  </si>
  <si>
    <t xml:space="preserve">WESTERN </t>
  </si>
  <si>
    <t>Lyon Cnty Other</t>
  </si>
  <si>
    <t>Clark Cnty Other</t>
  </si>
  <si>
    <t>RON</t>
  </si>
  <si>
    <t>MENESINI</t>
  </si>
  <si>
    <t>REFUNDS - MOTOR FUEL</t>
  </si>
  <si>
    <t>MOTOR FUELS-ROUND MOUNTAIN</t>
  </si>
  <si>
    <t>CK FIGURE</t>
  </si>
  <si>
    <t>Musket Corporation</t>
  </si>
  <si>
    <t>Shell Trading</t>
  </si>
  <si>
    <t>Chevron Phillips Chemical Co. LP</t>
  </si>
  <si>
    <t>Falcon Fuels, Inc</t>
  </si>
  <si>
    <t xml:space="preserve">Mercfuel Inc </t>
  </si>
  <si>
    <t>Sapp Brothers Truck Stops</t>
  </si>
  <si>
    <t>Epic Aviation LLC</t>
  </si>
  <si>
    <t>EPIC</t>
  </si>
  <si>
    <t>DIESEL</t>
  </si>
  <si>
    <t>CNG</t>
  </si>
  <si>
    <t>A-55</t>
  </si>
  <si>
    <t>LPG</t>
  </si>
  <si>
    <t>DYED DIESEL</t>
  </si>
  <si>
    <t>19¢</t>
  </si>
  <si>
    <t>27¢</t>
  </si>
  <si>
    <t xml:space="preserve"> 22¢</t>
  </si>
  <si>
    <t>21¢</t>
  </si>
  <si>
    <t>OOR'S</t>
  </si>
  <si>
    <t>Net Tax Rates</t>
  </si>
  <si>
    <t>SUPPLIER</t>
  </si>
  <si>
    <t>RECEIVED</t>
  </si>
  <si>
    <t>DISTRIBUTED</t>
  </si>
  <si>
    <t>ConocoPhillips</t>
  </si>
  <si>
    <t>Flying J Inc</t>
  </si>
  <si>
    <t>Nevada Petroleum</t>
  </si>
  <si>
    <t>Pyramid Lake Paiute</t>
  </si>
  <si>
    <t>American Airlines</t>
  </si>
  <si>
    <t>Pacific Fuel Trading</t>
  </si>
  <si>
    <t>CONOCO-</t>
  </si>
  <si>
    <t>CL Bryant</t>
  </si>
  <si>
    <t>ConocoPhillips.</t>
  </si>
  <si>
    <t>Mercy Air</t>
  </si>
  <si>
    <t>Petro Canada</t>
  </si>
  <si>
    <t>Terry Oil</t>
  </si>
  <si>
    <t>Western Refining</t>
  </si>
  <si>
    <t>Beneto</t>
  </si>
  <si>
    <t>Flying J</t>
  </si>
  <si>
    <t>Nevada Yellow Cab</t>
  </si>
  <si>
    <t>Rhinehart Oil</t>
  </si>
  <si>
    <t>Clean Fuels</t>
  </si>
  <si>
    <t xml:space="preserve">Green River Development </t>
  </si>
  <si>
    <t>Hallum Inc</t>
  </si>
  <si>
    <t>Ramos Strong</t>
  </si>
  <si>
    <t>Tauber Petrochemical</t>
  </si>
  <si>
    <t>Wes Pac</t>
  </si>
  <si>
    <t>SCHEDULE 8</t>
  </si>
  <si>
    <t>Ck figure for IF (gal * .00055)</t>
  </si>
  <si>
    <t>Ck figure for CF (gal * .0075)</t>
  </si>
  <si>
    <t>calc'd</t>
  </si>
  <si>
    <t>diff col vs calc'd</t>
  </si>
  <si>
    <t>White Pine 9¢</t>
  </si>
  <si>
    <t>Cardwell Distributing</t>
  </si>
  <si>
    <t>Simon's Petroleum</t>
  </si>
  <si>
    <t>FY03 Distr %</t>
  </si>
  <si>
    <t>Compare to FY03 averages</t>
  </si>
  <si>
    <t>Calculation based on Average Monthly FY03 Allocation</t>
  </si>
  <si>
    <t>Monthly Average (FY03)</t>
  </si>
  <si>
    <t>Population by Incorporated City</t>
  </si>
  <si>
    <t>% Population by Incorporated City</t>
  </si>
  <si>
    <t>No Las Vegas</t>
  </si>
  <si>
    <t>W Wendover</t>
  </si>
  <si>
    <t>Detail 1 Cent State Tax County Allocation AB516</t>
  </si>
  <si>
    <t>1 Cent County Tax</t>
  </si>
  <si>
    <t>Incorporated City PERCENTAGES</t>
  </si>
  <si>
    <t>CP INDEX</t>
  </si>
  <si>
    <t>CPI</t>
  </si>
  <si>
    <t>CPI RATE</t>
  </si>
  <si>
    <t>2% DISCOUNT</t>
  </si>
  <si>
    <t>NET CPI</t>
  </si>
  <si>
    <t>3962 Check</t>
  </si>
  <si>
    <t>3962 CPI Total</t>
  </si>
  <si>
    <t>Subtotal MF Refunds only</t>
  </si>
  <si>
    <t>COUNTY CP INDEX</t>
  </si>
  <si>
    <t>COUNTY TAX RATES (NET)</t>
  </si>
  <si>
    <t>TOTAL COUNTY</t>
  </si>
  <si>
    <t>OPTION TAX</t>
  </si>
  <si>
    <t>REVISION PURSUANT TO AB 516</t>
  </si>
  <si>
    <t>Actual Higher than FY 03 Average</t>
  </si>
  <si>
    <t>Percentage of Total</t>
  </si>
  <si>
    <t>FY 03 Average Higher than Actual</t>
  </si>
  <si>
    <t>Distribution of Excess Revenue</t>
  </si>
  <si>
    <t>Total Distribution Per AB 516</t>
  </si>
  <si>
    <t>Difference between old calculations and corrected calcs.</t>
  </si>
  <si>
    <t xml:space="preserve">WC Index Gross </t>
  </si>
  <si>
    <t>CPI Multiplier</t>
  </si>
  <si>
    <t>CPI Rates</t>
  </si>
  <si>
    <t>.0175=0.0171402</t>
  </si>
  <si>
    <t>.0125 =0.012243</t>
  </si>
  <si>
    <t>.0235=0.0230168</t>
  </si>
  <si>
    <t>Total .0535=.0524</t>
  </si>
  <si>
    <t>.09=0.0882</t>
  </si>
  <si>
    <t>.01=0.0098</t>
  </si>
  <si>
    <t>Total .1535=.1504</t>
  </si>
  <si>
    <t>Total WCI Collected</t>
  </si>
  <si>
    <t>Recap-Washoe County Indexing Chart</t>
  </si>
  <si>
    <t>WASHOE INDEX</t>
  </si>
  <si>
    <t>Reno Index</t>
  </si>
  <si>
    <t>Sparks Index</t>
  </si>
  <si>
    <t>WC Index Total</t>
  </si>
  <si>
    <t>Gross Tax Rates</t>
  </si>
  <si>
    <t>Rate of CPI Tax</t>
  </si>
  <si>
    <t>% of CPI Tax</t>
  </si>
  <si>
    <t>Total CPI Collected</t>
  </si>
  <si>
    <t>% of CPI Due</t>
  </si>
  <si>
    <t>5.35 Total</t>
  </si>
  <si>
    <t>15.35 Total</t>
  </si>
  <si>
    <t>CPI Index</t>
  </si>
  <si>
    <t>TOTAL W/CPI</t>
  </si>
  <si>
    <t>Special Fuel Refunds</t>
  </si>
  <si>
    <r>
      <t xml:space="preserve">Due to decimal placement between NDOT and DMV, a rounding adjustment was made to </t>
    </r>
    <r>
      <rPr>
        <i/>
        <sz val="10"/>
        <rFont val="Arial"/>
        <family val="2"/>
      </rPr>
      <t xml:space="preserve">italicized </t>
    </r>
    <r>
      <rPr>
        <sz val="10"/>
        <rFont val="Arial"/>
        <family val="2"/>
      </rPr>
      <t xml:space="preserve">Counties.  </t>
    </r>
  </si>
  <si>
    <t>For Mineral and Storey Counties, the adjustment = + .000015</t>
  </si>
  <si>
    <t>Adjustment represents .01% percent of difference, distributed between the 7 Counties receiving a smaller percentage than NDOT calculated as a result of the decimal placement.  (NDOT only carries decimal 3 places, DMV carries 4 places to lessen rounding errors.)</t>
  </si>
  <si>
    <t>For Clark, Douglas, Elko, Lander and Nye Counties, the adjustment = + .000014.</t>
  </si>
  <si>
    <t>Adjustments were added to each County receiving less than reported by NDOT as a result of the decimal placement.</t>
  </si>
  <si>
    <t>NDOT FY05 (2/3 of % population &amp; 1/3  of % of road miles)</t>
  </si>
  <si>
    <t>% applied to FY05 actuals</t>
  </si>
  <si>
    <t>Monthly Actual(FY05)</t>
  </si>
  <si>
    <t>If actuals are smaller, use FY03 percentages to distribute FY05 money</t>
  </si>
  <si>
    <t>FY05 Money</t>
  </si>
  <si>
    <t>If FY05 actuals are larger than the FY03 average, distribution is done using the table below</t>
  </si>
  <si>
    <t>Counties with positive figures received more via FY05 calc than FY03</t>
  </si>
  <si>
    <t>Diff between FY03 Avg and FY05 Actual</t>
  </si>
  <si>
    <t>Based on 1/4 Area, 1/4 Population, 1/4 Road Miles, 1/4 Vehicle Miles per NRS 365.550</t>
  </si>
  <si>
    <t>Percentages come from "Average Percent" Intracounty Distribution Part 2</t>
  </si>
  <si>
    <t>Adjustment made to Clark County and Boulder City to correct rounding error in Average Percent</t>
  </si>
  <si>
    <t>For Clark, Douglas, Elko, Lander and Nye Counties, the adjustment = + .000014.  Additional adjustment was made to Las Vegas +.000001 to correct percent of total county vs city population percentage.</t>
  </si>
  <si>
    <t>Lander 9¢</t>
  </si>
  <si>
    <t>County CP Index .0084484</t>
  </si>
  <si>
    <t>NEVADA DEPARTMENT OF MOTOR VEHICLES</t>
  </si>
  <si>
    <t>DECEMBER 2004</t>
  </si>
  <si>
    <t>El Aero Services</t>
  </si>
  <si>
    <t>Moapa Band of Paiutes</t>
  </si>
  <si>
    <t>Sunoco Inc</t>
  </si>
  <si>
    <t>Trejo Oil Co</t>
  </si>
  <si>
    <t xml:space="preserve">Clark Co off due </t>
  </si>
  <si>
    <t>to Moapa Band</t>
  </si>
  <si>
    <t>Aircraft Services Intl</t>
  </si>
  <si>
    <t>Bay Area Diablo</t>
  </si>
  <si>
    <t>Beneto Inc</t>
  </si>
  <si>
    <t>Dial Oil</t>
  </si>
  <si>
    <t>Duck Valley Reservation</t>
  </si>
  <si>
    <t xml:space="preserve">                                            </t>
  </si>
  <si>
    <t>Ely Shoshone Tribe</t>
  </si>
  <si>
    <t>GN Renn Inc</t>
  </si>
  <si>
    <t>Musket Corp</t>
  </si>
  <si>
    <t>Petroleum Wholesale</t>
  </si>
  <si>
    <t>Petro Stopping Centers</t>
  </si>
  <si>
    <t>Simons Petroleum</t>
  </si>
  <si>
    <t>Washoe Fuels</t>
  </si>
  <si>
    <t>White Pine off due to</t>
  </si>
  <si>
    <t>Henderson AP</t>
  </si>
  <si>
    <t>City of Mesquite AP</t>
  </si>
  <si>
    <t>Northwest Ailrines</t>
  </si>
  <si>
    <t>World Energy</t>
  </si>
  <si>
    <t>Washoe Co</t>
  </si>
  <si>
    <t xml:space="preserve">off due to </t>
  </si>
  <si>
    <t>Pyramid Lake</t>
  </si>
  <si>
    <t>Elko Band Council</t>
  </si>
  <si>
    <t>Beneto Adj</t>
  </si>
  <si>
    <t>Brad Hall &amp; Associates Adj</t>
  </si>
  <si>
    <t>Canyon State Oil Co. Adj</t>
  </si>
  <si>
    <t>CFJ Properties Adj</t>
  </si>
  <si>
    <t>Chevron USA Inc Adj</t>
  </si>
  <si>
    <t>Cool Fuel Adj</t>
  </si>
  <si>
    <t>Elko Band Council Adj</t>
  </si>
  <si>
    <t>Epic Aviation LLC Adj</t>
  </si>
  <si>
    <t>Exxon/Mobil Oil Corp Adj</t>
  </si>
  <si>
    <t>Hardy Enterprises Adj</t>
  </si>
  <si>
    <t>Inter State Oil Company Adj</t>
  </si>
  <si>
    <t>Moapa Band of Paiutes Adj</t>
  </si>
  <si>
    <t>Petroleum Wholesale Adj</t>
  </si>
  <si>
    <t>Pro Petroleum Adj</t>
  </si>
  <si>
    <t>River City Petroleum Inc Adj</t>
  </si>
  <si>
    <t>Tesoro Northwest Co Adj</t>
  </si>
  <si>
    <t>Berry Properties Inc Adj</t>
  </si>
  <si>
    <t>Dats Trucking Adj</t>
  </si>
  <si>
    <t>Time Oil Co Adj</t>
  </si>
  <si>
    <t>Mercury Air Group Adj</t>
  </si>
  <si>
    <t>CFJ Properties AM</t>
  </si>
  <si>
    <t>Dats Trucking AM</t>
  </si>
  <si>
    <t>Walker River Paiute</t>
  </si>
  <si>
    <t>Cottam Oil</t>
  </si>
  <si>
    <t>Premium Oil Co 11-04</t>
  </si>
  <si>
    <t>Premium Oil Co 12-04</t>
  </si>
  <si>
    <t>Premium Oil 11-04</t>
  </si>
  <si>
    <t>Premium Oil 12-04</t>
  </si>
  <si>
    <t>Smitten Oil &amp; Tire 10-04 Rev</t>
  </si>
  <si>
    <t>Sperry Oil Company Adj</t>
  </si>
  <si>
    <t>3903 Credit</t>
  </si>
  <si>
    <t>Cottams Oil</t>
  </si>
  <si>
    <t>Ed Staub</t>
  </si>
  <si>
    <t>Premium Oil  Nov-04</t>
  </si>
  <si>
    <t xml:space="preserve">Premium Oil Dec-4 </t>
  </si>
  <si>
    <t>Amends</t>
  </si>
  <si>
    <t xml:space="preserve">Walker River Paiute                   $1,255.00                  </t>
  </si>
  <si>
    <t>Noble Americas Corp</t>
  </si>
  <si>
    <t>Penn Octane</t>
  </si>
  <si>
    <t>Sierra Petroleum</t>
  </si>
  <si>
    <t>Simple Fuels</t>
  </si>
  <si>
    <t>Western Petroleum</t>
  </si>
  <si>
    <t>Associated Energy</t>
  </si>
  <si>
    <t>Duke Energy</t>
  </si>
  <si>
    <t>Citgo Petroleum</t>
  </si>
  <si>
    <t>Eastern Aviaition Fuels of NC</t>
  </si>
  <si>
    <t>Holly Refining &amp; Marketing Co</t>
  </si>
  <si>
    <t>Inyo Crude Inc</t>
  </si>
  <si>
    <t>Koch Supply &amp; Trading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</si>
</sst>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%"/>
    <numFmt numFmtId="166" formatCode=";;;"/>
    <numFmt numFmtId="167" formatCode="0.000%"/>
    <numFmt numFmtId="181" formatCode="0.0000000%"/>
    <numFmt numFmtId="186" formatCode="mmmm\ yyyy"/>
    <numFmt numFmtId="187" formatCode="_(* #,##0_);_(* \(#,##0\);_(* &quot;-&quot;??_);_(@_)"/>
    <numFmt numFmtId="191" formatCode="0.0000000"/>
    <numFmt numFmtId="210" formatCode="0.00_);[Red]\(0.00\)"/>
    <numFmt numFmtId="211" formatCode="_(&quot;$&quot;* #,##0.00_);_(&quot;$&quot;* \(#,##0.00\);_(&quot;$&quot;* &quot;-&quot;_);_(@_)"/>
  </numFmts>
  <fonts count="3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color indexed="12"/>
      <name val="Courier"/>
    </font>
    <font>
      <sz val="10"/>
      <name val="Arial"/>
      <family val="2"/>
    </font>
    <font>
      <sz val="12"/>
      <name val="Arial"/>
      <family val="2"/>
    </font>
    <font>
      <b/>
      <sz val="12"/>
      <name val="Arial"/>
    </font>
    <font>
      <b/>
      <sz val="12"/>
      <color indexed="12"/>
      <name val="Courier"/>
    </font>
    <font>
      <u/>
      <sz val="12"/>
      <name val="Arial"/>
      <family val="2"/>
    </font>
    <font>
      <u/>
      <sz val="10"/>
      <name val="Arial"/>
      <family val="2"/>
    </font>
    <font>
      <u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12"/>
      <name val="Arial"/>
      <family val="2"/>
    </font>
    <font>
      <b/>
      <u/>
      <sz val="12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7"/>
      <name val="Arial"/>
    </font>
    <font>
      <sz val="10"/>
      <color indexed="12"/>
      <name val="Arial"/>
    </font>
    <font>
      <sz val="10"/>
      <color indexed="20"/>
      <name val="Arial"/>
    </font>
    <font>
      <b/>
      <sz val="10"/>
      <color indexed="17"/>
      <name val="Arial"/>
    </font>
    <font>
      <b/>
      <sz val="10"/>
      <color indexed="12"/>
      <name val="Arial"/>
    </font>
    <font>
      <b/>
      <sz val="10"/>
      <color indexed="20"/>
      <name val="Arial"/>
    </font>
    <font>
      <sz val="10"/>
      <color indexed="17"/>
      <name val="Arial"/>
      <family val="2"/>
    </font>
    <font>
      <sz val="10"/>
      <color indexed="56"/>
      <name val="Arial"/>
      <family val="2"/>
    </font>
    <font>
      <sz val="10"/>
      <color indexed="20"/>
      <name val="Arial"/>
      <family val="2"/>
    </font>
    <font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418">
    <xf numFmtId="0" fontId="0" fillId="0" borderId="0" xfId="0"/>
    <xf numFmtId="0" fontId="0" fillId="0" borderId="0" xfId="0" applyProtection="1"/>
    <xf numFmtId="39" fontId="0" fillId="0" borderId="0" xfId="0" applyNumberFormat="1" applyProtection="1"/>
    <xf numFmtId="49" fontId="0" fillId="0" borderId="0" xfId="0" applyNumberFormat="1" applyProtection="1"/>
    <xf numFmtId="0" fontId="0" fillId="0" borderId="0" xfId="0" applyAlignment="1" applyProtection="1">
      <alignment horizontal="fill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37" fontId="0" fillId="0" borderId="0" xfId="0" applyNumberFormat="1" applyProtection="1"/>
    <xf numFmtId="2" fontId="0" fillId="0" borderId="0" xfId="0" applyNumberFormat="1"/>
    <xf numFmtId="7" fontId="0" fillId="0" borderId="0" xfId="0" applyNumberFormat="1" applyProtection="1"/>
    <xf numFmtId="0" fontId="0" fillId="0" borderId="0" xfId="0" applyBorder="1" applyProtection="1"/>
    <xf numFmtId="39" fontId="0" fillId="0" borderId="0" xfId="0" applyNumberFormat="1"/>
    <xf numFmtId="39" fontId="3" fillId="0" borderId="0" xfId="0" applyNumberFormat="1" applyFont="1" applyProtection="1">
      <protection locked="0"/>
    </xf>
    <xf numFmtId="165" fontId="0" fillId="0" borderId="0" xfId="0" applyNumberFormat="1" applyProtection="1"/>
    <xf numFmtId="10" fontId="0" fillId="0" borderId="0" xfId="0" applyNumberFormat="1" applyProtection="1"/>
    <xf numFmtId="166" fontId="0" fillId="0" borderId="0" xfId="0" applyNumberFormat="1" applyProtection="1"/>
    <xf numFmtId="0" fontId="0" fillId="0" borderId="0" xfId="0" applyAlignment="1" applyProtection="1">
      <alignment horizontal="left"/>
    </xf>
    <xf numFmtId="44" fontId="0" fillId="0" borderId="0" xfId="2" applyFont="1"/>
    <xf numFmtId="0" fontId="4" fillId="0" borderId="0" xfId="0" applyFont="1" applyProtection="1"/>
    <xf numFmtId="0" fontId="4" fillId="0" borderId="0" xfId="0" applyFont="1" applyAlignment="1" applyProtection="1">
      <alignment horizontal="right"/>
    </xf>
    <xf numFmtId="0" fontId="4" fillId="0" borderId="0" xfId="0" applyFont="1"/>
    <xf numFmtId="0" fontId="1" fillId="0" borderId="0" xfId="0" applyFont="1" applyProtection="1"/>
    <xf numFmtId="37" fontId="1" fillId="0" borderId="0" xfId="0" quotePrefix="1" applyNumberFormat="1" applyFont="1" applyAlignment="1" applyProtection="1">
      <alignment horizontal="right"/>
    </xf>
    <xf numFmtId="37" fontId="1" fillId="0" borderId="0" xfId="0" applyNumberFormat="1" applyFont="1" applyAlignment="1" applyProtection="1">
      <alignment horizontal="right"/>
    </xf>
    <xf numFmtId="0" fontId="0" fillId="0" borderId="0" xfId="0" applyAlignment="1">
      <alignment horizontal="right"/>
    </xf>
    <xf numFmtId="7" fontId="0" fillId="0" borderId="0" xfId="0" applyNumberFormat="1"/>
    <xf numFmtId="0" fontId="2" fillId="0" borderId="0" xfId="0" applyFont="1" applyAlignment="1" applyProtection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right"/>
    </xf>
    <xf numFmtId="0" fontId="0" fillId="0" borderId="0" xfId="0" applyAlignment="1">
      <alignment horizontal="center"/>
    </xf>
    <xf numFmtId="181" fontId="0" fillId="0" borderId="0" xfId="0" applyNumberFormat="1" applyProtection="1"/>
    <xf numFmtId="165" fontId="0" fillId="0" borderId="0" xfId="4" applyNumberFormat="1" applyFont="1" applyProtection="1"/>
    <xf numFmtId="37" fontId="0" fillId="0" borderId="1" xfId="0" applyNumberFormat="1" applyBorder="1" applyProtection="1"/>
    <xf numFmtId="39" fontId="0" fillId="0" borderId="1" xfId="0" applyNumberFormat="1" applyBorder="1" applyProtection="1"/>
    <xf numFmtId="37" fontId="0" fillId="0" borderId="2" xfId="0" applyNumberFormat="1" applyBorder="1" applyProtection="1"/>
    <xf numFmtId="0" fontId="0" fillId="0" borderId="2" xfId="0" applyBorder="1" applyProtection="1"/>
    <xf numFmtId="39" fontId="0" fillId="0" borderId="2" xfId="0" applyNumberFormat="1" applyBorder="1" applyProtection="1"/>
    <xf numFmtId="37" fontId="0" fillId="0" borderId="3" xfId="0" applyNumberFormat="1" applyBorder="1" applyProtection="1"/>
    <xf numFmtId="0" fontId="0" fillId="0" borderId="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right"/>
    </xf>
    <xf numFmtId="165" fontId="0" fillId="0" borderId="2" xfId="0" applyNumberFormat="1" applyBorder="1" applyProtection="1"/>
    <xf numFmtId="0" fontId="0" fillId="0" borderId="0" xfId="0" applyAlignment="1" applyProtection="1">
      <alignment horizontal="centerContinuous"/>
    </xf>
    <xf numFmtId="0" fontId="0" fillId="0" borderId="0" xfId="0" applyAlignment="1">
      <alignment horizontal="centerContinuous"/>
    </xf>
    <xf numFmtId="43" fontId="0" fillId="0" borderId="1" xfId="1" applyFont="1" applyBorder="1"/>
    <xf numFmtId="44" fontId="0" fillId="0" borderId="1" xfId="2" applyFont="1" applyBorder="1"/>
    <xf numFmtId="7" fontId="0" fillId="0" borderId="3" xfId="0" applyNumberFormat="1" applyBorder="1" applyProtection="1"/>
    <xf numFmtId="167" fontId="0" fillId="0" borderId="3" xfId="0" applyNumberFormat="1" applyBorder="1" applyProtection="1"/>
    <xf numFmtId="166" fontId="0" fillId="0" borderId="1" xfId="0" applyNumberFormat="1" applyBorder="1" applyProtection="1"/>
    <xf numFmtId="165" fontId="0" fillId="0" borderId="1" xfId="4" applyNumberFormat="1" applyFont="1" applyBorder="1" applyProtection="1"/>
    <xf numFmtId="0" fontId="0" fillId="0" borderId="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4" xfId="0" applyBorder="1" applyAlignment="1" applyProtection="1">
      <alignment horizontal="centerContinuous"/>
    </xf>
    <xf numFmtId="0" fontId="0" fillId="0" borderId="4" xfId="0" applyBorder="1" applyProtection="1"/>
    <xf numFmtId="0" fontId="0" fillId="0" borderId="5" xfId="0" applyBorder="1" applyAlignment="1" applyProtection="1">
      <alignment horizontal="right"/>
    </xf>
    <xf numFmtId="0" fontId="0" fillId="0" borderId="5" xfId="0" applyBorder="1" applyAlignment="1" applyProtection="1">
      <alignment horizontal="left"/>
    </xf>
    <xf numFmtId="0" fontId="0" fillId="0" borderId="5" xfId="0" applyBorder="1" applyProtection="1"/>
    <xf numFmtId="0" fontId="0" fillId="0" borderId="6" xfId="0" applyBorder="1" applyAlignment="1" applyProtection="1">
      <alignment horizontal="right"/>
    </xf>
    <xf numFmtId="0" fontId="0" fillId="0" borderId="7" xfId="0" applyBorder="1" applyAlignment="1" applyProtection="1">
      <alignment horizontal="right"/>
    </xf>
    <xf numFmtId="0" fontId="0" fillId="0" borderId="8" xfId="0" applyBorder="1" applyProtection="1"/>
    <xf numFmtId="37" fontId="0" fillId="0" borderId="8" xfId="0" applyNumberFormat="1" applyBorder="1" applyProtection="1"/>
    <xf numFmtId="0" fontId="0" fillId="0" borderId="1" xfId="0" applyBorder="1" applyAlignment="1">
      <alignment horizontal="right"/>
    </xf>
    <xf numFmtId="0" fontId="5" fillId="0" borderId="0" xfId="0" applyFont="1" applyProtection="1"/>
    <xf numFmtId="0" fontId="6" fillId="0" borderId="0" xfId="0" applyFont="1" applyProtection="1"/>
    <xf numFmtId="0" fontId="7" fillId="0" borderId="0" xfId="0" quotePrefix="1" applyFont="1" applyProtection="1">
      <protection locked="0"/>
    </xf>
    <xf numFmtId="0" fontId="5" fillId="0" borderId="0" xfId="0" applyFont="1" applyAlignment="1">
      <alignment horizontal="centerContinuous"/>
    </xf>
    <xf numFmtId="0" fontId="6" fillId="0" borderId="0" xfId="0" applyFont="1" applyAlignment="1" applyProtection="1">
      <alignment horizontal="centerContinuous"/>
    </xf>
    <xf numFmtId="0" fontId="6" fillId="0" borderId="0" xfId="0" applyFont="1" applyAlignment="1">
      <alignment horizontal="centerContinuous"/>
    </xf>
    <xf numFmtId="0" fontId="6" fillId="0" borderId="0" xfId="0" applyFont="1" applyAlignment="1" applyProtection="1">
      <alignment horizontal="left"/>
    </xf>
    <xf numFmtId="0" fontId="5" fillId="0" borderId="0" xfId="0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8" fillId="0" borderId="0" xfId="0" applyFont="1" applyAlignment="1" applyProtection="1">
      <alignment horizontal="centerContinuous"/>
    </xf>
    <xf numFmtId="0" fontId="10" fillId="0" borderId="0" xfId="0" quotePrefix="1" applyFont="1" applyAlignment="1" applyProtection="1">
      <alignment horizontal="centerContinuous"/>
      <protection locked="0"/>
    </xf>
    <xf numFmtId="39" fontId="5" fillId="0" borderId="0" xfId="0" applyNumberFormat="1" applyFont="1" applyProtection="1"/>
    <xf numFmtId="49" fontId="5" fillId="0" borderId="0" xfId="0" applyNumberFormat="1" applyFont="1" applyProtection="1"/>
    <xf numFmtId="0" fontId="11" fillId="0" borderId="0" xfId="0" applyFont="1" applyProtection="1"/>
    <xf numFmtId="39" fontId="4" fillId="0" borderId="0" xfId="0" applyNumberFormat="1" applyFont="1" applyProtection="1"/>
    <xf numFmtId="0" fontId="4" fillId="0" borderId="3" xfId="0" applyFont="1" applyBorder="1" applyAlignment="1" applyProtection="1">
      <alignment horizontal="right"/>
    </xf>
    <xf numFmtId="0" fontId="4" fillId="0" borderId="3" xfId="0" applyFont="1" applyBorder="1" applyProtection="1"/>
    <xf numFmtId="44" fontId="0" fillId="0" borderId="3" xfId="0" applyNumberFormat="1" applyBorder="1"/>
    <xf numFmtId="186" fontId="0" fillId="0" borderId="0" xfId="0" applyNumberFormat="1"/>
    <xf numFmtId="49" fontId="0" fillId="0" borderId="0" xfId="0" applyNumberFormat="1"/>
    <xf numFmtId="0" fontId="1" fillId="0" borderId="0" xfId="0" applyFont="1" applyAlignment="1" applyProtection="1">
      <alignment horizontal="centerContinuous"/>
    </xf>
    <xf numFmtId="0" fontId="0" fillId="0" borderId="0" xfId="0" applyAlignment="1"/>
    <xf numFmtId="0" fontId="0" fillId="0" borderId="0" xfId="0" applyAlignment="1" applyProtection="1"/>
    <xf numFmtId="0" fontId="5" fillId="0" borderId="0" xfId="0" applyFont="1" applyAlignment="1" applyProtection="1">
      <alignment horizontal="centerContinuous"/>
    </xf>
    <xf numFmtId="0" fontId="0" fillId="0" borderId="0" xfId="0" applyBorder="1" applyAlignment="1" applyProtection="1">
      <alignment horizontal="centerContinuous"/>
    </xf>
    <xf numFmtId="0" fontId="0" fillId="0" borderId="0" xfId="0" applyBorder="1"/>
    <xf numFmtId="39" fontId="0" fillId="0" borderId="0" xfId="0" applyNumberFormat="1" applyBorder="1" applyProtection="1"/>
    <xf numFmtId="37" fontId="0" fillId="0" borderId="0" xfId="0" applyNumberFormat="1" applyBorder="1" applyProtection="1"/>
    <xf numFmtId="0" fontId="0" fillId="0" borderId="0" xfId="0" quotePrefix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 applyProtection="1">
      <alignment horizontal="left"/>
    </xf>
    <xf numFmtId="39" fontId="0" fillId="0" borderId="1" xfId="0" applyNumberFormat="1" applyBorder="1"/>
    <xf numFmtId="0" fontId="6" fillId="0" borderId="0" xfId="0" quotePrefix="1" applyFont="1" applyAlignment="1" applyProtection="1">
      <alignment horizontal="centerContinuous"/>
    </xf>
    <xf numFmtId="0" fontId="0" fillId="0" borderId="0" xfId="0" quotePrefix="1" applyAlignment="1" applyProtection="1">
      <alignment horizontal="center"/>
    </xf>
    <xf numFmtId="0" fontId="0" fillId="0" borderId="1" xfId="0" quotePrefix="1" applyBorder="1" applyAlignment="1" applyProtection="1">
      <alignment horizontal="right"/>
    </xf>
    <xf numFmtId="0" fontId="11" fillId="0" borderId="0" xfId="0" quotePrefix="1" applyFont="1" applyAlignment="1" applyProtection="1">
      <alignment horizontal="left"/>
    </xf>
    <xf numFmtId="43" fontId="0" fillId="0" borderId="0" xfId="1" applyNumberFormat="1" applyFont="1" applyBorder="1" applyProtection="1"/>
    <xf numFmtId="39" fontId="0" fillId="0" borderId="0" xfId="1" applyNumberFormat="1" applyFont="1" applyProtection="1"/>
    <xf numFmtId="39" fontId="0" fillId="0" borderId="1" xfId="1" applyNumberFormat="1" applyFont="1" applyBorder="1" applyProtection="1"/>
    <xf numFmtId="0" fontId="0" fillId="0" borderId="0" xfId="0" quotePrefix="1" applyAlignment="1" applyProtection="1"/>
    <xf numFmtId="0" fontId="0" fillId="0" borderId="0" xfId="0" quotePrefix="1" applyAlignment="1" applyProtection="1">
      <alignment horizontal="centerContinuous"/>
    </xf>
    <xf numFmtId="0" fontId="5" fillId="0" borderId="0" xfId="0" applyFont="1" applyBorder="1" applyAlignment="1" applyProtection="1"/>
    <xf numFmtId="0" fontId="0" fillId="0" borderId="3" xfId="0" applyBorder="1" applyAlignment="1" applyProtection="1">
      <alignment horizontal="centerContinuous"/>
    </xf>
    <xf numFmtId="0" fontId="2" fillId="0" borderId="3" xfId="0" applyFont="1" applyBorder="1" applyAlignment="1" applyProtection="1">
      <alignment horizontal="right"/>
    </xf>
    <xf numFmtId="0" fontId="2" fillId="0" borderId="3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right"/>
    </xf>
    <xf numFmtId="0" fontId="0" fillId="0" borderId="1" xfId="0" applyBorder="1" applyProtection="1"/>
    <xf numFmtId="0" fontId="6" fillId="0" borderId="0" xfId="0" quotePrefix="1" applyFont="1" applyAlignment="1" applyProtection="1">
      <alignment horizontal="left"/>
    </xf>
    <xf numFmtId="0" fontId="4" fillId="0" borderId="3" xfId="0" quotePrefix="1" applyFont="1" applyBorder="1" applyAlignment="1" applyProtection="1">
      <alignment horizontal="right"/>
    </xf>
    <xf numFmtId="0" fontId="11" fillId="0" borderId="0" xfId="0" applyFont="1"/>
    <xf numFmtId="0" fontId="12" fillId="0" borderId="0" xfId="0" applyFont="1" applyAlignment="1" applyProtection="1">
      <alignment horizontal="centerContinuous"/>
      <protection locked="0"/>
    </xf>
    <xf numFmtId="0" fontId="1" fillId="0" borderId="0" xfId="0" quotePrefix="1" applyFont="1" applyAlignment="1" applyProtection="1">
      <alignment horizontal="right"/>
    </xf>
    <xf numFmtId="0" fontId="13" fillId="0" borderId="0" xfId="0" applyFont="1" applyAlignment="1" applyProtection="1">
      <alignment horizontal="left"/>
    </xf>
    <xf numFmtId="0" fontId="14" fillId="0" borderId="0" xfId="0" quotePrefix="1" applyFont="1" applyProtection="1">
      <protection locked="0"/>
    </xf>
    <xf numFmtId="0" fontId="11" fillId="0" borderId="0" xfId="0" quotePrefix="1" applyFont="1" applyAlignment="1" applyProtection="1">
      <alignment horizontal="centerContinuous"/>
    </xf>
    <xf numFmtId="0" fontId="5" fillId="0" borderId="0" xfId="0" quotePrefix="1" applyFont="1" applyAlignment="1" applyProtection="1">
      <alignment horizontal="left"/>
    </xf>
    <xf numFmtId="0" fontId="0" fillId="0" borderId="0" xfId="0" quotePrefix="1" applyAlignment="1" applyProtection="1">
      <alignment horizontal="right"/>
    </xf>
    <xf numFmtId="0" fontId="0" fillId="0" borderId="0" xfId="0" quotePrefix="1" applyAlignment="1">
      <alignment horizontal="right"/>
    </xf>
    <xf numFmtId="0" fontId="14" fillId="0" borderId="0" xfId="0" quotePrefix="1" applyFont="1" applyAlignment="1" applyProtection="1">
      <alignment horizontal="left"/>
      <protection locked="0"/>
    </xf>
    <xf numFmtId="0" fontId="14" fillId="0" borderId="0" xfId="0" applyFont="1" applyProtection="1">
      <protection locked="0"/>
    </xf>
    <xf numFmtId="37" fontId="0" fillId="0" borderId="0" xfId="0" quotePrefix="1" applyNumberFormat="1" applyAlignment="1" applyProtection="1">
      <alignment horizontal="right"/>
    </xf>
    <xf numFmtId="0" fontId="0" fillId="0" borderId="0" xfId="0" quotePrefix="1" applyBorder="1" applyAlignment="1" applyProtection="1">
      <alignment horizontal="right"/>
    </xf>
    <xf numFmtId="0" fontId="11" fillId="0" borderId="0" xfId="0" applyFont="1" applyAlignment="1" applyProtection="1">
      <alignment horizontal="centerContinuous"/>
    </xf>
    <xf numFmtId="0" fontId="15" fillId="0" borderId="0" xfId="0" applyFont="1" applyAlignment="1" applyProtection="1">
      <alignment horizontal="centerContinuous"/>
    </xf>
    <xf numFmtId="0" fontId="16" fillId="0" borderId="0" xfId="0" applyFont="1" applyProtection="1"/>
    <xf numFmtId="0" fontId="17" fillId="0" borderId="0" xfId="0" applyFont="1" applyProtection="1"/>
    <xf numFmtId="0" fontId="0" fillId="0" borderId="0" xfId="0" quotePrefix="1" applyBorder="1" applyAlignment="1">
      <alignment horizontal="right"/>
    </xf>
    <xf numFmtId="39" fontId="3" fillId="0" borderId="0" xfId="0" applyNumberFormat="1" applyFont="1" applyAlignment="1" applyProtection="1">
      <alignment horizontal="right"/>
      <protection locked="0"/>
    </xf>
    <xf numFmtId="44" fontId="0" fillId="0" borderId="2" xfId="0" applyNumberFormat="1" applyBorder="1" applyProtection="1"/>
    <xf numFmtId="44" fontId="0" fillId="0" borderId="0" xfId="0" applyNumberFormat="1" applyProtection="1"/>
    <xf numFmtId="44" fontId="0" fillId="0" borderId="3" xfId="0" applyNumberFormat="1" applyBorder="1" applyProtection="1"/>
    <xf numFmtId="44" fontId="0" fillId="0" borderId="3" xfId="2" applyNumberFormat="1" applyFont="1" applyBorder="1" applyProtection="1"/>
    <xf numFmtId="44" fontId="0" fillId="0" borderId="3" xfId="1" applyNumberFormat="1" applyFont="1" applyBorder="1" applyProtection="1"/>
    <xf numFmtId="44" fontId="5" fillId="0" borderId="2" xfId="0" applyNumberFormat="1" applyFont="1" applyBorder="1" applyProtection="1"/>
    <xf numFmtId="37" fontId="0" fillId="0" borderId="0" xfId="0" applyNumberFormat="1" applyAlignment="1" applyProtection="1">
      <alignment horizontal="right"/>
    </xf>
    <xf numFmtId="0" fontId="0" fillId="0" borderId="1" xfId="0" quotePrefix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center"/>
    </xf>
    <xf numFmtId="17" fontId="0" fillId="0" borderId="1" xfId="0" applyNumberFormat="1" applyFill="1" applyBorder="1" applyAlignment="1" applyProtection="1">
      <alignment horizontal="right"/>
    </xf>
    <xf numFmtId="0" fontId="18" fillId="0" borderId="0" xfId="0" applyFont="1"/>
    <xf numFmtId="3" fontId="0" fillId="0" borderId="0" xfId="0" applyNumberFormat="1"/>
    <xf numFmtId="165" fontId="2" fillId="0" borderId="0" xfId="4" applyNumberFormat="1"/>
    <xf numFmtId="0" fontId="18" fillId="0" borderId="3" xfId="0" applyFont="1" applyBorder="1" applyAlignment="1">
      <alignment horizontal="left"/>
    </xf>
    <xf numFmtId="0" fontId="18" fillId="0" borderId="3" xfId="0" applyFont="1" applyFill="1" applyBorder="1" applyAlignment="1">
      <alignment horizontal="right"/>
    </xf>
    <xf numFmtId="165" fontId="2" fillId="0" borderId="0" xfId="4" applyNumberFormat="1" applyFont="1"/>
    <xf numFmtId="0" fontId="18" fillId="0" borderId="0" xfId="0" applyFont="1" applyAlignment="1">
      <alignment horizontal="center" wrapText="1"/>
    </xf>
    <xf numFmtId="44" fontId="18" fillId="0" borderId="0" xfId="2" applyFont="1" applyBorder="1" applyAlignment="1">
      <alignment horizontal="center" wrapText="1"/>
    </xf>
    <xf numFmtId="0" fontId="18" fillId="0" borderId="0" xfId="0" applyFont="1" applyAlignment="1">
      <alignment wrapText="1"/>
    </xf>
    <xf numFmtId="43" fontId="2" fillId="0" borderId="0" xfId="1"/>
    <xf numFmtId="44" fontId="2" fillId="0" borderId="0" xfId="2"/>
    <xf numFmtId="10" fontId="0" fillId="0" borderId="0" xfId="0" applyNumberFormat="1"/>
    <xf numFmtId="10" fontId="2" fillId="0" borderId="0" xfId="4" applyNumberFormat="1"/>
    <xf numFmtId="0" fontId="0" fillId="0" borderId="0" xfId="0" applyAlignment="1">
      <alignment wrapText="1"/>
    </xf>
    <xf numFmtId="43" fontId="2" fillId="0" borderId="9" xfId="1" applyBorder="1"/>
    <xf numFmtId="0" fontId="0" fillId="0" borderId="0" xfId="0" quotePrefix="1" applyAlignment="1">
      <alignment wrapText="1"/>
    </xf>
    <xf numFmtId="43" fontId="0" fillId="0" borderId="9" xfId="0" applyNumberFormat="1" applyBorder="1"/>
    <xf numFmtId="43" fontId="18" fillId="0" borderId="0" xfId="1" applyFont="1"/>
    <xf numFmtId="0" fontId="18" fillId="0" borderId="9" xfId="0" applyFont="1" applyBorder="1" applyAlignment="1">
      <alignment horizontal="center" wrapText="1"/>
    </xf>
    <xf numFmtId="0" fontId="18" fillId="0" borderId="9" xfId="0" applyFont="1" applyBorder="1"/>
    <xf numFmtId="43" fontId="0" fillId="0" borderId="0" xfId="0" applyNumberFormat="1"/>
    <xf numFmtId="10" fontId="18" fillId="0" borderId="10" xfId="0" applyNumberFormat="1" applyFont="1" applyBorder="1"/>
    <xf numFmtId="43" fontId="18" fillId="0" borderId="10" xfId="1" applyFont="1" applyBorder="1"/>
    <xf numFmtId="43" fontId="2" fillId="0" borderId="10" xfId="1" applyBorder="1"/>
    <xf numFmtId="10" fontId="18" fillId="0" borderId="0" xfId="0" applyNumberFormat="1" applyFont="1" applyBorder="1"/>
    <xf numFmtId="0" fontId="18" fillId="0" borderId="9" xfId="0" applyFont="1" applyBorder="1" applyAlignment="1">
      <alignment wrapText="1"/>
    </xf>
    <xf numFmtId="0" fontId="18" fillId="0" borderId="9" xfId="0" quotePrefix="1" applyFont="1" applyBorder="1" applyAlignment="1">
      <alignment wrapText="1"/>
    </xf>
    <xf numFmtId="43" fontId="18" fillId="0" borderId="9" xfId="0" applyNumberFormat="1" applyFont="1" applyBorder="1" applyAlignment="1">
      <alignment wrapText="1"/>
    </xf>
    <xf numFmtId="187" fontId="2" fillId="0" borderId="0" xfId="1" applyNumberFormat="1"/>
    <xf numFmtId="10" fontId="0" fillId="0" borderId="0" xfId="0" applyNumberFormat="1" applyAlignment="1">
      <alignment wrapText="1"/>
    </xf>
    <xf numFmtId="43" fontId="2" fillId="0" borderId="0" xfId="1" applyFont="1"/>
    <xf numFmtId="187" fontId="18" fillId="0" borderId="10" xfId="0" applyNumberFormat="1" applyFont="1" applyBorder="1"/>
    <xf numFmtId="165" fontId="18" fillId="0" borderId="10" xfId="0" applyNumberFormat="1" applyFont="1" applyBorder="1"/>
    <xf numFmtId="165" fontId="18" fillId="0" borderId="10" xfId="4" applyNumberFormat="1" applyFont="1" applyBorder="1"/>
    <xf numFmtId="43" fontId="18" fillId="0" borderId="10" xfId="0" applyNumberFormat="1" applyFont="1" applyBorder="1"/>
    <xf numFmtId="44" fontId="18" fillId="0" borderId="10" xfId="2" applyFont="1" applyBorder="1"/>
    <xf numFmtId="10" fontId="18" fillId="0" borderId="10" xfId="0" applyNumberFormat="1" applyFont="1" applyBorder="1" applyAlignment="1">
      <alignment wrapText="1"/>
    </xf>
    <xf numFmtId="165" fontId="18" fillId="0" borderId="10" xfId="1" applyNumberFormat="1" applyFont="1" applyBorder="1"/>
    <xf numFmtId="44" fontId="2" fillId="0" borderId="0" xfId="2" applyFont="1"/>
    <xf numFmtId="44" fontId="0" fillId="0" borderId="0" xfId="0" applyNumberFormat="1" applyAlignment="1">
      <alignment wrapText="1"/>
    </xf>
    <xf numFmtId="43" fontId="18" fillId="0" borderId="0" xfId="4" applyNumberFormat="1" applyFont="1"/>
    <xf numFmtId="43" fontId="2" fillId="0" borderId="0" xfId="4" applyNumberFormat="1"/>
    <xf numFmtId="165" fontId="2" fillId="0" borderId="10" xfId="4" applyNumberFormat="1" applyBorder="1"/>
    <xf numFmtId="43" fontId="2" fillId="0" borderId="11" xfId="1" applyBorder="1"/>
    <xf numFmtId="165" fontId="2" fillId="0" borderId="12" xfId="4" applyNumberFormat="1" applyBorder="1"/>
    <xf numFmtId="3" fontId="18" fillId="0" borderId="3" xfId="0" applyNumberFormat="1" applyFont="1" applyBorder="1" applyAlignment="1">
      <alignment horizontal="center" wrapText="1"/>
    </xf>
    <xf numFmtId="165" fontId="18" fillId="0" borderId="3" xfId="4" applyNumberFormat="1" applyFont="1" applyBorder="1" applyAlignment="1">
      <alignment horizontal="right" wrapText="1"/>
    </xf>
    <xf numFmtId="43" fontId="0" fillId="0" borderId="10" xfId="0" applyNumberFormat="1" applyBorder="1"/>
    <xf numFmtId="0" fontId="18" fillId="0" borderId="0" xfId="0" quotePrefix="1" applyFont="1" applyAlignment="1">
      <alignment wrapText="1"/>
    </xf>
    <xf numFmtId="0" fontId="18" fillId="0" borderId="0" xfId="0" applyFont="1" applyAlignment="1">
      <alignment vertical="top"/>
    </xf>
    <xf numFmtId="43" fontId="18" fillId="0" borderId="0" xfId="1" applyFont="1" applyBorder="1"/>
    <xf numFmtId="43" fontId="2" fillId="0" borderId="0" xfId="1" applyBorder="1"/>
    <xf numFmtId="0" fontId="18" fillId="0" borderId="3" xfId="0" applyFont="1" applyBorder="1" applyAlignment="1">
      <alignment horizontal="left" wrapText="1"/>
    </xf>
    <xf numFmtId="0" fontId="0" fillId="0" borderId="0" xfId="0" applyBorder="1" applyAlignment="1">
      <alignment wrapText="1"/>
    </xf>
    <xf numFmtId="165" fontId="2" fillId="0" borderId="0" xfId="4" applyNumberFormat="1" applyAlignment="1">
      <alignment wrapText="1"/>
    </xf>
    <xf numFmtId="165" fontId="2" fillId="0" borderId="0" xfId="4" applyNumberFormat="1" applyFont="1" applyAlignment="1">
      <alignment wrapText="1"/>
    </xf>
    <xf numFmtId="165" fontId="2" fillId="0" borderId="1" xfId="4" applyNumberFormat="1" applyBorder="1" applyAlignment="1">
      <alignment wrapText="1"/>
    </xf>
    <xf numFmtId="43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65" fontId="2" fillId="0" borderId="1" xfId="4" applyNumberFormat="1" applyFont="1" applyBorder="1" applyAlignment="1">
      <alignment wrapText="1"/>
    </xf>
    <xf numFmtId="0" fontId="0" fillId="0" borderId="0" xfId="0" applyNumberFormat="1" applyAlignment="1">
      <alignment wrapText="1"/>
    </xf>
    <xf numFmtId="37" fontId="0" fillId="0" borderId="0" xfId="0" applyNumberFormat="1" applyAlignment="1">
      <alignment wrapText="1"/>
    </xf>
    <xf numFmtId="0" fontId="18" fillId="0" borderId="10" xfId="0" applyFont="1" applyBorder="1" applyAlignment="1">
      <alignment wrapText="1"/>
    </xf>
    <xf numFmtId="37" fontId="18" fillId="0" borderId="10" xfId="0" applyNumberFormat="1" applyFont="1" applyBorder="1" applyAlignment="1">
      <alignment wrapText="1"/>
    </xf>
    <xf numFmtId="0" fontId="18" fillId="0" borderId="3" xfId="0" applyFont="1" applyBorder="1" applyAlignment="1">
      <alignment horizontal="center" wrapText="1"/>
    </xf>
    <xf numFmtId="0" fontId="18" fillId="0" borderId="3" xfId="0" quotePrefix="1" applyFont="1" applyBorder="1" applyAlignment="1">
      <alignment horizontal="center" wrapText="1"/>
    </xf>
    <xf numFmtId="0" fontId="18" fillId="0" borderId="3" xfId="0" applyFont="1" applyBorder="1" applyAlignment="1">
      <alignment horizontal="right" wrapText="1"/>
    </xf>
    <xf numFmtId="10" fontId="0" fillId="0" borderId="0" xfId="0" applyNumberFormat="1" applyBorder="1" applyProtection="1"/>
    <xf numFmtId="0" fontId="18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43" fontId="0" fillId="0" borderId="0" xfId="0" applyNumberFormat="1" applyAlignment="1" applyProtection="1">
      <alignment horizontal="fill"/>
    </xf>
    <xf numFmtId="0" fontId="18" fillId="0" borderId="3" xfId="0" quotePrefix="1" applyFont="1" applyBorder="1" applyAlignment="1" applyProtection="1">
      <alignment horizontal="center" wrapText="1"/>
    </xf>
    <xf numFmtId="0" fontId="19" fillId="0" borderId="0" xfId="0" applyFont="1" applyAlignment="1">
      <alignment wrapText="1"/>
    </xf>
    <xf numFmtId="0" fontId="18" fillId="0" borderId="13" xfId="0" applyFont="1" applyBorder="1" applyAlignment="1">
      <alignment wrapText="1"/>
    </xf>
    <xf numFmtId="0" fontId="0" fillId="0" borderId="13" xfId="0" applyBorder="1" applyAlignment="1">
      <alignment wrapText="1"/>
    </xf>
    <xf numFmtId="4" fontId="0" fillId="0" borderId="13" xfId="0" applyNumberFormat="1" applyBorder="1" applyProtection="1"/>
    <xf numFmtId="4" fontId="0" fillId="0" borderId="13" xfId="0" applyNumberFormat="1" applyBorder="1"/>
    <xf numFmtId="4" fontId="0" fillId="0" borderId="0" xfId="0" applyNumberFormat="1" applyProtection="1"/>
    <xf numFmtId="4" fontId="0" fillId="0" borderId="0" xfId="0" applyNumberFormat="1"/>
    <xf numFmtId="4" fontId="2" fillId="0" borderId="13" xfId="1" applyNumberFormat="1" applyBorder="1" applyProtection="1"/>
    <xf numFmtId="43" fontId="18" fillId="0" borderId="3" xfId="1" applyFont="1" applyFill="1" applyBorder="1" applyAlignment="1">
      <alignment horizontal="right" wrapText="1"/>
    </xf>
    <xf numFmtId="39" fontId="0" fillId="0" borderId="0" xfId="0" applyNumberFormat="1" applyAlignment="1">
      <alignment wrapText="1"/>
    </xf>
    <xf numFmtId="39" fontId="0" fillId="0" borderId="0" xfId="0" applyNumberFormat="1" applyAlignment="1">
      <alignment horizontal="right" wrapText="1"/>
    </xf>
    <xf numFmtId="43" fontId="2" fillId="0" borderId="0" xfId="1" applyAlignment="1">
      <alignment wrapText="1"/>
    </xf>
    <xf numFmtId="39" fontId="0" fillId="0" borderId="0" xfId="0" applyNumberFormat="1" applyBorder="1" applyAlignment="1">
      <alignment wrapText="1"/>
    </xf>
    <xf numFmtId="4" fontId="0" fillId="0" borderId="0" xfId="0" applyNumberFormat="1" applyAlignment="1">
      <alignment wrapText="1"/>
    </xf>
    <xf numFmtId="39" fontId="18" fillId="0" borderId="10" xfId="0" applyNumberFormat="1" applyFont="1" applyBorder="1" applyAlignment="1">
      <alignment wrapText="1"/>
    </xf>
    <xf numFmtId="4" fontId="0" fillId="0" borderId="0" xfId="0" applyNumberFormat="1" applyAlignment="1">
      <alignment horizontal="right"/>
    </xf>
    <xf numFmtId="43" fontId="2" fillId="0" borderId="12" xfId="1" applyBorder="1"/>
    <xf numFmtId="0" fontId="18" fillId="0" borderId="0" xfId="0" applyFont="1" applyProtection="1"/>
    <xf numFmtId="0" fontId="20" fillId="0" borderId="0" xfId="0" quotePrefix="1" applyFont="1" applyProtection="1">
      <protection locked="0"/>
    </xf>
    <xf numFmtId="0" fontId="4" fillId="0" borderId="0" xfId="0" quotePrefix="1" applyFont="1" applyAlignment="1" applyProtection="1">
      <alignment horizontal="left"/>
    </xf>
    <xf numFmtId="0" fontId="18" fillId="0" borderId="10" xfId="0" applyFont="1" applyBorder="1"/>
    <xf numFmtId="4" fontId="18" fillId="0" borderId="10" xfId="0" applyNumberFormat="1" applyFont="1" applyBorder="1"/>
    <xf numFmtId="181" fontId="0" fillId="0" borderId="0" xfId="0" applyNumberFormat="1" applyAlignment="1">
      <alignment wrapText="1"/>
    </xf>
    <xf numFmtId="181" fontId="0" fillId="0" borderId="0" xfId="0" applyNumberFormat="1" applyBorder="1" applyAlignment="1">
      <alignment wrapText="1"/>
    </xf>
    <xf numFmtId="181" fontId="18" fillId="0" borderId="10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4" fontId="0" fillId="0" borderId="1" xfId="0" applyNumberFormat="1" applyBorder="1" applyProtection="1"/>
    <xf numFmtId="4" fontId="0" fillId="0" borderId="1" xfId="0" applyNumberFormat="1" applyBorder="1"/>
    <xf numFmtId="37" fontId="4" fillId="0" borderId="0" xfId="0" applyNumberFormat="1" applyFont="1" applyProtection="1"/>
    <xf numFmtId="39" fontId="4" fillId="0" borderId="0" xfId="0" applyNumberFormat="1" applyFont="1"/>
    <xf numFmtId="37" fontId="4" fillId="0" borderId="8" xfId="0" applyNumberFormat="1" applyFont="1" applyBorder="1" applyProtection="1"/>
    <xf numFmtId="0" fontId="4" fillId="0" borderId="0" xfId="0" applyFont="1" applyBorder="1"/>
    <xf numFmtId="0" fontId="0" fillId="0" borderId="3" xfId="0" applyBorder="1" applyAlignment="1">
      <alignment horizontal="centerContinuous"/>
    </xf>
    <xf numFmtId="0" fontId="0" fillId="0" borderId="3" xfId="0" applyBorder="1"/>
    <xf numFmtId="8" fontId="4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Alignment="1">
      <alignment horizontal="center"/>
    </xf>
    <xf numFmtId="44" fontId="0" fillId="0" borderId="0" xfId="0" applyNumberFormat="1"/>
    <xf numFmtId="210" fontId="0" fillId="0" borderId="0" xfId="0" applyNumberFormat="1" applyProtection="1"/>
    <xf numFmtId="0" fontId="4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22" fillId="0" borderId="0" xfId="0" applyFont="1"/>
    <xf numFmtId="43" fontId="22" fillId="0" borderId="0" xfId="1" applyFont="1"/>
    <xf numFmtId="0" fontId="22" fillId="2" borderId="0" xfId="0" applyFont="1" applyFill="1" applyBorder="1" applyAlignment="1">
      <alignment horizontal="left"/>
    </xf>
    <xf numFmtId="0" fontId="22" fillId="3" borderId="0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0" fillId="2" borderId="0" xfId="0" applyFill="1" applyProtection="1"/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quotePrefix="1" applyFill="1" applyAlignment="1" applyProtection="1">
      <alignment horizontal="right"/>
    </xf>
    <xf numFmtId="0" fontId="0" fillId="2" borderId="1" xfId="0" quotePrefix="1" applyFill="1" applyBorder="1" applyAlignment="1" applyProtection="1">
      <alignment horizontal="right"/>
    </xf>
    <xf numFmtId="39" fontId="0" fillId="2" borderId="0" xfId="0" applyNumberFormat="1" applyFill="1" applyProtection="1"/>
    <xf numFmtId="44" fontId="0" fillId="2" borderId="2" xfId="0" applyNumberFormat="1" applyFill="1" applyBorder="1" applyProtection="1"/>
    <xf numFmtId="43" fontId="2" fillId="2" borderId="0" xfId="1" applyFill="1" applyProtection="1"/>
    <xf numFmtId="4" fontId="0" fillId="2" borderId="13" xfId="0" applyNumberFormat="1" applyFill="1" applyBorder="1" applyProtection="1"/>
    <xf numFmtId="4" fontId="0" fillId="2" borderId="0" xfId="0" applyNumberFormat="1" applyFill="1" applyProtection="1"/>
    <xf numFmtId="4" fontId="0" fillId="2" borderId="13" xfId="0" applyNumberFormat="1" applyFill="1" applyBorder="1"/>
    <xf numFmtId="4" fontId="0" fillId="2" borderId="1" xfId="0" applyNumberFormat="1" applyFill="1" applyBorder="1"/>
    <xf numFmtId="4" fontId="0" fillId="2" borderId="0" xfId="0" applyNumberFormat="1" applyFill="1"/>
    <xf numFmtId="4" fontId="18" fillId="2" borderId="10" xfId="0" applyNumberFormat="1" applyFont="1" applyFill="1" applyBorder="1"/>
    <xf numFmtId="39" fontId="21" fillId="0" borderId="0" xfId="3" applyNumberFormat="1" applyAlignment="1" applyProtection="1"/>
    <xf numFmtId="44" fontId="0" fillId="0" borderId="0" xfId="0" applyNumberFormat="1" applyAlignment="1" applyProtection="1">
      <alignment horizontal="left"/>
    </xf>
    <xf numFmtId="2" fontId="4" fillId="0" borderId="0" xfId="0" applyNumberFormat="1" applyFont="1"/>
    <xf numFmtId="39" fontId="18" fillId="0" borderId="0" xfId="0" applyNumberFormat="1" applyFont="1" applyProtection="1"/>
    <xf numFmtId="43" fontId="0" fillId="0" borderId="0" xfId="1" applyFont="1" applyFill="1" applyBorder="1"/>
    <xf numFmtId="0" fontId="22" fillId="4" borderId="0" xfId="0" applyFont="1" applyFill="1" applyBorder="1" applyAlignment="1">
      <alignment horizontal="left"/>
    </xf>
    <xf numFmtId="43" fontId="2" fillId="4" borderId="0" xfId="1" applyFill="1"/>
    <xf numFmtId="40" fontId="0" fillId="0" borderId="0" xfId="0" applyNumberFormat="1"/>
    <xf numFmtId="39" fontId="0" fillId="0" borderId="10" xfId="0" applyNumberFormat="1" applyBorder="1"/>
    <xf numFmtId="37" fontId="18" fillId="0" borderId="0" xfId="0" applyNumberFormat="1" applyFont="1" applyProtection="1"/>
    <xf numFmtId="8" fontId="18" fillId="0" borderId="0" xfId="0" applyNumberFormat="1" applyFont="1" applyProtection="1"/>
    <xf numFmtId="8" fontId="0" fillId="0" borderId="0" xfId="0" applyNumberFormat="1" applyProtection="1"/>
    <xf numFmtId="8" fontId="0" fillId="0" borderId="2" xfId="0" applyNumberFormat="1" applyBorder="1" applyProtection="1"/>
    <xf numFmtId="0" fontId="18" fillId="0" borderId="0" xfId="0" applyFont="1" applyAlignment="1" applyProtection="1"/>
    <xf numFmtId="0" fontId="4" fillId="5" borderId="0" xfId="0" applyFont="1" applyFill="1" applyAlignment="1" applyProtection="1">
      <alignment horizontal="right"/>
    </xf>
    <xf numFmtId="0" fontId="18" fillId="0" borderId="0" xfId="0" applyFont="1" applyAlignment="1" applyProtection="1">
      <alignment horizontal="right"/>
    </xf>
    <xf numFmtId="0" fontId="0" fillId="0" borderId="0" xfId="0" applyFill="1" applyProtection="1"/>
    <xf numFmtId="0" fontId="0" fillId="0" borderId="0" xfId="0" applyFill="1" applyAlignment="1" applyProtection="1">
      <alignment horizontal="centerContinuous"/>
    </xf>
    <xf numFmtId="39" fontId="0" fillId="0" borderId="0" xfId="0" applyNumberFormat="1" applyFill="1" applyProtection="1"/>
    <xf numFmtId="0" fontId="0" fillId="0" borderId="0" xfId="0" applyFill="1"/>
    <xf numFmtId="40" fontId="0" fillId="0" borderId="0" xfId="0" applyNumberFormat="1" applyProtection="1"/>
    <xf numFmtId="165" fontId="0" fillId="0" borderId="0" xfId="0" applyNumberFormat="1"/>
    <xf numFmtId="0" fontId="0" fillId="6" borderId="10" xfId="0" applyFill="1" applyBorder="1"/>
    <xf numFmtId="38" fontId="18" fillId="0" borderId="10" xfId="0" applyNumberFormat="1" applyFont="1" applyBorder="1"/>
    <xf numFmtId="0" fontId="0" fillId="0" borderId="0" xfId="0" applyAlignment="1">
      <alignment horizontal="center" wrapText="1"/>
    </xf>
    <xf numFmtId="40" fontId="18" fillId="0" borderId="0" xfId="0" applyNumberFormat="1" applyFont="1"/>
    <xf numFmtId="40" fontId="18" fillId="0" borderId="3" xfId="0" quotePrefix="1" applyNumberFormat="1" applyFont="1" applyBorder="1" applyAlignment="1" applyProtection="1">
      <alignment horizontal="center" wrapText="1"/>
    </xf>
    <xf numFmtId="165" fontId="18" fillId="0" borderId="3" xfId="4" applyNumberFormat="1" applyFont="1" applyBorder="1" applyAlignment="1">
      <alignment horizontal="center" wrapText="1"/>
    </xf>
    <xf numFmtId="40" fontId="0" fillId="0" borderId="14" xfId="0" applyNumberFormat="1" applyBorder="1"/>
    <xf numFmtId="165" fontId="0" fillId="0" borderId="14" xfId="0" applyNumberFormat="1" applyBorder="1"/>
    <xf numFmtId="40" fontId="2" fillId="0" borderId="10" xfId="1" applyNumberFormat="1" applyBorder="1"/>
    <xf numFmtId="40" fontId="2" fillId="0" borderId="12" xfId="1" applyNumberFormat="1" applyFont="1" applyBorder="1"/>
    <xf numFmtId="40" fontId="0" fillId="0" borderId="10" xfId="0" applyNumberFormat="1" applyBorder="1"/>
    <xf numFmtId="165" fontId="2" fillId="0" borderId="10" xfId="4" applyNumberFormat="1" applyFont="1" applyBorder="1"/>
    <xf numFmtId="165" fontId="4" fillId="0" borderId="10" xfId="4" applyNumberFormat="1" applyFont="1" applyBorder="1"/>
    <xf numFmtId="0" fontId="18" fillId="0" borderId="0" xfId="0" applyFont="1" applyAlignment="1">
      <alignment horizontal="right"/>
    </xf>
    <xf numFmtId="0" fontId="0" fillId="5" borderId="0" xfId="0" applyFill="1"/>
    <xf numFmtId="191" fontId="0" fillId="0" borderId="0" xfId="0" applyNumberFormat="1"/>
    <xf numFmtId="0" fontId="23" fillId="0" borderId="0" xfId="0" applyFont="1"/>
    <xf numFmtId="37" fontId="23" fillId="5" borderId="0" xfId="0" applyNumberFormat="1" applyFont="1" applyFill="1" applyAlignment="1" applyProtection="1">
      <alignment horizontal="right"/>
    </xf>
    <xf numFmtId="0" fontId="23" fillId="0" borderId="3" xfId="0" applyFont="1" applyBorder="1" applyAlignment="1" applyProtection="1">
      <alignment horizontal="right"/>
    </xf>
    <xf numFmtId="0" fontId="23" fillId="0" borderId="3" xfId="0" applyFont="1" applyBorder="1" applyAlignment="1" applyProtection="1">
      <alignment horizontal="center"/>
    </xf>
    <xf numFmtId="0" fontId="24" fillId="0" borderId="0" xfId="0" applyFont="1" applyAlignment="1">
      <alignment horizontal="right"/>
    </xf>
    <xf numFmtId="8" fontId="0" fillId="0" borderId="0" xfId="0" applyNumberFormat="1"/>
    <xf numFmtId="8" fontId="0" fillId="0" borderId="3" xfId="0" applyNumberFormat="1" applyBorder="1" applyProtection="1"/>
    <xf numFmtId="0" fontId="25" fillId="0" borderId="7" xfId="0" applyFont="1" applyBorder="1" applyAlignment="1">
      <alignment wrapText="1"/>
    </xf>
    <xf numFmtId="0" fontId="25" fillId="0" borderId="9" xfId="0" applyFont="1" applyBorder="1" applyAlignment="1">
      <alignment wrapText="1"/>
    </xf>
    <xf numFmtId="43" fontId="28" fillId="7" borderId="0" xfId="0" applyNumberFormat="1" applyFont="1" applyFill="1"/>
    <xf numFmtId="165" fontId="28" fillId="7" borderId="0" xfId="0" applyNumberFormat="1" applyFont="1" applyFill="1"/>
    <xf numFmtId="43" fontId="29" fillId="7" borderId="0" xfId="0" applyNumberFormat="1" applyFont="1" applyFill="1"/>
    <xf numFmtId="43" fontId="30" fillId="7" borderId="0" xfId="0" applyNumberFormat="1" applyFont="1" applyFill="1"/>
    <xf numFmtId="43" fontId="31" fillId="7" borderId="10" xfId="1" applyFont="1" applyFill="1" applyBorder="1"/>
    <xf numFmtId="181" fontId="31" fillId="7" borderId="10" xfId="1" applyNumberFormat="1" applyFont="1" applyFill="1" applyBorder="1"/>
    <xf numFmtId="43" fontId="32" fillId="7" borderId="10" xfId="1" applyFont="1" applyFill="1" applyBorder="1"/>
    <xf numFmtId="43" fontId="33" fillId="7" borderId="10" xfId="1" applyFont="1" applyFill="1" applyBorder="1"/>
    <xf numFmtId="0" fontId="25" fillId="7" borderId="0" xfId="0" applyFont="1" applyFill="1" applyAlignment="1">
      <alignment wrapText="1"/>
    </xf>
    <xf numFmtId="0" fontId="18" fillId="7" borderId="0" xfId="0" applyFont="1" applyFill="1" applyAlignment="1">
      <alignment wrapText="1"/>
    </xf>
    <xf numFmtId="43" fontId="0" fillId="8" borderId="0" xfId="0" applyNumberFormat="1" applyFill="1"/>
    <xf numFmtId="43" fontId="2" fillId="8" borderId="0" xfId="1" applyFill="1"/>
    <xf numFmtId="0" fontId="0" fillId="8" borderId="0" xfId="0" applyFill="1"/>
    <xf numFmtId="43" fontId="18" fillId="8" borderId="10" xfId="1" applyFont="1" applyFill="1" applyBorder="1"/>
    <xf numFmtId="39" fontId="18" fillId="4" borderId="0" xfId="0" applyNumberFormat="1" applyFont="1" applyFill="1"/>
    <xf numFmtId="39" fontId="18" fillId="8" borderId="10" xfId="0" applyNumberFormat="1" applyFont="1" applyFill="1" applyBorder="1"/>
    <xf numFmtId="211" fontId="34" fillId="7" borderId="0" xfId="0" applyNumberFormat="1" applyFont="1" applyFill="1" applyProtection="1"/>
    <xf numFmtId="165" fontId="34" fillId="7" borderId="0" xfId="0" applyNumberFormat="1" applyFont="1" applyFill="1" applyProtection="1"/>
    <xf numFmtId="211" fontId="35" fillId="7" borderId="0" xfId="0" applyNumberFormat="1" applyFont="1" applyFill="1" applyProtection="1"/>
    <xf numFmtId="211" fontId="36" fillId="7" borderId="0" xfId="0" applyNumberFormat="1" applyFont="1" applyFill="1" applyProtection="1"/>
    <xf numFmtId="10" fontId="0" fillId="0" borderId="15" xfId="0" applyNumberFormat="1" applyBorder="1"/>
    <xf numFmtId="0" fontId="4" fillId="0" borderId="13" xfId="0" applyFont="1" applyBorder="1"/>
    <xf numFmtId="181" fontId="0" fillId="2" borderId="13" xfId="0" applyNumberFormat="1" applyFill="1" applyBorder="1"/>
    <xf numFmtId="43" fontId="34" fillId="7" borderId="0" xfId="0" applyNumberFormat="1" applyFont="1" applyFill="1" applyProtection="1"/>
    <xf numFmtId="43" fontId="35" fillId="7" borderId="0" xfId="0" applyNumberFormat="1" applyFont="1" applyFill="1" applyProtection="1"/>
    <xf numFmtId="43" fontId="36" fillId="7" borderId="0" xfId="0" applyNumberFormat="1" applyFont="1" applyFill="1" applyProtection="1"/>
    <xf numFmtId="165" fontId="34" fillId="7" borderId="1" xfId="0" applyNumberFormat="1" applyFont="1" applyFill="1" applyBorder="1" applyProtection="1"/>
    <xf numFmtId="43" fontId="36" fillId="7" borderId="1" xfId="0" applyNumberFormat="1" applyFont="1" applyFill="1" applyBorder="1" applyProtection="1"/>
    <xf numFmtId="211" fontId="34" fillId="7" borderId="10" xfId="0" applyNumberFormat="1" applyFont="1" applyFill="1" applyBorder="1" applyProtection="1"/>
    <xf numFmtId="10" fontId="34" fillId="7" borderId="10" xfId="0" applyNumberFormat="1" applyFont="1" applyFill="1" applyBorder="1" applyProtection="1"/>
    <xf numFmtId="211" fontId="35" fillId="7" borderId="10" xfId="0" applyNumberFormat="1" applyFont="1" applyFill="1" applyBorder="1" applyProtection="1"/>
    <xf numFmtId="211" fontId="36" fillId="7" borderId="10" xfId="0" applyNumberFormat="1" applyFont="1" applyFill="1" applyBorder="1" applyProtection="1"/>
    <xf numFmtId="0" fontId="0" fillId="0" borderId="13" xfId="0" applyBorder="1" applyAlignment="1" applyProtection="1">
      <alignment horizontal="right"/>
    </xf>
    <xf numFmtId="0" fontId="4" fillId="0" borderId="0" xfId="0" applyFont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Fill="1" applyBorder="1" applyAlignment="1" applyProtection="1">
      <alignment horizontal="right"/>
    </xf>
    <xf numFmtId="4" fontId="4" fillId="0" borderId="0" xfId="0" applyNumberFormat="1" applyFont="1" applyBorder="1"/>
    <xf numFmtId="0" fontId="18" fillId="0" borderId="13" xfId="0" applyFont="1" applyBorder="1"/>
    <xf numFmtId="4" fontId="18" fillId="0" borderId="13" xfId="0" applyNumberFormat="1" applyFont="1" applyBorder="1"/>
    <xf numFmtId="4" fontId="18" fillId="2" borderId="13" xfId="0" applyNumberFormat="1" applyFont="1" applyFill="1" applyBorder="1"/>
    <xf numFmtId="40" fontId="0" fillId="2" borderId="0" xfId="0" applyNumberFormat="1" applyFill="1"/>
    <xf numFmtId="10" fontId="0" fillId="0" borderId="8" xfId="0" applyNumberFormat="1" applyBorder="1"/>
    <xf numFmtId="181" fontId="0" fillId="2" borderId="0" xfId="0" applyNumberFormat="1" applyFill="1"/>
    <xf numFmtId="0" fontId="0" fillId="0" borderId="13" xfId="0" applyBorder="1"/>
    <xf numFmtId="10" fontId="4" fillId="0" borderId="8" xfId="0" applyNumberFormat="1" applyFont="1" applyBorder="1"/>
    <xf numFmtId="10" fontId="0" fillId="0" borderId="13" xfId="0" applyNumberFormat="1" applyBorder="1" applyProtection="1"/>
    <xf numFmtId="191" fontId="0" fillId="0" borderId="13" xfId="0" applyNumberFormat="1" applyBorder="1" applyProtection="1"/>
    <xf numFmtId="165" fontId="2" fillId="0" borderId="0" xfId="4" applyNumberFormat="1" applyBorder="1" applyAlignment="1">
      <alignment wrapText="1"/>
    </xf>
    <xf numFmtId="165" fontId="2" fillId="0" borderId="0" xfId="4" applyNumberFormat="1" applyFont="1" applyBorder="1" applyAlignment="1">
      <alignment wrapText="1"/>
    </xf>
    <xf numFmtId="4" fontId="2" fillId="0" borderId="0" xfId="4" applyNumberFormat="1" applyAlignment="1">
      <alignment wrapText="1"/>
    </xf>
    <xf numFmtId="4" fontId="0" fillId="0" borderId="10" xfId="0" applyNumberFormat="1" applyBorder="1"/>
    <xf numFmtId="4" fontId="0" fillId="2" borderId="10" xfId="0" applyNumberFormat="1" applyFill="1" applyBorder="1"/>
    <xf numFmtId="0" fontId="2" fillId="0" borderId="0" xfId="1" applyNumberFormat="1" applyAlignment="1">
      <alignment wrapText="1"/>
    </xf>
    <xf numFmtId="0" fontId="2" fillId="0" borderId="0" xfId="1" applyNumberFormat="1" applyFont="1" applyAlignment="1">
      <alignment wrapText="1"/>
    </xf>
    <xf numFmtId="39" fontId="4" fillId="2" borderId="0" xfId="0" applyNumberFormat="1" applyFont="1" applyFill="1" applyProtection="1"/>
    <xf numFmtId="0" fontId="0" fillId="7" borderId="0" xfId="0" applyFill="1" applyAlignment="1" applyProtection="1">
      <alignment horizontal="right"/>
    </xf>
    <xf numFmtId="0" fontId="4" fillId="7" borderId="3" xfId="0" quotePrefix="1" applyFont="1" applyFill="1" applyBorder="1" applyAlignment="1" applyProtection="1">
      <alignment horizontal="right"/>
    </xf>
    <xf numFmtId="0" fontId="4" fillId="7" borderId="0" xfId="0" applyFont="1" applyFill="1" applyAlignment="1" applyProtection="1">
      <alignment horizontal="right"/>
    </xf>
    <xf numFmtId="39" fontId="4" fillId="7" borderId="0" xfId="0" applyNumberFormat="1" applyFont="1" applyFill="1" applyProtection="1"/>
    <xf numFmtId="39" fontId="0" fillId="7" borderId="1" xfId="0" applyNumberFormat="1" applyFill="1" applyBorder="1" applyProtection="1"/>
    <xf numFmtId="39" fontId="0" fillId="7" borderId="0" xfId="0" applyNumberFormat="1" applyFill="1" applyProtection="1"/>
    <xf numFmtId="39" fontId="0" fillId="7" borderId="2" xfId="0" applyNumberFormat="1" applyFill="1" applyBorder="1" applyProtection="1"/>
    <xf numFmtId="40" fontId="2" fillId="0" borderId="0" xfId="1" applyNumberFormat="1"/>
    <xf numFmtId="40" fontId="18" fillId="0" borderId="10" xfId="0" applyNumberFormat="1" applyFont="1" applyBorder="1"/>
    <xf numFmtId="165" fontId="19" fillId="0" borderId="0" xfId="4" applyNumberFormat="1" applyFont="1"/>
    <xf numFmtId="165" fontId="19" fillId="0" borderId="0" xfId="0" applyNumberFormat="1" applyFont="1"/>
    <xf numFmtId="43" fontId="2" fillId="0" borderId="9" xfId="1" applyBorder="1" applyProtection="1"/>
    <xf numFmtId="38" fontId="0" fillId="7" borderId="0" xfId="0" applyNumberFormat="1" applyFill="1" applyProtection="1">
      <protection locked="0"/>
    </xf>
    <xf numFmtId="165" fontId="0" fillId="0" borderId="0" xfId="0" applyNumberFormat="1" applyFill="1" applyProtection="1">
      <protection locked="0"/>
    </xf>
    <xf numFmtId="165" fontId="19" fillId="0" borderId="0" xfId="0" applyNumberFormat="1" applyFont="1" applyFill="1" applyProtection="1">
      <protection locked="0"/>
    </xf>
    <xf numFmtId="165" fontId="2" fillId="7" borderId="11" xfId="4" applyNumberFormat="1" applyFill="1" applyBorder="1" applyProtection="1">
      <protection locked="0"/>
    </xf>
    <xf numFmtId="165" fontId="2" fillId="7" borderId="0" xfId="4" applyNumberFormat="1" applyFont="1" applyFill="1" applyProtection="1">
      <protection locked="0"/>
    </xf>
    <xf numFmtId="165" fontId="2" fillId="7" borderId="0" xfId="4" applyNumberFormat="1" applyFill="1" applyBorder="1" applyProtection="1">
      <protection locked="0"/>
    </xf>
    <xf numFmtId="165" fontId="2" fillId="7" borderId="10" xfId="4" applyNumberFormat="1" applyFill="1" applyBorder="1" applyProtection="1">
      <protection locked="0"/>
    </xf>
    <xf numFmtId="165" fontId="2" fillId="7" borderId="0" xfId="4" applyNumberFormat="1" applyFill="1" applyProtection="1">
      <protection locked="0"/>
    </xf>
    <xf numFmtId="165" fontId="2" fillId="7" borderId="12" xfId="4" applyNumberFormat="1" applyFill="1" applyBorder="1" applyProtection="1">
      <protection locked="0"/>
    </xf>
    <xf numFmtId="165" fontId="2" fillId="7" borderId="0" xfId="4" applyNumberFormat="1" applyFont="1" applyFill="1" applyBorder="1" applyProtection="1">
      <protection locked="0"/>
    </xf>
    <xf numFmtId="165" fontId="2" fillId="7" borderId="10" xfId="4" applyNumberFormat="1" applyFont="1" applyFill="1" applyBorder="1" applyProtection="1">
      <protection locked="0"/>
    </xf>
    <xf numFmtId="165" fontId="4" fillId="0" borderId="0" xfId="0" applyNumberFormat="1" applyFont="1" applyFill="1" applyProtection="1">
      <protection locked="0"/>
    </xf>
    <xf numFmtId="44" fontId="18" fillId="0" borderId="0" xfId="0" applyNumberFormat="1" applyFont="1"/>
    <xf numFmtId="39" fontId="4" fillId="0" borderId="0" xfId="0" applyNumberFormat="1" applyFont="1" applyFill="1" applyProtection="1"/>
    <xf numFmtId="44" fontId="37" fillId="0" borderId="0" xfId="2" applyFont="1"/>
    <xf numFmtId="37" fontId="0" fillId="0" borderId="0" xfId="0" quotePrefix="1" applyNumberFormat="1" applyAlignment="1" applyProtection="1">
      <alignment horizontal="center"/>
    </xf>
    <xf numFmtId="17" fontId="0" fillId="0" borderId="1" xfId="0" quotePrefix="1" applyNumberFormat="1" applyBorder="1" applyAlignment="1" applyProtection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7" borderId="16" xfId="0" applyFont="1" applyFill="1" applyBorder="1" applyAlignment="1">
      <alignment horizontal="center"/>
    </xf>
    <xf numFmtId="0" fontId="18" fillId="7" borderId="17" xfId="0" applyFont="1" applyFill="1" applyBorder="1" applyAlignment="1">
      <alignment horizontal="center"/>
    </xf>
    <xf numFmtId="0" fontId="18" fillId="7" borderId="18" xfId="0" applyFont="1" applyFill="1" applyBorder="1" applyAlignment="1">
      <alignment horizontal="center"/>
    </xf>
    <xf numFmtId="0" fontId="18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18" fillId="0" borderId="0" xfId="0" quotePrefix="1" applyFont="1" applyAlignment="1">
      <alignment horizontal="center"/>
    </xf>
    <xf numFmtId="40" fontId="18" fillId="0" borderId="0" xfId="0" applyNumberFormat="1" applyFont="1" applyAlignment="1">
      <alignment horizont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cmahoney/LOCALS~1/Temp/FY%202003%20STAT%20Template%20M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"/>
      <sheetName val="zerortn"/>
      <sheetName val="s2"/>
      <sheetName val="s2a"/>
      <sheetName val="s3"/>
      <sheetName val="s3a"/>
      <sheetName val="s3b"/>
      <sheetName val="s3c"/>
      <sheetName val="s4"/>
      <sheetName val="s5"/>
      <sheetName val="s5a"/>
      <sheetName val="s6"/>
      <sheetName val="s7"/>
      <sheetName val="col"/>
      <sheetName val="dis"/>
      <sheetName val="Journal"/>
      <sheetName val="Macros"/>
    </sheetNames>
    <sheetDataSet>
      <sheetData sheetId="0">
        <row r="7">
          <cell r="A7" t="str">
            <v>EXCISE TAX COLLECTED IN APRIL 2002 FOR APRIL 2002 FUEL TRANSACTIONS</v>
          </cell>
        </row>
        <row r="104">
          <cell r="A104" t="str">
            <v>Column Total</v>
          </cell>
        </row>
        <row r="105">
          <cell r="A105" t="str">
            <v>Plus Gasohol</v>
          </cell>
        </row>
        <row r="106">
          <cell r="A106" t="str">
            <v>TOTAL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>
        <row r="52">
          <cell r="C52">
            <v>264634</v>
          </cell>
        </row>
      </sheetData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H855"/>
  <sheetViews>
    <sheetView topLeftCell="A94" workbookViewId="0"/>
  </sheetViews>
  <sheetFormatPr defaultRowHeight="12.75" x14ac:dyDescent="0.2"/>
  <cols>
    <col min="1" max="1" width="25.7109375" customWidth="1"/>
    <col min="2" max="2" width="14.7109375" customWidth="1"/>
    <col min="3" max="3" width="14" customWidth="1"/>
    <col min="4" max="4" width="16.85546875" customWidth="1"/>
    <col min="5" max="7" width="16.5703125" customWidth="1"/>
    <col min="8" max="9" width="16.7109375" customWidth="1"/>
    <col min="10" max="10" width="17" customWidth="1"/>
    <col min="11" max="11" width="10.28515625" hidden="1" customWidth="1"/>
    <col min="12" max="12" width="10.7109375" hidden="1" customWidth="1"/>
    <col min="13" max="13" width="13.42578125" hidden="1" customWidth="1"/>
    <col min="14" max="14" width="11.140625" hidden="1" customWidth="1"/>
    <col min="15" max="15" width="11.7109375" hidden="1" customWidth="1"/>
    <col min="16" max="16" width="10" hidden="1" customWidth="1"/>
    <col min="17" max="17" width="9.7109375" hidden="1" customWidth="1"/>
    <col min="18" max="18" width="12.5703125" hidden="1" customWidth="1"/>
    <col min="19" max="19" width="8.42578125" hidden="1" customWidth="1"/>
    <col min="20" max="20" width="11.140625" hidden="1" customWidth="1"/>
    <col min="21" max="21" width="9" hidden="1" customWidth="1"/>
    <col min="22" max="22" width="8.7109375" hidden="1" customWidth="1"/>
    <col min="23" max="23" width="9.7109375" hidden="1" customWidth="1"/>
    <col min="24" max="24" width="0" hidden="1" customWidth="1"/>
    <col min="25" max="25" width="9.7109375" hidden="1" customWidth="1"/>
    <col min="26" max="26" width="10.5703125" hidden="1" customWidth="1"/>
    <col min="27" max="27" width="10" hidden="1" customWidth="1"/>
    <col min="28" max="28" width="10.7109375" hidden="1" customWidth="1"/>
    <col min="29" max="29" width="11.7109375" hidden="1" customWidth="1"/>
    <col min="30" max="31" width="10.7109375" hidden="1" customWidth="1"/>
    <col min="32" max="35" width="9.28515625" hidden="1" customWidth="1"/>
    <col min="36" max="36" width="10.5703125" hidden="1" customWidth="1"/>
    <col min="37" max="39" width="9.28515625" hidden="1" customWidth="1"/>
    <col min="40" max="40" width="12.85546875" hidden="1" customWidth="1"/>
    <col min="41" max="41" width="17.42578125" hidden="1" customWidth="1"/>
    <col min="42" max="42" width="12.42578125" hidden="1" customWidth="1"/>
    <col min="43" max="46" width="9.28515625" hidden="1" customWidth="1"/>
    <col min="47" max="48" width="10.7109375" hidden="1" customWidth="1"/>
    <col min="49" max="49" width="14.28515625" hidden="1" customWidth="1"/>
    <col min="50" max="80" width="0" hidden="1" customWidth="1"/>
  </cols>
  <sheetData>
    <row r="1" spans="1:60" ht="15.75" x14ac:dyDescent="0.25">
      <c r="A1" s="63" t="s">
        <v>0</v>
      </c>
      <c r="B1" s="62"/>
      <c r="C1" s="62"/>
      <c r="E1" s="62"/>
      <c r="F1" s="62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N1" t="s">
        <v>1</v>
      </c>
      <c r="AO1" s="83" t="s">
        <v>710</v>
      </c>
      <c r="AP1" s="82"/>
    </row>
    <row r="2" spans="1:60" ht="15.75" x14ac:dyDescent="0.25">
      <c r="A2" s="113" t="str">
        <f>ReportMonth</f>
        <v>DECEMBER 2004</v>
      </c>
      <c r="D2" s="62"/>
      <c r="E2" s="62"/>
      <c r="F2" s="6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N2" t="s">
        <v>2</v>
      </c>
      <c r="AO2" s="83" t="s">
        <v>710</v>
      </c>
    </row>
    <row r="3" spans="1:60" ht="15" x14ac:dyDescent="0.2">
      <c r="A3" s="87" t="s">
        <v>3</v>
      </c>
      <c r="B3" s="87"/>
      <c r="C3" s="43"/>
      <c r="D3" s="87"/>
      <c r="E3" s="87"/>
      <c r="F3" s="87"/>
      <c r="G3" s="42"/>
      <c r="H3" s="42"/>
      <c r="I3" s="42"/>
      <c r="J3" s="4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O3" s="83"/>
    </row>
    <row r="4" spans="1:60" ht="15" x14ac:dyDescent="0.2">
      <c r="A4" s="87" t="s">
        <v>444</v>
      </c>
      <c r="B4" s="87"/>
      <c r="C4" s="43"/>
      <c r="D4" s="87"/>
      <c r="E4" s="87"/>
      <c r="F4" s="87"/>
      <c r="G4" s="42"/>
      <c r="H4" s="42"/>
      <c r="I4" s="42"/>
      <c r="J4" s="4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O4" s="83"/>
    </row>
    <row r="5" spans="1:60" ht="15" x14ac:dyDescent="0.2">
      <c r="A5" s="87" t="s">
        <v>4</v>
      </c>
      <c r="B5" s="43"/>
      <c r="C5" s="87"/>
      <c r="D5" s="87"/>
      <c r="E5" s="87"/>
      <c r="F5" s="87"/>
      <c r="G5" s="42"/>
      <c r="H5" s="42"/>
      <c r="I5" s="42"/>
      <c r="J5" s="42"/>
      <c r="K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7" spans="1:60" ht="20.25" x14ac:dyDescent="0.3">
      <c r="A7" s="114" t="str">
        <f>CONCATENATE("EXCISE TAX COLLECTED IN ",ReportMonth," FOR ",ActivityMonth," FUEL TRANSACTIONS")</f>
        <v>EXCISE TAX COLLECTED IN DECEMBER 2004 FOR DECEMBER 2004 FUEL TRANSACTIONS</v>
      </c>
      <c r="B7" s="43"/>
      <c r="C7" s="42"/>
      <c r="D7" s="42"/>
      <c r="E7" s="42"/>
      <c r="F7" s="42"/>
      <c r="G7" s="42"/>
      <c r="H7" s="42"/>
      <c r="I7" s="42"/>
      <c r="J7" s="42"/>
      <c r="K7" s="1"/>
      <c r="L7" s="116" t="s">
        <v>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60" ht="18" customHeight="1" x14ac:dyDescent="0.2"/>
    <row r="9" spans="1:60" x14ac:dyDescent="0.2">
      <c r="A9" s="1" t="s">
        <v>722</v>
      </c>
      <c r="B9" s="5" t="s">
        <v>6</v>
      </c>
      <c r="C9" s="5" t="s">
        <v>6</v>
      </c>
      <c r="D9" s="5" t="s">
        <v>7</v>
      </c>
      <c r="E9" s="5" t="s">
        <v>7</v>
      </c>
      <c r="F9" s="5" t="s">
        <v>7</v>
      </c>
      <c r="G9" s="5" t="s">
        <v>8</v>
      </c>
      <c r="H9" s="1"/>
      <c r="I9" s="5" t="s">
        <v>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60" x14ac:dyDescent="0.2">
      <c r="A10" s="1"/>
      <c r="B10" s="5" t="s">
        <v>5</v>
      </c>
      <c r="C10" s="5" t="s">
        <v>5</v>
      </c>
      <c r="D10" s="5" t="s">
        <v>9</v>
      </c>
      <c r="E10" s="5" t="s">
        <v>9</v>
      </c>
      <c r="F10" s="5" t="s">
        <v>8</v>
      </c>
      <c r="G10" s="5" t="s">
        <v>10</v>
      </c>
      <c r="H10" s="5" t="s">
        <v>8</v>
      </c>
      <c r="I10" s="5" t="s">
        <v>645</v>
      </c>
      <c r="J10" s="377" t="s">
        <v>11</v>
      </c>
      <c r="K10" s="1"/>
      <c r="L10" s="5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8" t="s">
        <v>12</v>
      </c>
      <c r="AE10" s="1"/>
      <c r="AF10" s="407" t="s">
        <v>654</v>
      </c>
      <c r="AG10" s="407"/>
      <c r="AH10" s="407"/>
      <c r="AI10" s="407"/>
      <c r="AJ10" s="407"/>
      <c r="AK10" s="407"/>
      <c r="AL10" s="407"/>
      <c r="AM10" s="407"/>
      <c r="AN10" s="407"/>
      <c r="AO10" s="407"/>
      <c r="AP10" s="407"/>
      <c r="AQ10" s="407"/>
      <c r="AR10" s="407"/>
      <c r="AS10" s="407"/>
      <c r="AT10" s="407"/>
      <c r="AU10" s="407"/>
      <c r="AV10" s="407"/>
    </row>
    <row r="11" spans="1:60" s="20" customFormat="1" ht="15" customHeight="1" thickBot="1" x14ac:dyDescent="0.25">
      <c r="A11" s="80" t="s">
        <v>13</v>
      </c>
      <c r="B11" s="79" t="s">
        <v>9</v>
      </c>
      <c r="C11" s="79" t="s">
        <v>14</v>
      </c>
      <c r="D11" s="79" t="s">
        <v>15</v>
      </c>
      <c r="E11" s="79" t="s">
        <v>16</v>
      </c>
      <c r="F11" s="79" t="s">
        <v>17</v>
      </c>
      <c r="G11" s="79" t="s">
        <v>18</v>
      </c>
      <c r="H11" s="79" t="s">
        <v>19</v>
      </c>
      <c r="I11" s="79">
        <v>8.5901999999999992E-3</v>
      </c>
      <c r="J11" s="378" t="s">
        <v>20</v>
      </c>
      <c r="K11" s="18"/>
      <c r="L11" s="80"/>
      <c r="M11" s="107" t="s">
        <v>21</v>
      </c>
      <c r="N11" s="107" t="s">
        <v>22</v>
      </c>
      <c r="O11" s="108" t="s">
        <v>23</v>
      </c>
      <c r="P11" s="107" t="s">
        <v>24</v>
      </c>
      <c r="Q11" s="108" t="s">
        <v>25</v>
      </c>
      <c r="R11" s="107" t="s">
        <v>26</v>
      </c>
      <c r="S11" s="107" t="s">
        <v>27</v>
      </c>
      <c r="T11" s="107" t="s">
        <v>28</v>
      </c>
      <c r="U11" s="107" t="s">
        <v>29</v>
      </c>
      <c r="V11" s="107" t="s">
        <v>30</v>
      </c>
      <c r="W11" s="108" t="s">
        <v>31</v>
      </c>
      <c r="X11" s="107" t="s">
        <v>32</v>
      </c>
      <c r="Y11" s="108" t="s">
        <v>33</v>
      </c>
      <c r="Z11" s="107" t="s">
        <v>34</v>
      </c>
      <c r="AA11" s="107" t="s">
        <v>35</v>
      </c>
      <c r="AB11" s="108" t="s">
        <v>36</v>
      </c>
      <c r="AC11" s="107" t="s">
        <v>37</v>
      </c>
      <c r="AD11" s="107" t="s">
        <v>5</v>
      </c>
      <c r="AE11" s="18"/>
      <c r="AF11" s="315" t="s">
        <v>21</v>
      </c>
      <c r="AG11" s="315" t="s">
        <v>22</v>
      </c>
      <c r="AH11" s="316" t="s">
        <v>23</v>
      </c>
      <c r="AI11" s="315" t="s">
        <v>24</v>
      </c>
      <c r="AJ11" s="316" t="s">
        <v>25</v>
      </c>
      <c r="AK11" s="315" t="s">
        <v>26</v>
      </c>
      <c r="AL11" s="315" t="s">
        <v>27</v>
      </c>
      <c r="AM11" s="315" t="s">
        <v>28</v>
      </c>
      <c r="AN11" s="315" t="s">
        <v>29</v>
      </c>
      <c r="AO11" s="315" t="s">
        <v>30</v>
      </c>
      <c r="AP11" s="316" t="s">
        <v>31</v>
      </c>
      <c r="AQ11" s="315" t="s">
        <v>32</v>
      </c>
      <c r="AR11" s="316" t="s">
        <v>33</v>
      </c>
      <c r="AS11" s="315" t="s">
        <v>34</v>
      </c>
      <c r="AT11" s="315" t="s">
        <v>35</v>
      </c>
      <c r="AU11" s="316" t="s">
        <v>36</v>
      </c>
      <c r="AV11" s="315" t="s">
        <v>37</v>
      </c>
      <c r="AW11" s="317" t="s">
        <v>655</v>
      </c>
      <c r="AX11" s="313"/>
      <c r="AY11" s="313"/>
      <c r="AZ11" s="313"/>
      <c r="BA11" s="313"/>
      <c r="BB11" s="313"/>
      <c r="BC11" s="313"/>
      <c r="BD11" s="313"/>
      <c r="BE11" s="313"/>
      <c r="BF11" s="313"/>
      <c r="BG11" s="313"/>
      <c r="BH11" s="313"/>
    </row>
    <row r="12" spans="1:60" s="20" customFormat="1" ht="15" customHeight="1" x14ac:dyDescent="0.2">
      <c r="A12" s="18"/>
      <c r="B12" s="19"/>
      <c r="C12" s="19"/>
      <c r="D12" s="19"/>
      <c r="E12" s="19"/>
      <c r="F12" s="19"/>
      <c r="G12" s="19"/>
      <c r="H12" s="19"/>
      <c r="I12" s="19"/>
      <c r="J12" s="379"/>
      <c r="K12" s="18"/>
      <c r="L12" s="18"/>
      <c r="M12" s="28"/>
      <c r="N12" s="28"/>
      <c r="O12" s="26"/>
      <c r="P12" s="28"/>
      <c r="Q12" s="26"/>
      <c r="R12" s="28"/>
      <c r="S12" s="28"/>
      <c r="T12" s="28"/>
      <c r="U12" s="28"/>
      <c r="V12" s="28"/>
      <c r="W12" s="26"/>
      <c r="X12" s="28"/>
      <c r="Y12" s="26"/>
      <c r="Z12" s="28"/>
      <c r="AA12" s="28"/>
      <c r="AB12" s="26"/>
      <c r="AC12" s="28"/>
      <c r="AD12" s="28"/>
      <c r="AE12" s="18"/>
      <c r="AF12">
        <v>8.8200000000000001E-2</v>
      </c>
      <c r="AG12">
        <v>8.8200000000000001E-2</v>
      </c>
      <c r="AH12">
        <v>8.8200000000000001E-2</v>
      </c>
      <c r="AI12">
        <v>3.9199999999999999E-2</v>
      </c>
      <c r="AJ12">
        <v>3.9199999999999999E-2</v>
      </c>
      <c r="AK12">
        <v>3.9199999999999999E-2</v>
      </c>
      <c r="AL12">
        <v>3.9199999999999999E-2</v>
      </c>
      <c r="AM12">
        <v>8.8200000000000001E-2</v>
      </c>
      <c r="AN12">
        <v>8.8200000000000001E-2</v>
      </c>
      <c r="AO12">
        <v>3.9199999999999999E-2</v>
      </c>
      <c r="AP12">
        <v>8.8200000000000001E-2</v>
      </c>
      <c r="AQ12">
        <v>8.8200000000000001E-2</v>
      </c>
      <c r="AR12">
        <v>3.9199999999999999E-2</v>
      </c>
      <c r="AS12">
        <v>8.8200000000000001E-2</v>
      </c>
      <c r="AT12">
        <v>3.9199999999999999E-2</v>
      </c>
      <c r="AU12">
        <v>8.8200000000000001E-2</v>
      </c>
      <c r="AV12">
        <v>8.8200000000000001E-2</v>
      </c>
      <c r="AW12" s="317" t="s">
        <v>656</v>
      </c>
    </row>
    <row r="13" spans="1:60" ht="12.75" customHeight="1" x14ac:dyDescent="0.2">
      <c r="A13" s="1" t="s">
        <v>717</v>
      </c>
      <c r="B13" s="7">
        <v>4646</v>
      </c>
      <c r="C13" s="7">
        <v>0</v>
      </c>
      <c r="D13" s="2">
        <f>(B13+C13)*0.124+0.01</f>
        <v>576.11</v>
      </c>
      <c r="E13" s="2">
        <f>(B13+C13)*0.049</f>
        <v>227.65</v>
      </c>
      <c r="F13" s="2">
        <f>(B13+C13)*0.0524</f>
        <v>243.45</v>
      </c>
      <c r="G13" s="2">
        <f>+AW13</f>
        <v>409.78</v>
      </c>
      <c r="H13" s="2">
        <f>(B13+C13)*0.0098</f>
        <v>45.53</v>
      </c>
      <c r="I13" s="2">
        <f>(AB13)*0.0084484</f>
        <v>0</v>
      </c>
      <c r="J13" s="380">
        <f>SUM(D13:I13)</f>
        <v>1502.52</v>
      </c>
      <c r="K13" s="1"/>
      <c r="L13" s="7"/>
      <c r="M13" s="7"/>
      <c r="N13" s="7"/>
      <c r="O13" s="7">
        <v>4646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>
        <f>SUM(L13:AC13)</f>
        <v>4646</v>
      </c>
      <c r="AE13" s="1"/>
      <c r="AF13" s="282">
        <f>+M13*$AF$12</f>
        <v>0</v>
      </c>
      <c r="AG13" s="282">
        <f>+N13*$AG$12</f>
        <v>0</v>
      </c>
      <c r="AH13" s="282">
        <f>+O13*$AH$12</f>
        <v>409.78</v>
      </c>
      <c r="AI13" s="282">
        <f>+P13*$AI$12</f>
        <v>0</v>
      </c>
      <c r="AJ13" s="282">
        <f>+Q13*$AJ$12</f>
        <v>0</v>
      </c>
      <c r="AK13" s="282">
        <f>+R13*$AK$12</f>
        <v>0</v>
      </c>
      <c r="AL13" s="282">
        <f>+S13*$AL$12</f>
        <v>0</v>
      </c>
      <c r="AM13" s="282">
        <f>+T13*$AM$12</f>
        <v>0</v>
      </c>
      <c r="AN13" s="282">
        <f>+U13*$AN$12</f>
        <v>0</v>
      </c>
      <c r="AO13" s="282">
        <f>+V13*$AO$12</f>
        <v>0</v>
      </c>
      <c r="AP13" s="282">
        <f>+W13*$AP$12</f>
        <v>0</v>
      </c>
      <c r="AQ13" s="282">
        <f>+X13*$AQ$12</f>
        <v>0</v>
      </c>
      <c r="AR13" s="282">
        <f>+Y13*$AR$12</f>
        <v>0</v>
      </c>
      <c r="AS13" s="282">
        <f>+Z13*$AS$12</f>
        <v>0</v>
      </c>
      <c r="AT13" s="282">
        <f>+AA13*$AT$12</f>
        <v>0</v>
      </c>
      <c r="AU13" s="282">
        <f>+AB13*$AU$12</f>
        <v>0</v>
      </c>
      <c r="AV13" s="282">
        <f>+AC13*$AV$12</f>
        <v>0</v>
      </c>
      <c r="AW13" s="318">
        <f>SUM(AF13:AV13)</f>
        <v>409.78</v>
      </c>
    </row>
    <row r="14" spans="1:60" ht="12.75" customHeight="1" x14ac:dyDescent="0.2">
      <c r="A14" s="1" t="s">
        <v>39</v>
      </c>
      <c r="B14" s="7">
        <v>347952</v>
      </c>
      <c r="C14" s="7">
        <v>0</v>
      </c>
      <c r="D14" s="2">
        <f t="shared" ref="D14:D86" si="0">(B14+C14)*0.124</f>
        <v>43146.05</v>
      </c>
      <c r="E14" s="2">
        <f t="shared" ref="E14:E22" si="1">(B14+C14)*0.049</f>
        <v>17049.650000000001</v>
      </c>
      <c r="F14" s="2">
        <f t="shared" ref="F14:F22" si="2">(B14+C14)*0.0524</f>
        <v>18232.68</v>
      </c>
      <c r="G14" s="2">
        <f t="shared" ref="G14:G81" si="3">+AW14</f>
        <v>18114.150000000001</v>
      </c>
      <c r="H14" s="2">
        <f t="shared" ref="H14:H88" si="4">(B14+C14)*0.0098</f>
        <v>3409.93</v>
      </c>
      <c r="I14" s="2">
        <f t="shared" ref="I14:I81" si="5">(AB14)*0.0084484</f>
        <v>0</v>
      </c>
      <c r="J14" s="380">
        <f t="shared" ref="J14:J80" si="6">SUM(D14:I14)</f>
        <v>99952.46</v>
      </c>
      <c r="K14" s="1"/>
      <c r="L14" s="7"/>
      <c r="M14" s="7"/>
      <c r="N14" s="7"/>
      <c r="O14" s="7"/>
      <c r="P14" s="7"/>
      <c r="Q14" s="7">
        <v>240676</v>
      </c>
      <c r="R14" s="7"/>
      <c r="S14" s="7">
        <v>15961</v>
      </c>
      <c r="T14" s="7">
        <v>14567</v>
      </c>
      <c r="U14" s="7">
        <v>68698</v>
      </c>
      <c r="V14" s="7"/>
      <c r="W14" s="7"/>
      <c r="X14" s="7"/>
      <c r="Y14" s="7"/>
      <c r="Z14" s="7"/>
      <c r="AA14" s="7"/>
      <c r="AB14" s="7"/>
      <c r="AC14" s="7">
        <v>8050</v>
      </c>
      <c r="AD14" s="7">
        <f t="shared" ref="AD14:AD28" si="7">SUM(L14:AC14)</f>
        <v>347952</v>
      </c>
      <c r="AE14" s="1"/>
      <c r="AF14" s="282">
        <f t="shared" ref="AF14:AF81" si="8">+M14*$AF$12</f>
        <v>0</v>
      </c>
      <c r="AG14" s="282">
        <f t="shared" ref="AG14:AG81" si="9">+N14*$AG$12</f>
        <v>0</v>
      </c>
      <c r="AH14" s="282">
        <f t="shared" ref="AH14:AH81" si="10">+O14*$AH$12</f>
        <v>0</v>
      </c>
      <c r="AI14" s="282">
        <f t="shared" ref="AI14:AI81" si="11">+P14*$AI$12</f>
        <v>0</v>
      </c>
      <c r="AJ14" s="282">
        <f t="shared" ref="AJ14:AJ81" si="12">+Q14*$AJ$12</f>
        <v>9434.5</v>
      </c>
      <c r="AK14" s="282">
        <f t="shared" ref="AK14:AK81" si="13">+R14*$AK$12</f>
        <v>0</v>
      </c>
      <c r="AL14" s="282">
        <f t="shared" ref="AL14:AL81" si="14">+S14*$AL$12</f>
        <v>625.66999999999996</v>
      </c>
      <c r="AM14" s="282">
        <f t="shared" ref="AM14:AM81" si="15">+T14*$AM$12</f>
        <v>1284.81</v>
      </c>
      <c r="AN14" s="282">
        <f t="shared" ref="AN14:AN81" si="16">+U14*$AN$12</f>
        <v>6059.16</v>
      </c>
      <c r="AO14" s="282">
        <f t="shared" ref="AO14:AO81" si="17">+V14*$AO$12</f>
        <v>0</v>
      </c>
      <c r="AP14" s="282">
        <f t="shared" ref="AP14:AP81" si="18">+W14*$AP$12</f>
        <v>0</v>
      </c>
      <c r="AQ14" s="282">
        <f t="shared" ref="AQ14:AQ81" si="19">+X14*$AQ$12</f>
        <v>0</v>
      </c>
      <c r="AR14" s="282">
        <f t="shared" ref="AR14:AR81" si="20">+Y14*$AR$12</f>
        <v>0</v>
      </c>
      <c r="AS14" s="282">
        <f t="shared" ref="AS14:AS81" si="21">+Z14*$AS$12</f>
        <v>0</v>
      </c>
      <c r="AT14" s="282">
        <f t="shared" ref="AT14:AT81" si="22">+AA14*$AT$12</f>
        <v>0</v>
      </c>
      <c r="AU14" s="282">
        <f t="shared" ref="AU14:AU81" si="23">+AB14*$AU$12</f>
        <v>0</v>
      </c>
      <c r="AV14" s="282">
        <f t="shared" ref="AV14:AV81" si="24">+AC14*$AV$12</f>
        <v>710.01</v>
      </c>
      <c r="AW14" s="318">
        <f t="shared" ref="AW14:AW81" si="25">SUM(AF14:AV14)</f>
        <v>18114.150000000001</v>
      </c>
    </row>
    <row r="15" spans="1:60" x14ac:dyDescent="0.2">
      <c r="A15" s="1" t="s">
        <v>350</v>
      </c>
      <c r="B15" s="7">
        <v>16652</v>
      </c>
      <c r="C15" s="7">
        <v>0</v>
      </c>
      <c r="D15" s="2">
        <f t="shared" si="0"/>
        <v>2064.85</v>
      </c>
      <c r="E15" s="2">
        <f t="shared" si="1"/>
        <v>815.95</v>
      </c>
      <c r="F15" s="2">
        <f t="shared" si="2"/>
        <v>872.56</v>
      </c>
      <c r="G15" s="2">
        <f t="shared" si="3"/>
        <v>1468.71</v>
      </c>
      <c r="H15" s="2">
        <f t="shared" si="4"/>
        <v>163.19</v>
      </c>
      <c r="I15" s="2">
        <f t="shared" si="5"/>
        <v>0</v>
      </c>
      <c r="J15" s="380">
        <f t="shared" si="6"/>
        <v>5385.26</v>
      </c>
      <c r="K15" s="1"/>
      <c r="L15" s="7"/>
      <c r="M15" s="7"/>
      <c r="N15" s="7"/>
      <c r="O15" s="7"/>
      <c r="P15" s="7"/>
      <c r="Q15" s="7"/>
      <c r="R15" s="7"/>
      <c r="S15" s="7"/>
      <c r="T15" s="7"/>
      <c r="U15" s="7">
        <v>16652</v>
      </c>
      <c r="V15" s="7"/>
      <c r="W15" s="7"/>
      <c r="X15" s="7"/>
      <c r="Y15" s="7"/>
      <c r="Z15" s="7"/>
      <c r="AA15" s="7"/>
      <c r="AB15" s="7"/>
      <c r="AC15" s="7"/>
      <c r="AD15" s="7">
        <f t="shared" si="7"/>
        <v>16652</v>
      </c>
      <c r="AE15" s="1"/>
      <c r="AF15" s="282">
        <f t="shared" si="8"/>
        <v>0</v>
      </c>
      <c r="AG15" s="282">
        <f t="shared" si="9"/>
        <v>0</v>
      </c>
      <c r="AH15" s="282">
        <f t="shared" si="10"/>
        <v>0</v>
      </c>
      <c r="AI15" s="282">
        <f t="shared" si="11"/>
        <v>0</v>
      </c>
      <c r="AJ15" s="282">
        <f t="shared" si="12"/>
        <v>0</v>
      </c>
      <c r="AK15" s="282">
        <f t="shared" si="13"/>
        <v>0</v>
      </c>
      <c r="AL15" s="282">
        <f t="shared" si="14"/>
        <v>0</v>
      </c>
      <c r="AM15" s="282">
        <f t="shared" si="15"/>
        <v>0</v>
      </c>
      <c r="AN15" s="282">
        <f t="shared" si="16"/>
        <v>1468.71</v>
      </c>
      <c r="AO15" s="282">
        <f t="shared" si="17"/>
        <v>0</v>
      </c>
      <c r="AP15" s="282">
        <f t="shared" si="18"/>
        <v>0</v>
      </c>
      <c r="AQ15" s="282">
        <f t="shared" si="19"/>
        <v>0</v>
      </c>
      <c r="AR15" s="282">
        <f t="shared" si="20"/>
        <v>0</v>
      </c>
      <c r="AS15" s="282">
        <f t="shared" si="21"/>
        <v>0</v>
      </c>
      <c r="AT15" s="282">
        <f t="shared" si="22"/>
        <v>0</v>
      </c>
      <c r="AU15" s="282">
        <f t="shared" si="23"/>
        <v>0</v>
      </c>
      <c r="AV15" s="282">
        <f t="shared" si="24"/>
        <v>0</v>
      </c>
      <c r="AW15" s="318">
        <f t="shared" si="25"/>
        <v>1468.71</v>
      </c>
    </row>
    <row r="16" spans="1:60" x14ac:dyDescent="0.2">
      <c r="A16" s="7" t="s">
        <v>40</v>
      </c>
      <c r="B16" s="7">
        <v>203</v>
      </c>
      <c r="C16" s="7">
        <v>0</v>
      </c>
      <c r="D16" s="2">
        <f t="shared" si="0"/>
        <v>25.17</v>
      </c>
      <c r="E16" s="2">
        <f t="shared" si="1"/>
        <v>9.9499999999999993</v>
      </c>
      <c r="F16" s="2">
        <f t="shared" si="2"/>
        <v>10.64</v>
      </c>
      <c r="G16" s="2">
        <f t="shared" si="3"/>
        <v>17.899999999999999</v>
      </c>
      <c r="H16" s="2">
        <f t="shared" si="4"/>
        <v>1.99</v>
      </c>
      <c r="I16" s="2">
        <f t="shared" si="5"/>
        <v>0</v>
      </c>
      <c r="J16" s="380">
        <f t="shared" si="6"/>
        <v>65.650000000000006</v>
      </c>
      <c r="K16" s="1"/>
      <c r="L16" s="7"/>
      <c r="M16" s="7"/>
      <c r="N16" s="7"/>
      <c r="O16" s="7">
        <v>203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>
        <f t="shared" si="7"/>
        <v>203</v>
      </c>
      <c r="AF16" s="282">
        <f t="shared" si="8"/>
        <v>0</v>
      </c>
      <c r="AG16" s="282">
        <f t="shared" si="9"/>
        <v>0</v>
      </c>
      <c r="AH16" s="282">
        <f t="shared" si="10"/>
        <v>17.899999999999999</v>
      </c>
      <c r="AI16" s="282">
        <f t="shared" si="11"/>
        <v>0</v>
      </c>
      <c r="AJ16" s="282">
        <f t="shared" si="12"/>
        <v>0</v>
      </c>
      <c r="AK16" s="282">
        <f t="shared" si="13"/>
        <v>0</v>
      </c>
      <c r="AL16" s="282">
        <f t="shared" si="14"/>
        <v>0</v>
      </c>
      <c r="AM16" s="282">
        <f t="shared" si="15"/>
        <v>0</v>
      </c>
      <c r="AN16" s="282">
        <f t="shared" si="16"/>
        <v>0</v>
      </c>
      <c r="AO16" s="282">
        <f t="shared" si="17"/>
        <v>0</v>
      </c>
      <c r="AP16" s="282">
        <f t="shared" si="18"/>
        <v>0</v>
      </c>
      <c r="AQ16" s="282">
        <f t="shared" si="19"/>
        <v>0</v>
      </c>
      <c r="AR16" s="282">
        <f t="shared" si="20"/>
        <v>0</v>
      </c>
      <c r="AS16" s="282">
        <f t="shared" si="21"/>
        <v>0</v>
      </c>
      <c r="AT16" s="282">
        <f t="shared" si="22"/>
        <v>0</v>
      </c>
      <c r="AU16" s="282">
        <f t="shared" si="23"/>
        <v>0</v>
      </c>
      <c r="AV16" s="282">
        <f t="shared" si="24"/>
        <v>0</v>
      </c>
      <c r="AW16" s="318">
        <f t="shared" si="25"/>
        <v>17.899999999999999</v>
      </c>
    </row>
    <row r="17" spans="1:49" x14ac:dyDescent="0.2">
      <c r="A17" s="18" t="s">
        <v>607</v>
      </c>
      <c r="B17" s="7">
        <v>5202</v>
      </c>
      <c r="C17" s="7">
        <v>0</v>
      </c>
      <c r="D17" s="2">
        <f t="shared" si="0"/>
        <v>645.04999999999995</v>
      </c>
      <c r="E17" s="2">
        <f>(B17+C17)*0.049</f>
        <v>254.9</v>
      </c>
      <c r="F17" s="2">
        <f>(B17+C17)*0.0524</f>
        <v>272.58</v>
      </c>
      <c r="G17" s="2">
        <f t="shared" si="3"/>
        <v>458.82</v>
      </c>
      <c r="H17" s="2">
        <f t="shared" si="4"/>
        <v>50.98</v>
      </c>
      <c r="I17" s="2">
        <f t="shared" si="5"/>
        <v>1.69</v>
      </c>
      <c r="J17" s="380">
        <f t="shared" si="6"/>
        <v>1684.02</v>
      </c>
      <c r="K17" s="1"/>
      <c r="L17" s="7"/>
      <c r="M17" s="7"/>
      <c r="N17" s="7"/>
      <c r="O17" s="7">
        <v>5002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>
        <v>200</v>
      </c>
      <c r="AC17" s="7"/>
      <c r="AD17" s="7">
        <f t="shared" si="7"/>
        <v>5202</v>
      </c>
      <c r="AF17" s="282">
        <f t="shared" si="8"/>
        <v>0</v>
      </c>
      <c r="AG17" s="282">
        <f t="shared" si="9"/>
        <v>0</v>
      </c>
      <c r="AH17" s="282">
        <f t="shared" si="10"/>
        <v>441.18</v>
      </c>
      <c r="AI17" s="282">
        <f t="shared" si="11"/>
        <v>0</v>
      </c>
      <c r="AJ17" s="282">
        <f t="shared" si="12"/>
        <v>0</v>
      </c>
      <c r="AK17" s="282">
        <f t="shared" si="13"/>
        <v>0</v>
      </c>
      <c r="AL17" s="282">
        <f t="shared" si="14"/>
        <v>0</v>
      </c>
      <c r="AM17" s="282">
        <f t="shared" si="15"/>
        <v>0</v>
      </c>
      <c r="AN17" s="282">
        <f t="shared" si="16"/>
        <v>0</v>
      </c>
      <c r="AO17" s="282">
        <f t="shared" si="17"/>
        <v>0</v>
      </c>
      <c r="AP17" s="282">
        <f t="shared" si="18"/>
        <v>0</v>
      </c>
      <c r="AQ17" s="282">
        <f t="shared" si="19"/>
        <v>0</v>
      </c>
      <c r="AR17" s="282">
        <f t="shared" si="20"/>
        <v>0</v>
      </c>
      <c r="AS17" s="282">
        <f t="shared" si="21"/>
        <v>0</v>
      </c>
      <c r="AT17" s="282">
        <f t="shared" si="22"/>
        <v>0</v>
      </c>
      <c r="AU17" s="282">
        <f t="shared" si="23"/>
        <v>17.64</v>
      </c>
      <c r="AV17" s="282">
        <f t="shared" si="24"/>
        <v>0</v>
      </c>
      <c r="AW17" s="318">
        <f t="shared" si="25"/>
        <v>458.82</v>
      </c>
    </row>
    <row r="18" spans="1:49" x14ac:dyDescent="0.2">
      <c r="A18" s="1" t="s">
        <v>487</v>
      </c>
      <c r="B18" s="7">
        <v>0</v>
      </c>
      <c r="C18" s="7">
        <v>197653</v>
      </c>
      <c r="D18" s="2">
        <f t="shared" si="0"/>
        <v>24508.97</v>
      </c>
      <c r="E18" s="2">
        <f t="shared" si="1"/>
        <v>9685</v>
      </c>
      <c r="F18" s="2">
        <f t="shared" si="2"/>
        <v>10357.02</v>
      </c>
      <c r="G18" s="2">
        <f t="shared" si="3"/>
        <v>17432.990000000002</v>
      </c>
      <c r="H18" s="2">
        <f t="shared" si="4"/>
        <v>1937</v>
      </c>
      <c r="I18" s="2">
        <f t="shared" si="5"/>
        <v>0</v>
      </c>
      <c r="J18" s="380">
        <f t="shared" si="6"/>
        <v>63920.98</v>
      </c>
      <c r="K18" s="1"/>
      <c r="L18" s="7"/>
      <c r="M18" s="7"/>
      <c r="N18" s="7"/>
      <c r="O18" s="7">
        <v>197653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>
        <f t="shared" si="7"/>
        <v>197653</v>
      </c>
      <c r="AE18" s="7"/>
      <c r="AF18" s="282">
        <f t="shared" si="8"/>
        <v>0</v>
      </c>
      <c r="AG18" s="282">
        <f t="shared" si="9"/>
        <v>0</v>
      </c>
      <c r="AH18" s="282">
        <f t="shared" si="10"/>
        <v>17432.990000000002</v>
      </c>
      <c r="AI18" s="282">
        <f t="shared" si="11"/>
        <v>0</v>
      </c>
      <c r="AJ18" s="282">
        <f t="shared" si="12"/>
        <v>0</v>
      </c>
      <c r="AK18" s="282">
        <f t="shared" si="13"/>
        <v>0</v>
      </c>
      <c r="AL18" s="282">
        <f t="shared" si="14"/>
        <v>0</v>
      </c>
      <c r="AM18" s="282">
        <f t="shared" si="15"/>
        <v>0</v>
      </c>
      <c r="AN18" s="282">
        <f t="shared" si="16"/>
        <v>0</v>
      </c>
      <c r="AO18" s="282">
        <f t="shared" si="17"/>
        <v>0</v>
      </c>
      <c r="AP18" s="282">
        <f t="shared" si="18"/>
        <v>0</v>
      </c>
      <c r="AQ18" s="282">
        <f t="shared" si="19"/>
        <v>0</v>
      </c>
      <c r="AR18" s="282">
        <f t="shared" si="20"/>
        <v>0</v>
      </c>
      <c r="AS18" s="282">
        <f t="shared" si="21"/>
        <v>0</v>
      </c>
      <c r="AT18" s="282">
        <f t="shared" si="22"/>
        <v>0</v>
      </c>
      <c r="AU18" s="282">
        <f t="shared" si="23"/>
        <v>0</v>
      </c>
      <c r="AV18" s="282">
        <f t="shared" si="24"/>
        <v>0</v>
      </c>
      <c r="AW18" s="318">
        <f t="shared" si="25"/>
        <v>17432.990000000002</v>
      </c>
    </row>
    <row r="19" spans="1:49" x14ac:dyDescent="0.2">
      <c r="A19" s="1" t="s">
        <v>718</v>
      </c>
      <c r="B19" s="7">
        <v>125643</v>
      </c>
      <c r="C19" s="7">
        <v>0</v>
      </c>
      <c r="D19" s="2">
        <f>(B19+C19)*0.124</f>
        <v>15579.73</v>
      </c>
      <c r="E19" s="2">
        <f>(B19+C19)*0.049</f>
        <v>6156.51</v>
      </c>
      <c r="F19" s="2">
        <f>(B19+C19)*0.0524</f>
        <v>6583.69</v>
      </c>
      <c r="G19" s="2">
        <f>+AW19</f>
        <v>11081.71</v>
      </c>
      <c r="H19" s="2">
        <f>(B19+C19)*0.0098</f>
        <v>1231.3</v>
      </c>
      <c r="I19" s="2">
        <f>(AB19)*0.0084484</f>
        <v>825.04</v>
      </c>
      <c r="J19" s="380">
        <f>SUM(D19:I19)</f>
        <v>41457.980000000003</v>
      </c>
      <c r="K19" s="1"/>
      <c r="L19" s="7"/>
      <c r="M19" s="7"/>
      <c r="N19" s="7"/>
      <c r="O19" s="7"/>
      <c r="P19" s="7"/>
      <c r="Q19" s="7"/>
      <c r="R19" s="7"/>
      <c r="S19" s="7"/>
      <c r="T19" s="7">
        <v>27987</v>
      </c>
      <c r="U19" s="7"/>
      <c r="V19" s="7"/>
      <c r="W19" s="7"/>
      <c r="X19" s="7"/>
      <c r="Y19" s="7"/>
      <c r="Z19" s="7"/>
      <c r="AA19" s="7"/>
      <c r="AB19" s="7">
        <v>97656</v>
      </c>
      <c r="AC19" s="7"/>
      <c r="AD19" s="7">
        <f>SUM(L19:AC19)</f>
        <v>125643</v>
      </c>
      <c r="AE19" s="7"/>
      <c r="AF19" s="282">
        <f>+M19*$AF$12</f>
        <v>0</v>
      </c>
      <c r="AG19" s="282">
        <f>+N19*$AG$12</f>
        <v>0</v>
      </c>
      <c r="AH19" s="282">
        <f>+O19*$AH$12</f>
        <v>0</v>
      </c>
      <c r="AI19" s="282">
        <f>+P19*$AI$12</f>
        <v>0</v>
      </c>
      <c r="AJ19" s="282">
        <f>+Q19*$AJ$12</f>
        <v>0</v>
      </c>
      <c r="AK19" s="282">
        <f>+R19*$AK$12</f>
        <v>0</v>
      </c>
      <c r="AL19" s="282">
        <f>+S19*$AL$12</f>
        <v>0</v>
      </c>
      <c r="AM19" s="282">
        <f>+T19*$AM$12</f>
        <v>2468.4499999999998</v>
      </c>
      <c r="AN19" s="282">
        <f>+U19*$AN$12</f>
        <v>0</v>
      </c>
      <c r="AO19" s="282">
        <f>+V19*$AO$12</f>
        <v>0</v>
      </c>
      <c r="AP19" s="282">
        <f>+W19*$AP$12</f>
        <v>0</v>
      </c>
      <c r="AQ19" s="282">
        <f>+X19*$AQ$12</f>
        <v>0</v>
      </c>
      <c r="AR19" s="282">
        <f>+Y19*$AR$12</f>
        <v>0</v>
      </c>
      <c r="AS19" s="282">
        <f>+Z19*$AS$12</f>
        <v>0</v>
      </c>
      <c r="AT19" s="282">
        <f>+AA19*$AT$12</f>
        <v>0</v>
      </c>
      <c r="AU19" s="282">
        <f>+AB19*$AU$12</f>
        <v>8613.26</v>
      </c>
      <c r="AV19" s="282">
        <f>+AC19*$AV$12</f>
        <v>0</v>
      </c>
      <c r="AW19" s="318">
        <f>SUM(AF19:AV19)</f>
        <v>11081.71</v>
      </c>
    </row>
    <row r="20" spans="1:49" x14ac:dyDescent="0.2">
      <c r="A20" s="1" t="s">
        <v>41</v>
      </c>
      <c r="B20" s="7">
        <v>5100</v>
      </c>
      <c r="C20" s="7">
        <v>0</v>
      </c>
      <c r="D20" s="2">
        <f t="shared" si="0"/>
        <v>632.4</v>
      </c>
      <c r="E20" s="2">
        <f t="shared" si="1"/>
        <v>249.9</v>
      </c>
      <c r="F20" s="2">
        <f t="shared" si="2"/>
        <v>267.24</v>
      </c>
      <c r="G20" s="2">
        <f t="shared" si="3"/>
        <v>449.82</v>
      </c>
      <c r="H20" s="2">
        <f t="shared" si="4"/>
        <v>49.98</v>
      </c>
      <c r="I20" s="2">
        <f t="shared" si="5"/>
        <v>0</v>
      </c>
      <c r="J20" s="380">
        <f t="shared" si="6"/>
        <v>1649.34</v>
      </c>
      <c r="K20" s="1"/>
      <c r="L20" s="7"/>
      <c r="M20" s="7"/>
      <c r="N20" s="7"/>
      <c r="O20" s="7"/>
      <c r="P20" s="7"/>
      <c r="Q20" s="7"/>
      <c r="R20" s="7"/>
      <c r="S20" s="7"/>
      <c r="T20" s="7"/>
      <c r="U20" s="7">
        <v>5100</v>
      </c>
      <c r="V20" s="7"/>
      <c r="W20" s="7"/>
      <c r="X20" s="7"/>
      <c r="Y20" s="7"/>
      <c r="Z20" s="7"/>
      <c r="AA20" s="7"/>
      <c r="AB20" s="7"/>
      <c r="AC20" s="7"/>
      <c r="AD20" s="7">
        <f t="shared" si="7"/>
        <v>5100</v>
      </c>
      <c r="AE20" s="7"/>
      <c r="AF20" s="282">
        <f t="shared" si="8"/>
        <v>0</v>
      </c>
      <c r="AG20" s="282">
        <f t="shared" si="9"/>
        <v>0</v>
      </c>
      <c r="AH20" s="282">
        <f t="shared" si="10"/>
        <v>0</v>
      </c>
      <c r="AI20" s="282">
        <f t="shared" si="11"/>
        <v>0</v>
      </c>
      <c r="AJ20" s="282">
        <f t="shared" si="12"/>
        <v>0</v>
      </c>
      <c r="AK20" s="282">
        <f t="shared" si="13"/>
        <v>0</v>
      </c>
      <c r="AL20" s="282">
        <f t="shared" si="14"/>
        <v>0</v>
      </c>
      <c r="AM20" s="282">
        <f t="shared" si="15"/>
        <v>0</v>
      </c>
      <c r="AN20" s="282">
        <f t="shared" si="16"/>
        <v>449.82</v>
      </c>
      <c r="AO20" s="282">
        <f t="shared" si="17"/>
        <v>0</v>
      </c>
      <c r="AP20" s="282">
        <f t="shared" si="18"/>
        <v>0</v>
      </c>
      <c r="AQ20" s="282">
        <f t="shared" si="19"/>
        <v>0</v>
      </c>
      <c r="AR20" s="282">
        <f t="shared" si="20"/>
        <v>0</v>
      </c>
      <c r="AS20" s="282">
        <f t="shared" si="21"/>
        <v>0</v>
      </c>
      <c r="AT20" s="282">
        <f t="shared" si="22"/>
        <v>0</v>
      </c>
      <c r="AU20" s="282">
        <f t="shared" si="23"/>
        <v>0</v>
      </c>
      <c r="AV20" s="282">
        <f t="shared" si="24"/>
        <v>0</v>
      </c>
      <c r="AW20" s="318">
        <f t="shared" si="25"/>
        <v>449.82</v>
      </c>
    </row>
    <row r="21" spans="1:49" x14ac:dyDescent="0.2">
      <c r="A21" s="1" t="s">
        <v>432</v>
      </c>
      <c r="B21" s="7">
        <v>1283371</v>
      </c>
      <c r="C21" s="7">
        <v>0</v>
      </c>
      <c r="D21" s="2">
        <f t="shared" si="0"/>
        <v>159138</v>
      </c>
      <c r="E21" s="2">
        <f t="shared" si="1"/>
        <v>62885.18</v>
      </c>
      <c r="F21" s="2">
        <f t="shared" si="2"/>
        <v>67248.639999999999</v>
      </c>
      <c r="G21" s="2">
        <f t="shared" si="3"/>
        <v>113193.33</v>
      </c>
      <c r="H21" s="2">
        <f t="shared" si="4"/>
        <v>12577.04</v>
      </c>
      <c r="I21" s="2">
        <f t="shared" si="5"/>
        <v>2629.63</v>
      </c>
      <c r="J21" s="380">
        <f t="shared" si="6"/>
        <v>417671.82</v>
      </c>
      <c r="K21" s="1"/>
      <c r="L21" s="7"/>
      <c r="M21" s="7"/>
      <c r="N21" s="7"/>
      <c r="O21" s="7">
        <v>972113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>
        <v>311258</v>
      </c>
      <c r="AC21" s="7"/>
      <c r="AD21" s="7">
        <f t="shared" si="7"/>
        <v>1283371</v>
      </c>
      <c r="AE21" s="1"/>
      <c r="AF21" s="282">
        <f t="shared" si="8"/>
        <v>0</v>
      </c>
      <c r="AG21" s="282">
        <f t="shared" si="9"/>
        <v>0</v>
      </c>
      <c r="AH21" s="282">
        <f t="shared" si="10"/>
        <v>85740.37</v>
      </c>
      <c r="AI21" s="282">
        <f t="shared" si="11"/>
        <v>0</v>
      </c>
      <c r="AJ21" s="282">
        <f t="shared" si="12"/>
        <v>0</v>
      </c>
      <c r="AK21" s="282">
        <f t="shared" si="13"/>
        <v>0</v>
      </c>
      <c r="AL21" s="282">
        <f t="shared" si="14"/>
        <v>0</v>
      </c>
      <c r="AM21" s="282">
        <f t="shared" si="15"/>
        <v>0</v>
      </c>
      <c r="AN21" s="282">
        <f t="shared" si="16"/>
        <v>0</v>
      </c>
      <c r="AO21" s="282">
        <f t="shared" si="17"/>
        <v>0</v>
      </c>
      <c r="AP21" s="282">
        <f t="shared" si="18"/>
        <v>0</v>
      </c>
      <c r="AQ21" s="282">
        <f t="shared" si="19"/>
        <v>0</v>
      </c>
      <c r="AR21" s="282">
        <f t="shared" si="20"/>
        <v>0</v>
      </c>
      <c r="AS21" s="282">
        <f t="shared" si="21"/>
        <v>0</v>
      </c>
      <c r="AT21" s="282">
        <f t="shared" si="22"/>
        <v>0</v>
      </c>
      <c r="AU21" s="282">
        <f t="shared" si="23"/>
        <v>27452.959999999999</v>
      </c>
      <c r="AV21" s="282">
        <f t="shared" si="24"/>
        <v>0</v>
      </c>
      <c r="AW21" s="318">
        <f t="shared" si="25"/>
        <v>113193.33</v>
      </c>
    </row>
    <row r="22" spans="1:49" x14ac:dyDescent="0.2">
      <c r="A22" s="1" t="s">
        <v>719</v>
      </c>
      <c r="B22" s="7">
        <v>24911</v>
      </c>
      <c r="C22" s="7">
        <v>0</v>
      </c>
      <c r="D22" s="2">
        <f>(B22+C22)*0.124</f>
        <v>3088.96</v>
      </c>
      <c r="E22" s="2">
        <f t="shared" si="1"/>
        <v>1220.6400000000001</v>
      </c>
      <c r="F22" s="2">
        <f t="shared" si="2"/>
        <v>1305.3399999999999</v>
      </c>
      <c r="G22" s="2">
        <f>+AW22</f>
        <v>2197.15</v>
      </c>
      <c r="H22" s="2">
        <f>(B22+C22)*0.0098</f>
        <v>244.13</v>
      </c>
      <c r="I22" s="2">
        <f>(AB22)*0.0084484</f>
        <v>0</v>
      </c>
      <c r="J22" s="380">
        <f>SUM(D22:I22)</f>
        <v>8056.22</v>
      </c>
      <c r="K22" s="1"/>
      <c r="L22" s="7"/>
      <c r="M22" s="7">
        <v>24911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>
        <f>SUM(L22:AC22)</f>
        <v>24911</v>
      </c>
      <c r="AE22" s="7"/>
      <c r="AF22" s="282">
        <f>+M22*$AF$12</f>
        <v>2197.15</v>
      </c>
      <c r="AG22" s="282">
        <f>+N22*$AG$12</f>
        <v>0</v>
      </c>
      <c r="AH22" s="282">
        <f>+O22*$AH$12</f>
        <v>0</v>
      </c>
      <c r="AI22" s="282">
        <f>+P22*$AI$12</f>
        <v>0</v>
      </c>
      <c r="AJ22" s="282">
        <f>+Q22*$AJ$12</f>
        <v>0</v>
      </c>
      <c r="AK22" s="282">
        <f>+R22*$AK$12</f>
        <v>0</v>
      </c>
      <c r="AL22" s="282">
        <f>+S22*$AL$12</f>
        <v>0</v>
      </c>
      <c r="AM22" s="282">
        <f>+T22*$AM$12</f>
        <v>0</v>
      </c>
      <c r="AN22" s="282">
        <f>+U22*$AN$12</f>
        <v>0</v>
      </c>
      <c r="AO22" s="282">
        <f>+V22*$AO$12</f>
        <v>0</v>
      </c>
      <c r="AP22" s="282">
        <f>+W22*$AP$12</f>
        <v>0</v>
      </c>
      <c r="AQ22" s="282">
        <f>+X22*$AQ$12</f>
        <v>0</v>
      </c>
      <c r="AR22" s="282">
        <f>+Y22*$AR$12</f>
        <v>0</v>
      </c>
      <c r="AS22" s="282">
        <f>+Z22*$AS$12</f>
        <v>0</v>
      </c>
      <c r="AT22" s="282">
        <f>+AA22*$AT$12</f>
        <v>0</v>
      </c>
      <c r="AU22" s="282">
        <f>+AB22*$AU$12</f>
        <v>0</v>
      </c>
      <c r="AV22" s="282">
        <f>+AC22*$AV$12</f>
        <v>0</v>
      </c>
      <c r="AW22" s="318">
        <f>SUM(AF22:AV22)</f>
        <v>2197.15</v>
      </c>
    </row>
    <row r="23" spans="1:49" x14ac:dyDescent="0.2">
      <c r="A23" s="1" t="s">
        <v>446</v>
      </c>
      <c r="B23" s="7">
        <v>350351</v>
      </c>
      <c r="C23" s="7">
        <v>0</v>
      </c>
      <c r="D23" s="2">
        <f>(B23+C23)*0.124+0.01</f>
        <v>43443.53</v>
      </c>
      <c r="E23" s="2">
        <f t="shared" ref="E23:E29" si="26">(B23+C23)*0.049</f>
        <v>17167.2</v>
      </c>
      <c r="F23" s="2">
        <f t="shared" ref="F23:F29" si="27">(B23+C23)*0.0524</f>
        <v>18358.39</v>
      </c>
      <c r="G23" s="2">
        <f t="shared" si="3"/>
        <v>28494.37</v>
      </c>
      <c r="H23" s="2">
        <f t="shared" si="4"/>
        <v>3433.44</v>
      </c>
      <c r="I23" s="2">
        <f t="shared" si="5"/>
        <v>0</v>
      </c>
      <c r="J23" s="380">
        <f t="shared" si="6"/>
        <v>110896.93</v>
      </c>
      <c r="K23" s="1"/>
      <c r="L23" s="7"/>
      <c r="M23" s="7"/>
      <c r="N23" s="7">
        <v>301237</v>
      </c>
      <c r="O23" s="7"/>
      <c r="P23" s="7">
        <v>49114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>
        <f t="shared" si="7"/>
        <v>350351</v>
      </c>
      <c r="AE23" s="7"/>
      <c r="AF23" s="282">
        <f t="shared" si="8"/>
        <v>0</v>
      </c>
      <c r="AG23" s="282">
        <f t="shared" si="9"/>
        <v>26569.1</v>
      </c>
      <c r="AH23" s="282">
        <f t="shared" si="10"/>
        <v>0</v>
      </c>
      <c r="AI23" s="282">
        <f t="shared" si="11"/>
        <v>1925.27</v>
      </c>
      <c r="AJ23" s="282">
        <f t="shared" si="12"/>
        <v>0</v>
      </c>
      <c r="AK23" s="282">
        <f t="shared" si="13"/>
        <v>0</v>
      </c>
      <c r="AL23" s="282">
        <f t="shared" si="14"/>
        <v>0</v>
      </c>
      <c r="AM23" s="282">
        <f t="shared" si="15"/>
        <v>0</v>
      </c>
      <c r="AN23" s="282">
        <f t="shared" si="16"/>
        <v>0</v>
      </c>
      <c r="AO23" s="282">
        <f t="shared" si="17"/>
        <v>0</v>
      </c>
      <c r="AP23" s="282">
        <f t="shared" si="18"/>
        <v>0</v>
      </c>
      <c r="AQ23" s="282">
        <f t="shared" si="19"/>
        <v>0</v>
      </c>
      <c r="AR23" s="282">
        <f t="shared" si="20"/>
        <v>0</v>
      </c>
      <c r="AS23" s="282">
        <f t="shared" si="21"/>
        <v>0</v>
      </c>
      <c r="AT23" s="282">
        <f t="shared" si="22"/>
        <v>0</v>
      </c>
      <c r="AU23" s="282">
        <f t="shared" si="23"/>
        <v>0</v>
      </c>
      <c r="AV23" s="282">
        <f t="shared" si="24"/>
        <v>0</v>
      </c>
      <c r="AW23" s="318">
        <f t="shared" si="25"/>
        <v>28494.37</v>
      </c>
    </row>
    <row r="24" spans="1:49" x14ac:dyDescent="0.2">
      <c r="A24" s="1" t="s">
        <v>447</v>
      </c>
      <c r="B24" s="7">
        <v>5149047</v>
      </c>
      <c r="C24" s="7">
        <v>3307240</v>
      </c>
      <c r="D24" s="2">
        <f>(B24+C24)*0.124</f>
        <v>1048579.5900000001</v>
      </c>
      <c r="E24" s="2">
        <f>(B24+C24)*0.049</f>
        <v>414358.06</v>
      </c>
      <c r="F24" s="2">
        <f>(B24+C24)*0.0524</f>
        <v>443109.44</v>
      </c>
      <c r="G24" s="2">
        <f t="shared" si="3"/>
        <v>699643.4</v>
      </c>
      <c r="H24" s="2">
        <f>(B24+C24)*0.0098</f>
        <v>82871.61</v>
      </c>
      <c r="I24" s="2">
        <f t="shared" si="5"/>
        <v>48667.31</v>
      </c>
      <c r="J24" s="380">
        <f t="shared" si="6"/>
        <v>2737229.41</v>
      </c>
      <c r="K24" s="1"/>
      <c r="L24" s="7"/>
      <c r="M24" s="7">
        <v>964103</v>
      </c>
      <c r="N24" s="7">
        <v>101456</v>
      </c>
      <c r="O24" s="7">
        <v>4458</v>
      </c>
      <c r="P24" s="7">
        <v>567362</v>
      </c>
      <c r="Q24" s="7">
        <v>311776</v>
      </c>
      <c r="R24" s="7"/>
      <c r="S24" s="7">
        <v>38332</v>
      </c>
      <c r="T24" s="7">
        <v>183272</v>
      </c>
      <c r="U24" s="7">
        <v>111352</v>
      </c>
      <c r="V24" s="7"/>
      <c r="W24" s="7">
        <v>241428</v>
      </c>
      <c r="X24" s="7">
        <v>25575</v>
      </c>
      <c r="Y24" s="7">
        <v>25410</v>
      </c>
      <c r="Z24" s="7">
        <v>76042</v>
      </c>
      <c r="AA24" s="7"/>
      <c r="AB24" s="7">
        <v>5760536</v>
      </c>
      <c r="AC24" s="7">
        <v>45185</v>
      </c>
      <c r="AD24" s="7">
        <f>SUM(L24:AC24)</f>
        <v>8456287</v>
      </c>
      <c r="AE24" s="7"/>
      <c r="AF24" s="282">
        <f t="shared" si="8"/>
        <v>85033.88</v>
      </c>
      <c r="AG24" s="282">
        <f t="shared" si="9"/>
        <v>8948.42</v>
      </c>
      <c r="AH24" s="282">
        <f t="shared" si="10"/>
        <v>393.2</v>
      </c>
      <c r="AI24" s="282">
        <f t="shared" si="11"/>
        <v>22240.59</v>
      </c>
      <c r="AJ24" s="282">
        <f t="shared" si="12"/>
        <v>12221.62</v>
      </c>
      <c r="AK24" s="282">
        <f t="shared" si="13"/>
        <v>0</v>
      </c>
      <c r="AL24" s="282">
        <f t="shared" si="14"/>
        <v>1502.61</v>
      </c>
      <c r="AM24" s="282">
        <f t="shared" si="15"/>
        <v>16164.59</v>
      </c>
      <c r="AN24" s="282">
        <f t="shared" si="16"/>
        <v>9821.25</v>
      </c>
      <c r="AO24" s="282">
        <f t="shared" si="17"/>
        <v>0</v>
      </c>
      <c r="AP24" s="282">
        <f t="shared" si="18"/>
        <v>21293.95</v>
      </c>
      <c r="AQ24" s="282">
        <f t="shared" si="19"/>
        <v>2255.7199999999998</v>
      </c>
      <c r="AR24" s="282">
        <f t="shared" si="20"/>
        <v>996.07</v>
      </c>
      <c r="AS24" s="282">
        <f t="shared" si="21"/>
        <v>6706.9</v>
      </c>
      <c r="AT24" s="282">
        <f t="shared" si="22"/>
        <v>0</v>
      </c>
      <c r="AU24" s="282">
        <f t="shared" si="23"/>
        <v>508079.28</v>
      </c>
      <c r="AV24" s="282">
        <f t="shared" si="24"/>
        <v>3985.32</v>
      </c>
      <c r="AW24" s="318">
        <f t="shared" si="25"/>
        <v>699643.4</v>
      </c>
    </row>
    <row r="25" spans="1:49" x14ac:dyDescent="0.2">
      <c r="A25" s="1" t="s">
        <v>368</v>
      </c>
      <c r="B25" s="7">
        <v>127116</v>
      </c>
      <c r="C25" s="7">
        <v>0</v>
      </c>
      <c r="D25" s="2">
        <f t="shared" si="0"/>
        <v>15762.38</v>
      </c>
      <c r="E25" s="2">
        <f t="shared" si="26"/>
        <v>6228.68</v>
      </c>
      <c r="F25" s="2">
        <f t="shared" si="27"/>
        <v>6660.88</v>
      </c>
      <c r="G25" s="2">
        <f t="shared" si="3"/>
        <v>11211.63</v>
      </c>
      <c r="H25" s="2">
        <f t="shared" si="4"/>
        <v>1245.74</v>
      </c>
      <c r="I25" s="2">
        <f t="shared" si="5"/>
        <v>0</v>
      </c>
      <c r="J25" s="380">
        <f t="shared" si="6"/>
        <v>41109.31</v>
      </c>
      <c r="K25" s="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>
        <v>127116</v>
      </c>
      <c r="X25" s="7"/>
      <c r="Y25" s="7"/>
      <c r="Z25" s="7"/>
      <c r="AA25" s="7"/>
      <c r="AB25" s="7"/>
      <c r="AC25" s="7"/>
      <c r="AD25" s="7">
        <f t="shared" si="7"/>
        <v>127116</v>
      </c>
      <c r="AE25" s="7"/>
      <c r="AF25" s="282">
        <f t="shared" si="8"/>
        <v>0</v>
      </c>
      <c r="AG25" s="282">
        <f t="shared" si="9"/>
        <v>0</v>
      </c>
      <c r="AH25" s="282">
        <f t="shared" si="10"/>
        <v>0</v>
      </c>
      <c r="AI25" s="282">
        <f t="shared" si="11"/>
        <v>0</v>
      </c>
      <c r="AJ25" s="282">
        <f t="shared" si="12"/>
        <v>0</v>
      </c>
      <c r="AK25" s="282">
        <f t="shared" si="13"/>
        <v>0</v>
      </c>
      <c r="AL25" s="282">
        <f t="shared" si="14"/>
        <v>0</v>
      </c>
      <c r="AM25" s="282">
        <f t="shared" si="15"/>
        <v>0</v>
      </c>
      <c r="AN25" s="282">
        <f t="shared" si="16"/>
        <v>0</v>
      </c>
      <c r="AO25" s="282">
        <f t="shared" si="17"/>
        <v>0</v>
      </c>
      <c r="AP25" s="282">
        <f t="shared" si="18"/>
        <v>11211.63</v>
      </c>
      <c r="AQ25" s="282">
        <f t="shared" si="19"/>
        <v>0</v>
      </c>
      <c r="AR25" s="282">
        <f t="shared" si="20"/>
        <v>0</v>
      </c>
      <c r="AS25" s="282">
        <f t="shared" si="21"/>
        <v>0</v>
      </c>
      <c r="AT25" s="282">
        <f t="shared" si="22"/>
        <v>0</v>
      </c>
      <c r="AU25" s="282">
        <f t="shared" si="23"/>
        <v>0</v>
      </c>
      <c r="AV25" s="282">
        <f t="shared" si="24"/>
        <v>0</v>
      </c>
      <c r="AW25" s="318">
        <f t="shared" si="25"/>
        <v>11211.63</v>
      </c>
    </row>
    <row r="26" spans="1:49" ht="12.75" customHeight="1" x14ac:dyDescent="0.2">
      <c r="A26" s="1" t="s">
        <v>755</v>
      </c>
      <c r="B26" s="7"/>
      <c r="C26" s="7"/>
      <c r="D26" s="2">
        <f>(B26+C26)*0.124+0.01</f>
        <v>0.01</v>
      </c>
      <c r="E26" s="2">
        <f>(B26+C26)*0.049</f>
        <v>0</v>
      </c>
      <c r="F26" s="2">
        <f>(B26+C26)*0.0524</f>
        <v>0</v>
      </c>
      <c r="G26" s="2">
        <f>+AW26</f>
        <v>0</v>
      </c>
      <c r="H26" s="2">
        <f>(B26+C26)*0.0098</f>
        <v>0</v>
      </c>
      <c r="I26" s="2">
        <f>(AB26)*0.0084484</f>
        <v>0</v>
      </c>
      <c r="J26" s="380">
        <f>SUM(D26:I26)</f>
        <v>0.01</v>
      </c>
      <c r="K26" s="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>
        <f>SUM(L26:AC26)</f>
        <v>0</v>
      </c>
      <c r="AE26" s="1"/>
      <c r="AF26" s="282">
        <f>+M26*$AF$12</f>
        <v>0</v>
      </c>
      <c r="AG26" s="282">
        <f>+N26*$AG$12</f>
        <v>0</v>
      </c>
      <c r="AH26" s="282">
        <f>+O26*$AH$12</f>
        <v>0</v>
      </c>
      <c r="AI26" s="282">
        <f>+P26*$AI$12</f>
        <v>0</v>
      </c>
      <c r="AJ26" s="282">
        <f>+Q26*$AJ$12</f>
        <v>0</v>
      </c>
      <c r="AK26" s="282">
        <f>+R26*$AK$12</f>
        <v>0</v>
      </c>
      <c r="AL26" s="282">
        <f>+S26*$AL$12</f>
        <v>0</v>
      </c>
      <c r="AM26" s="282">
        <f>+T26*$AM$12</f>
        <v>0</v>
      </c>
      <c r="AN26" s="282">
        <f>+U26*$AN$12</f>
        <v>0</v>
      </c>
      <c r="AO26" s="282">
        <f>+V26*$AO$12</f>
        <v>0</v>
      </c>
      <c r="AP26" s="282">
        <f>+W26*$AP$12</f>
        <v>0</v>
      </c>
      <c r="AQ26" s="282">
        <f>+X26*$AQ$12</f>
        <v>0</v>
      </c>
      <c r="AR26" s="282">
        <f>+Y26*$AR$12</f>
        <v>0</v>
      </c>
      <c r="AS26" s="282">
        <f>+Z26*$AS$12</f>
        <v>0</v>
      </c>
      <c r="AT26" s="282">
        <f>+AA26*$AT$12</f>
        <v>0</v>
      </c>
      <c r="AU26" s="282">
        <f>+AB26*$AU$12</f>
        <v>0</v>
      </c>
      <c r="AV26" s="282">
        <f>+AC26*$AV$12</f>
        <v>0</v>
      </c>
      <c r="AW26" s="318">
        <f>SUM(AF26:AV26)</f>
        <v>0</v>
      </c>
    </row>
    <row r="27" spans="1:49" x14ac:dyDescent="0.2">
      <c r="A27" s="1" t="s">
        <v>448</v>
      </c>
      <c r="B27" s="7">
        <v>1822017</v>
      </c>
      <c r="C27" s="7">
        <v>12350514</v>
      </c>
      <c r="D27" s="2">
        <f>(B27+C27)*0.124+0.01</f>
        <v>1757393.85</v>
      </c>
      <c r="E27" s="2">
        <f t="shared" si="26"/>
        <v>694454.02</v>
      </c>
      <c r="F27" s="2">
        <f t="shared" si="27"/>
        <v>742640.62</v>
      </c>
      <c r="G27" s="2">
        <f t="shared" si="3"/>
        <v>1215776.77</v>
      </c>
      <c r="H27" s="2">
        <f t="shared" si="4"/>
        <v>138890.79999999999</v>
      </c>
      <c r="I27" s="2">
        <f t="shared" si="5"/>
        <v>19792.830000000002</v>
      </c>
      <c r="J27" s="380">
        <f t="shared" si="6"/>
        <v>4568948.8899999997</v>
      </c>
      <c r="K27" s="1"/>
      <c r="L27" s="7"/>
      <c r="M27" s="7">
        <v>1119902</v>
      </c>
      <c r="N27" s="7"/>
      <c r="O27" s="7">
        <v>10011054</v>
      </c>
      <c r="P27" s="7">
        <v>698785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>
        <v>2342790</v>
      </c>
      <c r="AC27" s="7"/>
      <c r="AD27" s="7">
        <f t="shared" si="7"/>
        <v>14172531</v>
      </c>
      <c r="AE27" s="7"/>
      <c r="AF27" s="282">
        <f t="shared" si="8"/>
        <v>98775.360000000001</v>
      </c>
      <c r="AG27" s="282">
        <f t="shared" si="9"/>
        <v>0</v>
      </c>
      <c r="AH27" s="282">
        <f t="shared" si="10"/>
        <v>882974.96</v>
      </c>
      <c r="AI27" s="282">
        <f t="shared" si="11"/>
        <v>27392.37</v>
      </c>
      <c r="AJ27" s="282">
        <f t="shared" si="12"/>
        <v>0</v>
      </c>
      <c r="AK27" s="282">
        <f t="shared" si="13"/>
        <v>0</v>
      </c>
      <c r="AL27" s="282">
        <f t="shared" si="14"/>
        <v>0</v>
      </c>
      <c r="AM27" s="282">
        <f t="shared" si="15"/>
        <v>0</v>
      </c>
      <c r="AN27" s="282">
        <f t="shared" si="16"/>
        <v>0</v>
      </c>
      <c r="AO27" s="282">
        <f t="shared" si="17"/>
        <v>0</v>
      </c>
      <c r="AP27" s="282">
        <f t="shared" si="18"/>
        <v>0</v>
      </c>
      <c r="AQ27" s="282">
        <f t="shared" si="19"/>
        <v>0</v>
      </c>
      <c r="AR27" s="282">
        <f t="shared" si="20"/>
        <v>0</v>
      </c>
      <c r="AS27" s="282">
        <f t="shared" si="21"/>
        <v>0</v>
      </c>
      <c r="AT27" s="282">
        <f t="shared" si="22"/>
        <v>0</v>
      </c>
      <c r="AU27" s="282">
        <f t="shared" si="23"/>
        <v>206634.08</v>
      </c>
      <c r="AV27" s="282">
        <f t="shared" si="24"/>
        <v>0</v>
      </c>
      <c r="AW27" s="318">
        <f t="shared" si="25"/>
        <v>1215776.77</v>
      </c>
    </row>
    <row r="28" spans="1:49" x14ac:dyDescent="0.2">
      <c r="A28" s="1" t="s">
        <v>353</v>
      </c>
      <c r="B28" s="7">
        <v>6559</v>
      </c>
      <c r="C28" s="7">
        <v>1397719</v>
      </c>
      <c r="D28" s="2">
        <f t="shared" si="0"/>
        <v>174130.47</v>
      </c>
      <c r="E28" s="2">
        <f t="shared" si="26"/>
        <v>68809.62</v>
      </c>
      <c r="F28" s="2">
        <f t="shared" si="27"/>
        <v>73584.17</v>
      </c>
      <c r="G28" s="2">
        <f t="shared" si="3"/>
        <v>123857.32</v>
      </c>
      <c r="H28" s="2">
        <f>(B28+C28)*0.0098+0.01</f>
        <v>13761.93</v>
      </c>
      <c r="I28" s="2">
        <f t="shared" si="5"/>
        <v>0</v>
      </c>
      <c r="J28" s="380">
        <f t="shared" si="6"/>
        <v>454143.51</v>
      </c>
      <c r="K28" s="1"/>
      <c r="L28" s="7"/>
      <c r="M28" s="7"/>
      <c r="N28" s="7"/>
      <c r="O28" s="7">
        <v>1397719</v>
      </c>
      <c r="P28" s="7"/>
      <c r="Q28" s="7"/>
      <c r="R28" s="7"/>
      <c r="S28" s="7"/>
      <c r="T28" s="7"/>
      <c r="U28" s="7"/>
      <c r="V28" s="7"/>
      <c r="W28" s="7">
        <v>6559</v>
      </c>
      <c r="X28" s="7"/>
      <c r="Y28" s="7"/>
      <c r="Z28" s="7"/>
      <c r="AA28" s="7"/>
      <c r="AB28" s="7"/>
      <c r="AC28" s="7"/>
      <c r="AD28" s="7">
        <f t="shared" si="7"/>
        <v>1404278</v>
      </c>
      <c r="AE28" s="7"/>
      <c r="AF28" s="282">
        <f t="shared" si="8"/>
        <v>0</v>
      </c>
      <c r="AG28" s="282">
        <f t="shared" si="9"/>
        <v>0</v>
      </c>
      <c r="AH28" s="282">
        <f t="shared" si="10"/>
        <v>123278.82</v>
      </c>
      <c r="AI28" s="282">
        <f t="shared" si="11"/>
        <v>0</v>
      </c>
      <c r="AJ28" s="282">
        <f t="shared" si="12"/>
        <v>0</v>
      </c>
      <c r="AK28" s="282">
        <f t="shared" si="13"/>
        <v>0</v>
      </c>
      <c r="AL28" s="282">
        <f t="shared" si="14"/>
        <v>0</v>
      </c>
      <c r="AM28" s="282">
        <f t="shared" si="15"/>
        <v>0</v>
      </c>
      <c r="AN28" s="282">
        <f t="shared" si="16"/>
        <v>0</v>
      </c>
      <c r="AO28" s="282">
        <f t="shared" si="17"/>
        <v>0</v>
      </c>
      <c r="AP28" s="282">
        <f t="shared" si="18"/>
        <v>578.5</v>
      </c>
      <c r="AQ28" s="282">
        <f t="shared" si="19"/>
        <v>0</v>
      </c>
      <c r="AR28" s="282">
        <f t="shared" si="20"/>
        <v>0</v>
      </c>
      <c r="AS28" s="282">
        <f t="shared" si="21"/>
        <v>0</v>
      </c>
      <c r="AT28" s="282">
        <f t="shared" si="22"/>
        <v>0</v>
      </c>
      <c r="AU28" s="282">
        <f t="shared" si="23"/>
        <v>0</v>
      </c>
      <c r="AV28" s="282">
        <f t="shared" si="24"/>
        <v>0</v>
      </c>
      <c r="AW28" s="318">
        <f t="shared" si="25"/>
        <v>123857.32</v>
      </c>
    </row>
    <row r="29" spans="1:49" s="20" customFormat="1" x14ac:dyDescent="0.2">
      <c r="A29" s="18" t="s">
        <v>488</v>
      </c>
      <c r="B29" s="242">
        <v>46675</v>
      </c>
      <c r="C29" s="242">
        <v>0</v>
      </c>
      <c r="D29" s="2">
        <f t="shared" si="0"/>
        <v>5787.7</v>
      </c>
      <c r="E29" s="78">
        <f t="shared" si="26"/>
        <v>2287.08</v>
      </c>
      <c r="F29" s="78">
        <f t="shared" si="27"/>
        <v>2445.77</v>
      </c>
      <c r="G29" s="2">
        <f t="shared" si="3"/>
        <v>1829.66</v>
      </c>
      <c r="H29" s="2">
        <f t="shared" si="4"/>
        <v>457.42</v>
      </c>
      <c r="I29" s="2">
        <f t="shared" si="5"/>
        <v>0</v>
      </c>
      <c r="J29" s="380">
        <f t="shared" si="6"/>
        <v>12807.63</v>
      </c>
      <c r="K29" s="18"/>
      <c r="L29" s="242"/>
      <c r="M29" s="242"/>
      <c r="N29" s="242"/>
      <c r="O29" s="242"/>
      <c r="P29" s="242"/>
      <c r="Q29" s="242">
        <v>46675</v>
      </c>
      <c r="R29" s="242"/>
      <c r="S29" s="242"/>
      <c r="T29" s="242"/>
      <c r="U29" s="242"/>
      <c r="V29" s="242"/>
      <c r="W29" s="242"/>
      <c r="X29" s="242"/>
      <c r="Y29" s="242"/>
      <c r="Z29" s="242"/>
      <c r="AA29" s="242"/>
      <c r="AB29" s="242"/>
      <c r="AC29" s="242"/>
      <c r="AD29" s="242">
        <f>SUM(L29:AC29)</f>
        <v>46675</v>
      </c>
      <c r="AE29" s="242"/>
      <c r="AF29" s="282">
        <f t="shared" si="8"/>
        <v>0</v>
      </c>
      <c r="AG29" s="282">
        <f t="shared" si="9"/>
        <v>0</v>
      </c>
      <c r="AH29" s="282">
        <f t="shared" si="10"/>
        <v>0</v>
      </c>
      <c r="AI29" s="282">
        <f t="shared" si="11"/>
        <v>0</v>
      </c>
      <c r="AJ29" s="282">
        <f t="shared" si="12"/>
        <v>1829.66</v>
      </c>
      <c r="AK29" s="282">
        <f t="shared" si="13"/>
        <v>0</v>
      </c>
      <c r="AL29" s="282">
        <f t="shared" si="14"/>
        <v>0</v>
      </c>
      <c r="AM29" s="282">
        <f t="shared" si="15"/>
        <v>0</v>
      </c>
      <c r="AN29" s="282">
        <f t="shared" si="16"/>
        <v>0</v>
      </c>
      <c r="AO29" s="282">
        <f t="shared" si="17"/>
        <v>0</v>
      </c>
      <c r="AP29" s="282">
        <f t="shared" si="18"/>
        <v>0</v>
      </c>
      <c r="AQ29" s="282">
        <f t="shared" si="19"/>
        <v>0</v>
      </c>
      <c r="AR29" s="282">
        <f t="shared" si="20"/>
        <v>0</v>
      </c>
      <c r="AS29" s="282">
        <f t="shared" si="21"/>
        <v>0</v>
      </c>
      <c r="AT29" s="282">
        <f t="shared" si="22"/>
        <v>0</v>
      </c>
      <c r="AU29" s="282">
        <f t="shared" si="23"/>
        <v>0</v>
      </c>
      <c r="AV29" s="282">
        <f t="shared" si="24"/>
        <v>0</v>
      </c>
      <c r="AW29" s="318">
        <f t="shared" si="25"/>
        <v>1829.66</v>
      </c>
    </row>
    <row r="30" spans="1:49" s="20" customFormat="1" x14ac:dyDescent="0.2">
      <c r="A30" s="1" t="s">
        <v>301</v>
      </c>
      <c r="B30" s="242">
        <v>0</v>
      </c>
      <c r="C30" s="242">
        <v>107719</v>
      </c>
      <c r="D30" s="2">
        <f>(B30+C30)*0.124-0.01</f>
        <v>13357.15</v>
      </c>
      <c r="E30" s="78">
        <f t="shared" ref="E30:E35" si="28">(B30+C30)*0.049</f>
        <v>5278.23</v>
      </c>
      <c r="F30" s="78">
        <f t="shared" ref="F30:F35" si="29">(B30+C30)*0.0524</f>
        <v>5644.48</v>
      </c>
      <c r="G30" s="2">
        <f t="shared" si="3"/>
        <v>9500.82</v>
      </c>
      <c r="H30" s="2">
        <f t="shared" si="4"/>
        <v>1055.6500000000001</v>
      </c>
      <c r="I30" s="2">
        <f t="shared" si="5"/>
        <v>0</v>
      </c>
      <c r="J30" s="380">
        <f t="shared" si="6"/>
        <v>34836.33</v>
      </c>
      <c r="K30" s="18"/>
      <c r="L30" s="242"/>
      <c r="M30" s="242"/>
      <c r="N30" s="242"/>
      <c r="O30" s="242">
        <v>107719</v>
      </c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2"/>
      <c r="AD30" s="242">
        <f t="shared" ref="AD30:AD35" si="30">SUM(L30:AC30)</f>
        <v>107719</v>
      </c>
      <c r="AE30" s="242"/>
      <c r="AF30" s="282">
        <f t="shared" si="8"/>
        <v>0</v>
      </c>
      <c r="AG30" s="282">
        <f t="shared" si="9"/>
        <v>0</v>
      </c>
      <c r="AH30" s="282">
        <f t="shared" si="10"/>
        <v>9500.82</v>
      </c>
      <c r="AI30" s="282">
        <f t="shared" si="11"/>
        <v>0</v>
      </c>
      <c r="AJ30" s="282">
        <f t="shared" si="12"/>
        <v>0</v>
      </c>
      <c r="AK30" s="282">
        <f t="shared" si="13"/>
        <v>0</v>
      </c>
      <c r="AL30" s="282">
        <f t="shared" si="14"/>
        <v>0</v>
      </c>
      <c r="AM30" s="282">
        <f t="shared" si="15"/>
        <v>0</v>
      </c>
      <c r="AN30" s="282">
        <f t="shared" si="16"/>
        <v>0</v>
      </c>
      <c r="AO30" s="282">
        <f t="shared" si="17"/>
        <v>0</v>
      </c>
      <c r="AP30" s="282">
        <f t="shared" si="18"/>
        <v>0</v>
      </c>
      <c r="AQ30" s="282">
        <f t="shared" si="19"/>
        <v>0</v>
      </c>
      <c r="AR30" s="282">
        <f t="shared" si="20"/>
        <v>0</v>
      </c>
      <c r="AS30" s="282">
        <f t="shared" si="21"/>
        <v>0</v>
      </c>
      <c r="AT30" s="282">
        <f t="shared" si="22"/>
        <v>0</v>
      </c>
      <c r="AU30" s="282">
        <f t="shared" si="23"/>
        <v>0</v>
      </c>
      <c r="AV30" s="282">
        <f t="shared" si="24"/>
        <v>0</v>
      </c>
      <c r="AW30" s="318">
        <f t="shared" si="25"/>
        <v>9500.82</v>
      </c>
    </row>
    <row r="31" spans="1:49" x14ac:dyDescent="0.2">
      <c r="A31" s="18" t="s">
        <v>632</v>
      </c>
      <c r="B31" s="7">
        <v>411</v>
      </c>
      <c r="C31" s="7">
        <v>0</v>
      </c>
      <c r="D31" s="2">
        <f t="shared" si="0"/>
        <v>50.96</v>
      </c>
      <c r="E31" s="2">
        <f>(B31+C31)*0.049</f>
        <v>20.14</v>
      </c>
      <c r="F31" s="2">
        <f>(B31+C31)*0.0524</f>
        <v>21.54</v>
      </c>
      <c r="G31" s="2">
        <f t="shared" si="3"/>
        <v>16.11</v>
      </c>
      <c r="H31" s="2">
        <f t="shared" si="4"/>
        <v>4.03</v>
      </c>
      <c r="I31" s="2">
        <f t="shared" si="5"/>
        <v>0</v>
      </c>
      <c r="J31" s="380">
        <f t="shared" si="6"/>
        <v>112.78</v>
      </c>
      <c r="K31" s="1"/>
      <c r="L31" s="7"/>
      <c r="M31" s="7"/>
      <c r="N31" s="7"/>
      <c r="O31" s="7"/>
      <c r="P31" s="7"/>
      <c r="Q31" s="7">
        <v>411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>
        <f t="shared" si="30"/>
        <v>411</v>
      </c>
      <c r="AF31" s="282">
        <f t="shared" si="8"/>
        <v>0</v>
      </c>
      <c r="AG31" s="282">
        <f t="shared" si="9"/>
        <v>0</v>
      </c>
      <c r="AH31" s="282">
        <f t="shared" si="10"/>
        <v>0</v>
      </c>
      <c r="AI31" s="282">
        <f t="shared" si="11"/>
        <v>0</v>
      </c>
      <c r="AJ31" s="282">
        <f t="shared" si="12"/>
        <v>16.11</v>
      </c>
      <c r="AK31" s="282">
        <f t="shared" si="13"/>
        <v>0</v>
      </c>
      <c r="AL31" s="282">
        <f t="shared" si="14"/>
        <v>0</v>
      </c>
      <c r="AM31" s="282">
        <f t="shared" si="15"/>
        <v>0</v>
      </c>
      <c r="AN31" s="282">
        <f t="shared" si="16"/>
        <v>0</v>
      </c>
      <c r="AO31" s="282">
        <f t="shared" si="17"/>
        <v>0</v>
      </c>
      <c r="AP31" s="282">
        <f t="shared" si="18"/>
        <v>0</v>
      </c>
      <c r="AQ31" s="282">
        <f t="shared" si="19"/>
        <v>0</v>
      </c>
      <c r="AR31" s="282">
        <f t="shared" si="20"/>
        <v>0</v>
      </c>
      <c r="AS31" s="282">
        <f t="shared" si="21"/>
        <v>0</v>
      </c>
      <c r="AT31" s="282">
        <f t="shared" si="22"/>
        <v>0</v>
      </c>
      <c r="AU31" s="282">
        <f t="shared" si="23"/>
        <v>0</v>
      </c>
      <c r="AV31" s="282">
        <f t="shared" si="24"/>
        <v>0</v>
      </c>
      <c r="AW31" s="318">
        <f t="shared" si="25"/>
        <v>16.11</v>
      </c>
    </row>
    <row r="32" spans="1:49" x14ac:dyDescent="0.2">
      <c r="A32" s="1" t="s">
        <v>42</v>
      </c>
      <c r="B32" s="7">
        <v>524283</v>
      </c>
      <c r="C32" s="7">
        <v>0</v>
      </c>
      <c r="D32" s="2">
        <f t="shared" si="0"/>
        <v>65011.09</v>
      </c>
      <c r="E32" s="2">
        <f t="shared" si="28"/>
        <v>25689.87</v>
      </c>
      <c r="F32" s="2">
        <f t="shared" si="29"/>
        <v>27472.43</v>
      </c>
      <c r="G32" s="2">
        <f t="shared" si="3"/>
        <v>41449.51</v>
      </c>
      <c r="H32" s="2">
        <f t="shared" si="4"/>
        <v>5137.97</v>
      </c>
      <c r="I32" s="2">
        <f t="shared" si="5"/>
        <v>689.39</v>
      </c>
      <c r="J32" s="380">
        <f t="shared" si="6"/>
        <v>165450.26</v>
      </c>
      <c r="K32" s="1"/>
      <c r="L32" s="7"/>
      <c r="M32" s="7">
        <v>174233</v>
      </c>
      <c r="N32" s="7"/>
      <c r="O32" s="7"/>
      <c r="P32" s="7">
        <v>72298</v>
      </c>
      <c r="Q32" s="7"/>
      <c r="R32" s="7"/>
      <c r="S32" s="7"/>
      <c r="T32" s="7">
        <v>8500</v>
      </c>
      <c r="U32" s="7"/>
      <c r="V32" s="7"/>
      <c r="W32" s="7">
        <v>162149</v>
      </c>
      <c r="X32" s="7"/>
      <c r="Y32" s="7"/>
      <c r="Z32" s="7"/>
      <c r="AA32" s="7">
        <v>25503</v>
      </c>
      <c r="AB32" s="7">
        <v>81600</v>
      </c>
      <c r="AC32" s="7"/>
      <c r="AD32" s="7">
        <f t="shared" si="30"/>
        <v>524283</v>
      </c>
      <c r="AE32" s="7"/>
      <c r="AF32" s="282">
        <f t="shared" si="8"/>
        <v>15367.35</v>
      </c>
      <c r="AG32" s="282">
        <f t="shared" si="9"/>
        <v>0</v>
      </c>
      <c r="AH32" s="282">
        <f t="shared" si="10"/>
        <v>0</v>
      </c>
      <c r="AI32" s="282">
        <f t="shared" si="11"/>
        <v>2834.08</v>
      </c>
      <c r="AJ32" s="282">
        <f t="shared" si="12"/>
        <v>0</v>
      </c>
      <c r="AK32" s="282">
        <f t="shared" si="13"/>
        <v>0</v>
      </c>
      <c r="AL32" s="282">
        <f t="shared" si="14"/>
        <v>0</v>
      </c>
      <c r="AM32" s="282">
        <f t="shared" si="15"/>
        <v>749.7</v>
      </c>
      <c r="AN32" s="282">
        <f t="shared" si="16"/>
        <v>0</v>
      </c>
      <c r="AO32" s="282">
        <f t="shared" si="17"/>
        <v>0</v>
      </c>
      <c r="AP32" s="282">
        <f t="shared" si="18"/>
        <v>14301.54</v>
      </c>
      <c r="AQ32" s="282">
        <f t="shared" si="19"/>
        <v>0</v>
      </c>
      <c r="AR32" s="282">
        <f t="shared" si="20"/>
        <v>0</v>
      </c>
      <c r="AS32" s="282">
        <f t="shared" si="21"/>
        <v>0</v>
      </c>
      <c r="AT32" s="282">
        <f t="shared" si="22"/>
        <v>999.72</v>
      </c>
      <c r="AU32" s="282">
        <f t="shared" si="23"/>
        <v>7197.12</v>
      </c>
      <c r="AV32" s="282">
        <f t="shared" si="24"/>
        <v>0</v>
      </c>
      <c r="AW32" s="318">
        <f t="shared" si="25"/>
        <v>41449.51</v>
      </c>
    </row>
    <row r="33" spans="1:49" x14ac:dyDescent="0.2">
      <c r="A33" s="1" t="s">
        <v>449</v>
      </c>
      <c r="B33" s="7">
        <v>360920</v>
      </c>
      <c r="C33" s="7">
        <v>0</v>
      </c>
      <c r="D33" s="2">
        <f t="shared" si="0"/>
        <v>44754.080000000002</v>
      </c>
      <c r="E33" s="2">
        <f>(B33+C33)*0.049</f>
        <v>17685.080000000002</v>
      </c>
      <c r="F33" s="2">
        <f>(B33+C33)*0.0524</f>
        <v>18912.21</v>
      </c>
      <c r="G33" s="2">
        <f t="shared" si="3"/>
        <v>25561.19</v>
      </c>
      <c r="H33" s="2">
        <f t="shared" si="4"/>
        <v>3537.02</v>
      </c>
      <c r="I33" s="2">
        <f t="shared" si="5"/>
        <v>0</v>
      </c>
      <c r="J33" s="380">
        <f t="shared" si="6"/>
        <v>110449.58</v>
      </c>
      <c r="K33" s="1"/>
      <c r="L33" s="7"/>
      <c r="M33" s="7"/>
      <c r="N33" s="7"/>
      <c r="O33" s="7"/>
      <c r="P33" s="7"/>
      <c r="Q33" s="7">
        <v>127999</v>
      </c>
      <c r="R33" s="7"/>
      <c r="S33" s="7"/>
      <c r="T33" s="7">
        <v>232921</v>
      </c>
      <c r="U33" s="7"/>
      <c r="V33" s="7"/>
      <c r="W33" s="7"/>
      <c r="X33" s="7"/>
      <c r="Y33" s="7"/>
      <c r="Z33" s="7"/>
      <c r="AA33" s="7"/>
      <c r="AB33" s="7"/>
      <c r="AC33" s="7"/>
      <c r="AD33" s="7">
        <f>SUM(L33:AC33)</f>
        <v>360920</v>
      </c>
      <c r="AE33" s="7"/>
      <c r="AF33" s="282">
        <f t="shared" si="8"/>
        <v>0</v>
      </c>
      <c r="AG33" s="282">
        <f t="shared" si="9"/>
        <v>0</v>
      </c>
      <c r="AH33" s="282">
        <f t="shared" si="10"/>
        <v>0</v>
      </c>
      <c r="AI33" s="282">
        <f t="shared" si="11"/>
        <v>0</v>
      </c>
      <c r="AJ33" s="282">
        <f t="shared" si="12"/>
        <v>5017.5600000000004</v>
      </c>
      <c r="AK33" s="282">
        <f t="shared" si="13"/>
        <v>0</v>
      </c>
      <c r="AL33" s="282">
        <f t="shared" si="14"/>
        <v>0</v>
      </c>
      <c r="AM33" s="282">
        <f t="shared" si="15"/>
        <v>20543.63</v>
      </c>
      <c r="AN33" s="282">
        <f t="shared" si="16"/>
        <v>0</v>
      </c>
      <c r="AO33" s="282">
        <f t="shared" si="17"/>
        <v>0</v>
      </c>
      <c r="AP33" s="282">
        <f t="shared" si="18"/>
        <v>0</v>
      </c>
      <c r="AQ33" s="282">
        <f t="shared" si="19"/>
        <v>0</v>
      </c>
      <c r="AR33" s="282">
        <f t="shared" si="20"/>
        <v>0</v>
      </c>
      <c r="AS33" s="282">
        <f t="shared" si="21"/>
        <v>0</v>
      </c>
      <c r="AT33" s="282">
        <f t="shared" si="22"/>
        <v>0</v>
      </c>
      <c r="AU33" s="282">
        <f t="shared" si="23"/>
        <v>0</v>
      </c>
      <c r="AV33" s="282">
        <f t="shared" si="24"/>
        <v>0</v>
      </c>
      <c r="AW33" s="318">
        <f t="shared" si="25"/>
        <v>25561.19</v>
      </c>
    </row>
    <row r="34" spans="1:49" x14ac:dyDescent="0.2">
      <c r="A34" s="1" t="s">
        <v>43</v>
      </c>
      <c r="B34" s="7">
        <v>3801163</v>
      </c>
      <c r="C34" s="7">
        <v>0</v>
      </c>
      <c r="D34" s="2">
        <f t="shared" si="0"/>
        <v>471344.21</v>
      </c>
      <c r="E34" s="2">
        <f>(B34+C34)*0.049</f>
        <v>186256.99</v>
      </c>
      <c r="F34" s="2">
        <f>(B34+C34)*0.0524</f>
        <v>199180.94</v>
      </c>
      <c r="G34" s="2">
        <f t="shared" si="3"/>
        <v>335262.58</v>
      </c>
      <c r="H34" s="2">
        <f t="shared" si="4"/>
        <v>37251.4</v>
      </c>
      <c r="I34" s="2">
        <f t="shared" si="5"/>
        <v>74.55</v>
      </c>
      <c r="J34" s="380">
        <f t="shared" si="6"/>
        <v>1229370.67</v>
      </c>
      <c r="K34" s="1"/>
      <c r="L34" s="7"/>
      <c r="M34" s="7"/>
      <c r="N34" s="7"/>
      <c r="O34" s="7">
        <v>3792339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>
        <v>8824</v>
      </c>
      <c r="AC34" s="7"/>
      <c r="AD34" s="7">
        <f>SUM(L34:AC34)</f>
        <v>3801163</v>
      </c>
      <c r="AE34" s="7"/>
      <c r="AF34" s="282">
        <f t="shared" si="8"/>
        <v>0</v>
      </c>
      <c r="AG34" s="282">
        <f t="shared" si="9"/>
        <v>0</v>
      </c>
      <c r="AH34" s="282">
        <f t="shared" si="10"/>
        <v>334484.3</v>
      </c>
      <c r="AI34" s="282">
        <f t="shared" si="11"/>
        <v>0</v>
      </c>
      <c r="AJ34" s="282">
        <f t="shared" si="12"/>
        <v>0</v>
      </c>
      <c r="AK34" s="282">
        <f t="shared" si="13"/>
        <v>0</v>
      </c>
      <c r="AL34" s="282">
        <f t="shared" si="14"/>
        <v>0</v>
      </c>
      <c r="AM34" s="282">
        <f t="shared" si="15"/>
        <v>0</v>
      </c>
      <c r="AN34" s="282">
        <f t="shared" si="16"/>
        <v>0</v>
      </c>
      <c r="AO34" s="282">
        <f t="shared" si="17"/>
        <v>0</v>
      </c>
      <c r="AP34" s="282">
        <f t="shared" si="18"/>
        <v>0</v>
      </c>
      <c r="AQ34" s="282">
        <f t="shared" si="19"/>
        <v>0</v>
      </c>
      <c r="AR34" s="282">
        <f t="shared" si="20"/>
        <v>0</v>
      </c>
      <c r="AS34" s="282">
        <f t="shared" si="21"/>
        <v>0</v>
      </c>
      <c r="AT34" s="282">
        <f t="shared" si="22"/>
        <v>0</v>
      </c>
      <c r="AU34" s="282">
        <f t="shared" si="23"/>
        <v>778.28</v>
      </c>
      <c r="AV34" s="282">
        <f t="shared" si="24"/>
        <v>0</v>
      </c>
      <c r="AW34" s="318">
        <f t="shared" si="25"/>
        <v>335262.58</v>
      </c>
    </row>
    <row r="35" spans="1:49" x14ac:dyDescent="0.2">
      <c r="A35" s="1" t="s">
        <v>44</v>
      </c>
      <c r="B35" s="7">
        <v>28360</v>
      </c>
      <c r="C35" s="7">
        <v>0</v>
      </c>
      <c r="D35" s="2">
        <f t="shared" si="0"/>
        <v>3516.64</v>
      </c>
      <c r="E35" s="2">
        <f t="shared" si="28"/>
        <v>1389.64</v>
      </c>
      <c r="F35" s="2">
        <f t="shared" si="29"/>
        <v>1486.06</v>
      </c>
      <c r="G35" s="2">
        <f t="shared" si="3"/>
        <v>2304.13</v>
      </c>
      <c r="H35" s="2">
        <f t="shared" si="4"/>
        <v>277.93</v>
      </c>
      <c r="I35" s="2">
        <f t="shared" si="5"/>
        <v>0</v>
      </c>
      <c r="J35" s="380">
        <f t="shared" si="6"/>
        <v>8974.4</v>
      </c>
      <c r="K35" s="1"/>
      <c r="L35" s="7"/>
      <c r="M35" s="7"/>
      <c r="N35" s="7"/>
      <c r="O35" s="7"/>
      <c r="P35" s="7"/>
      <c r="Q35" s="7"/>
      <c r="R35" s="7"/>
      <c r="S35" s="7">
        <v>2001</v>
      </c>
      <c r="T35" s="7"/>
      <c r="U35" s="7"/>
      <c r="V35" s="7"/>
      <c r="W35" s="7"/>
      <c r="X35" s="7"/>
      <c r="Y35" s="7">
        <v>2024</v>
      </c>
      <c r="Z35" s="7"/>
      <c r="AA35" s="7"/>
      <c r="AB35" s="7"/>
      <c r="AC35" s="7">
        <v>24335</v>
      </c>
      <c r="AD35" s="7">
        <f t="shared" si="30"/>
        <v>28360</v>
      </c>
      <c r="AE35" s="7"/>
      <c r="AF35" s="282">
        <f t="shared" si="8"/>
        <v>0</v>
      </c>
      <c r="AG35" s="282">
        <f t="shared" si="9"/>
        <v>0</v>
      </c>
      <c r="AH35" s="282">
        <f t="shared" si="10"/>
        <v>0</v>
      </c>
      <c r="AI35" s="282">
        <f t="shared" si="11"/>
        <v>0</v>
      </c>
      <c r="AJ35" s="282">
        <f t="shared" si="12"/>
        <v>0</v>
      </c>
      <c r="AK35" s="282">
        <f t="shared" si="13"/>
        <v>0</v>
      </c>
      <c r="AL35" s="282">
        <f t="shared" si="14"/>
        <v>78.44</v>
      </c>
      <c r="AM35" s="282">
        <f t="shared" si="15"/>
        <v>0</v>
      </c>
      <c r="AN35" s="282">
        <f t="shared" si="16"/>
        <v>0</v>
      </c>
      <c r="AO35" s="282">
        <f t="shared" si="17"/>
        <v>0</v>
      </c>
      <c r="AP35" s="282">
        <f t="shared" si="18"/>
        <v>0</v>
      </c>
      <c r="AQ35" s="282">
        <f t="shared" si="19"/>
        <v>0</v>
      </c>
      <c r="AR35" s="282">
        <f t="shared" si="20"/>
        <v>79.34</v>
      </c>
      <c r="AS35" s="282">
        <f t="shared" si="21"/>
        <v>0</v>
      </c>
      <c r="AT35" s="282">
        <f t="shared" si="22"/>
        <v>0</v>
      </c>
      <c r="AU35" s="282">
        <f t="shared" si="23"/>
        <v>0</v>
      </c>
      <c r="AV35" s="282">
        <f t="shared" si="24"/>
        <v>2146.35</v>
      </c>
      <c r="AW35" s="318">
        <f t="shared" si="25"/>
        <v>2304.13</v>
      </c>
    </row>
    <row r="36" spans="1:49" x14ac:dyDescent="0.2">
      <c r="A36" s="18" t="s">
        <v>45</v>
      </c>
      <c r="B36" s="7">
        <v>0</v>
      </c>
      <c r="C36" s="7">
        <v>1379494</v>
      </c>
      <c r="D36" s="2">
        <f>(B36+C36)*0.124-0.01</f>
        <v>171057.25</v>
      </c>
      <c r="E36" s="2">
        <f>(B36+C36)*0.049</f>
        <v>67595.210000000006</v>
      </c>
      <c r="F36" s="2">
        <f>(B36+C36)*0.0524</f>
        <v>72285.490000000005</v>
      </c>
      <c r="G36" s="2">
        <f t="shared" si="3"/>
        <v>121671.37</v>
      </c>
      <c r="H36" s="2">
        <f t="shared" si="4"/>
        <v>13519.04</v>
      </c>
      <c r="I36" s="2">
        <f t="shared" si="5"/>
        <v>0</v>
      </c>
      <c r="J36" s="380">
        <f t="shared" si="6"/>
        <v>446128.36</v>
      </c>
      <c r="K36" s="1"/>
      <c r="L36" s="7"/>
      <c r="M36" s="7"/>
      <c r="N36" s="7"/>
      <c r="O36" s="7">
        <v>1379494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>
        <f>SUM(L36:AC36)</f>
        <v>1379494</v>
      </c>
      <c r="AE36" s="7"/>
      <c r="AF36" s="282">
        <f t="shared" si="8"/>
        <v>0</v>
      </c>
      <c r="AG36" s="282">
        <f t="shared" si="9"/>
        <v>0</v>
      </c>
      <c r="AH36" s="282">
        <f t="shared" si="10"/>
        <v>121671.37</v>
      </c>
      <c r="AI36" s="282">
        <f t="shared" si="11"/>
        <v>0</v>
      </c>
      <c r="AJ36" s="282">
        <f t="shared" si="12"/>
        <v>0</v>
      </c>
      <c r="AK36" s="282">
        <f t="shared" si="13"/>
        <v>0</v>
      </c>
      <c r="AL36" s="282">
        <f t="shared" si="14"/>
        <v>0</v>
      </c>
      <c r="AM36" s="282">
        <f t="shared" si="15"/>
        <v>0</v>
      </c>
      <c r="AN36" s="282">
        <f t="shared" si="16"/>
        <v>0</v>
      </c>
      <c r="AO36" s="282">
        <f t="shared" si="17"/>
        <v>0</v>
      </c>
      <c r="AP36" s="282">
        <f t="shared" si="18"/>
        <v>0</v>
      </c>
      <c r="AQ36" s="282">
        <f t="shared" si="19"/>
        <v>0</v>
      </c>
      <c r="AR36" s="282">
        <f t="shared" si="20"/>
        <v>0</v>
      </c>
      <c r="AS36" s="282">
        <f t="shared" si="21"/>
        <v>0</v>
      </c>
      <c r="AT36" s="282">
        <f t="shared" si="22"/>
        <v>0</v>
      </c>
      <c r="AU36" s="282">
        <f t="shared" si="23"/>
        <v>0</v>
      </c>
      <c r="AV36" s="282">
        <f t="shared" si="24"/>
        <v>0</v>
      </c>
      <c r="AW36" s="318">
        <f t="shared" si="25"/>
        <v>121671.37</v>
      </c>
    </row>
    <row r="37" spans="1:49" x14ac:dyDescent="0.2">
      <c r="A37" s="18" t="s">
        <v>610</v>
      </c>
      <c r="B37" s="7">
        <v>108</v>
      </c>
      <c r="C37" s="7">
        <v>0</v>
      </c>
      <c r="D37" s="2">
        <f t="shared" si="0"/>
        <v>13.39</v>
      </c>
      <c r="E37" s="2">
        <f>(B37+C37)*0.049</f>
        <v>5.29</v>
      </c>
      <c r="F37" s="2">
        <f>(B37+C37)*0.0524</f>
        <v>5.66</v>
      </c>
      <c r="G37" s="2">
        <f t="shared" si="3"/>
        <v>9.5299999999999994</v>
      </c>
      <c r="H37" s="2">
        <f t="shared" si="4"/>
        <v>1.06</v>
      </c>
      <c r="I37" s="2">
        <f t="shared" si="5"/>
        <v>0.91</v>
      </c>
      <c r="J37" s="380">
        <f t="shared" si="6"/>
        <v>35.840000000000003</v>
      </c>
      <c r="K37" s="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>
        <v>108</v>
      </c>
      <c r="AC37" s="7"/>
      <c r="AD37" s="7">
        <f>SUM(L37:AC37)</f>
        <v>108</v>
      </c>
      <c r="AF37" s="282">
        <f t="shared" si="8"/>
        <v>0</v>
      </c>
      <c r="AG37" s="282">
        <f t="shared" si="9"/>
        <v>0</v>
      </c>
      <c r="AH37" s="282">
        <f t="shared" si="10"/>
        <v>0</v>
      </c>
      <c r="AI37" s="282">
        <f t="shared" si="11"/>
        <v>0</v>
      </c>
      <c r="AJ37" s="282">
        <f t="shared" si="12"/>
        <v>0</v>
      </c>
      <c r="AK37" s="282">
        <f t="shared" si="13"/>
        <v>0</v>
      </c>
      <c r="AL37" s="282">
        <f t="shared" si="14"/>
        <v>0</v>
      </c>
      <c r="AM37" s="282">
        <f t="shared" si="15"/>
        <v>0</v>
      </c>
      <c r="AN37" s="282">
        <f t="shared" si="16"/>
        <v>0</v>
      </c>
      <c r="AO37" s="282">
        <f t="shared" si="17"/>
        <v>0</v>
      </c>
      <c r="AP37" s="282">
        <f t="shared" si="18"/>
        <v>0</v>
      </c>
      <c r="AQ37" s="282">
        <f t="shared" si="19"/>
        <v>0</v>
      </c>
      <c r="AR37" s="282">
        <f t="shared" si="20"/>
        <v>0</v>
      </c>
      <c r="AS37" s="282">
        <f t="shared" si="21"/>
        <v>0</v>
      </c>
      <c r="AT37" s="282">
        <f t="shared" si="22"/>
        <v>0</v>
      </c>
      <c r="AU37" s="282">
        <f t="shared" si="23"/>
        <v>9.5299999999999994</v>
      </c>
      <c r="AV37" s="282">
        <f t="shared" si="24"/>
        <v>0</v>
      </c>
      <c r="AW37" s="318">
        <f t="shared" si="25"/>
        <v>9.5299999999999994</v>
      </c>
    </row>
    <row r="38" spans="1:49" x14ac:dyDescent="0.2">
      <c r="A38" s="18" t="s">
        <v>603</v>
      </c>
      <c r="B38" s="7">
        <v>61924</v>
      </c>
      <c r="C38" s="7">
        <v>299602</v>
      </c>
      <c r="D38" s="2">
        <f>(B38+C38)*0.124+0.01</f>
        <v>44829.23</v>
      </c>
      <c r="E38" s="2">
        <f>(B38+C38)*0.049</f>
        <v>17714.77</v>
      </c>
      <c r="F38" s="2">
        <f>(B38+C38)*0.0524</f>
        <v>18943.96</v>
      </c>
      <c r="G38" s="2">
        <f t="shared" si="3"/>
        <v>31886.59</v>
      </c>
      <c r="H38" s="2">
        <f>(B38+C38)*0.0098</f>
        <v>3542.95</v>
      </c>
      <c r="I38" s="2">
        <f t="shared" si="5"/>
        <v>2860.92</v>
      </c>
      <c r="J38" s="380">
        <f t="shared" si="6"/>
        <v>119778.42</v>
      </c>
      <c r="K38" s="1"/>
      <c r="L38" s="7"/>
      <c r="M38" s="7"/>
      <c r="N38" s="7"/>
      <c r="O38" s="7">
        <v>22892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>
        <v>338634</v>
      </c>
      <c r="AC38" s="7"/>
      <c r="AD38" s="7">
        <f>SUM(L38:AC38)</f>
        <v>361526</v>
      </c>
      <c r="AE38" s="7"/>
      <c r="AF38" s="282">
        <f t="shared" si="8"/>
        <v>0</v>
      </c>
      <c r="AG38" s="282">
        <f t="shared" si="9"/>
        <v>0</v>
      </c>
      <c r="AH38" s="282">
        <f t="shared" si="10"/>
        <v>2019.07</v>
      </c>
      <c r="AI38" s="282">
        <f t="shared" si="11"/>
        <v>0</v>
      </c>
      <c r="AJ38" s="282">
        <f t="shared" si="12"/>
        <v>0</v>
      </c>
      <c r="AK38" s="282">
        <f t="shared" si="13"/>
        <v>0</v>
      </c>
      <c r="AL38" s="282">
        <f t="shared" si="14"/>
        <v>0</v>
      </c>
      <c r="AM38" s="282">
        <f t="shared" si="15"/>
        <v>0</v>
      </c>
      <c r="AN38" s="282">
        <f t="shared" si="16"/>
        <v>0</v>
      </c>
      <c r="AO38" s="282">
        <f t="shared" si="17"/>
        <v>0</v>
      </c>
      <c r="AP38" s="282">
        <f t="shared" si="18"/>
        <v>0</v>
      </c>
      <c r="AQ38" s="282">
        <f t="shared" si="19"/>
        <v>0</v>
      </c>
      <c r="AR38" s="282">
        <f t="shared" si="20"/>
        <v>0</v>
      </c>
      <c r="AS38" s="282">
        <f t="shared" si="21"/>
        <v>0</v>
      </c>
      <c r="AT38" s="282">
        <f t="shared" si="22"/>
        <v>0</v>
      </c>
      <c r="AU38" s="282">
        <f t="shared" si="23"/>
        <v>29867.52</v>
      </c>
      <c r="AV38" s="282">
        <f t="shared" si="24"/>
        <v>0</v>
      </c>
      <c r="AW38" s="318">
        <f t="shared" si="25"/>
        <v>31886.59</v>
      </c>
    </row>
    <row r="39" spans="1:49" x14ac:dyDescent="0.2">
      <c r="A39" s="1" t="s">
        <v>46</v>
      </c>
      <c r="B39" s="7">
        <v>120079</v>
      </c>
      <c r="C39" s="7">
        <v>0</v>
      </c>
      <c r="D39" s="2">
        <f t="shared" si="0"/>
        <v>14889.8</v>
      </c>
      <c r="E39" s="2">
        <f t="shared" ref="E39:E46" si="31">(B39+C39)*0.049</f>
        <v>5883.87</v>
      </c>
      <c r="F39" s="2">
        <f t="shared" ref="F39:F46" si="32">(B39+C39)*0.0524</f>
        <v>6292.14</v>
      </c>
      <c r="G39" s="2">
        <f t="shared" si="3"/>
        <v>4707.1000000000004</v>
      </c>
      <c r="H39" s="2">
        <f t="shared" si="4"/>
        <v>1176.77</v>
      </c>
      <c r="I39" s="2">
        <f t="shared" si="5"/>
        <v>0</v>
      </c>
      <c r="J39" s="380">
        <f t="shared" si="6"/>
        <v>32949.68</v>
      </c>
      <c r="K39" s="1"/>
      <c r="L39" s="7"/>
      <c r="M39" s="7"/>
      <c r="N39" s="7"/>
      <c r="O39" s="7"/>
      <c r="P39" s="7"/>
      <c r="Q39" s="7">
        <v>120079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>
        <f t="shared" ref="AD39:AD49" si="33">SUM(L39:AC39)</f>
        <v>120079</v>
      </c>
      <c r="AE39" s="1"/>
      <c r="AF39" s="282">
        <f t="shared" si="8"/>
        <v>0</v>
      </c>
      <c r="AG39" s="282">
        <f t="shared" si="9"/>
        <v>0</v>
      </c>
      <c r="AH39" s="282">
        <f t="shared" si="10"/>
        <v>0</v>
      </c>
      <c r="AI39" s="282">
        <f t="shared" si="11"/>
        <v>0</v>
      </c>
      <c r="AJ39" s="282">
        <f t="shared" si="12"/>
        <v>4707.1000000000004</v>
      </c>
      <c r="AK39" s="282">
        <f t="shared" si="13"/>
        <v>0</v>
      </c>
      <c r="AL39" s="282">
        <f t="shared" si="14"/>
        <v>0</v>
      </c>
      <c r="AM39" s="282">
        <f t="shared" si="15"/>
        <v>0</v>
      </c>
      <c r="AN39" s="282">
        <f t="shared" si="16"/>
        <v>0</v>
      </c>
      <c r="AO39" s="282">
        <f t="shared" si="17"/>
        <v>0</v>
      </c>
      <c r="AP39" s="282">
        <f t="shared" si="18"/>
        <v>0</v>
      </c>
      <c r="AQ39" s="282">
        <f t="shared" si="19"/>
        <v>0</v>
      </c>
      <c r="AR39" s="282">
        <f t="shared" si="20"/>
        <v>0</v>
      </c>
      <c r="AS39" s="282">
        <f t="shared" si="21"/>
        <v>0</v>
      </c>
      <c r="AT39" s="282">
        <f t="shared" si="22"/>
        <v>0</v>
      </c>
      <c r="AU39" s="282">
        <f t="shared" si="23"/>
        <v>0</v>
      </c>
      <c r="AV39" s="282">
        <f t="shared" si="24"/>
        <v>0</v>
      </c>
      <c r="AW39" s="318">
        <f t="shared" si="25"/>
        <v>4707.1000000000004</v>
      </c>
    </row>
    <row r="40" spans="1:49" x14ac:dyDescent="0.2">
      <c r="A40" s="1" t="s">
        <v>450</v>
      </c>
      <c r="B40" s="7">
        <v>0</v>
      </c>
      <c r="C40" s="7">
        <v>6702</v>
      </c>
      <c r="D40" s="2">
        <f t="shared" si="0"/>
        <v>831.05</v>
      </c>
      <c r="E40" s="2">
        <f t="shared" si="31"/>
        <v>328.4</v>
      </c>
      <c r="F40" s="2">
        <f t="shared" si="32"/>
        <v>351.18</v>
      </c>
      <c r="G40" s="2">
        <f t="shared" si="3"/>
        <v>591.12</v>
      </c>
      <c r="H40" s="2">
        <f t="shared" si="4"/>
        <v>65.680000000000007</v>
      </c>
      <c r="I40" s="2">
        <f t="shared" si="5"/>
        <v>0</v>
      </c>
      <c r="J40" s="380">
        <f t="shared" si="6"/>
        <v>2167.4299999999998</v>
      </c>
      <c r="K40" s="1"/>
      <c r="L40" s="7"/>
      <c r="M40" s="7"/>
      <c r="N40" s="7"/>
      <c r="O40" s="7">
        <v>6702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>
        <f t="shared" si="33"/>
        <v>6702</v>
      </c>
      <c r="AE40" s="1"/>
      <c r="AF40" s="282">
        <f t="shared" si="8"/>
        <v>0</v>
      </c>
      <c r="AG40" s="282">
        <f t="shared" si="9"/>
        <v>0</v>
      </c>
      <c r="AH40" s="282">
        <f t="shared" si="10"/>
        <v>591.12</v>
      </c>
      <c r="AI40" s="282">
        <f t="shared" si="11"/>
        <v>0</v>
      </c>
      <c r="AJ40" s="282">
        <f t="shared" si="12"/>
        <v>0</v>
      </c>
      <c r="AK40" s="282">
        <f t="shared" si="13"/>
        <v>0</v>
      </c>
      <c r="AL40" s="282">
        <f t="shared" si="14"/>
        <v>0</v>
      </c>
      <c r="AM40" s="282">
        <f t="shared" si="15"/>
        <v>0</v>
      </c>
      <c r="AN40" s="282">
        <f t="shared" si="16"/>
        <v>0</v>
      </c>
      <c r="AO40" s="282">
        <f t="shared" si="17"/>
        <v>0</v>
      </c>
      <c r="AP40" s="282">
        <f t="shared" si="18"/>
        <v>0</v>
      </c>
      <c r="AQ40" s="282">
        <f t="shared" si="19"/>
        <v>0</v>
      </c>
      <c r="AR40" s="282">
        <f t="shared" si="20"/>
        <v>0</v>
      </c>
      <c r="AS40" s="282">
        <f t="shared" si="21"/>
        <v>0</v>
      </c>
      <c r="AT40" s="282">
        <f t="shared" si="22"/>
        <v>0</v>
      </c>
      <c r="AU40" s="282">
        <f t="shared" si="23"/>
        <v>0</v>
      </c>
      <c r="AV40" s="282">
        <f t="shared" si="24"/>
        <v>0</v>
      </c>
      <c r="AW40" s="318">
        <f t="shared" si="25"/>
        <v>591.12</v>
      </c>
    </row>
    <row r="41" spans="1:49" x14ac:dyDescent="0.2">
      <c r="A41" s="1" t="s">
        <v>433</v>
      </c>
      <c r="B41" s="7">
        <v>141798</v>
      </c>
      <c r="C41" s="7">
        <v>4844354</v>
      </c>
      <c r="D41" s="2">
        <f t="shared" si="0"/>
        <v>618282.85</v>
      </c>
      <c r="E41" s="2">
        <f t="shared" si="31"/>
        <v>244321.45</v>
      </c>
      <c r="F41" s="2">
        <f t="shared" si="32"/>
        <v>261274.36</v>
      </c>
      <c r="G41" s="2">
        <f t="shared" si="3"/>
        <v>432830.5</v>
      </c>
      <c r="H41" s="2">
        <f t="shared" si="4"/>
        <v>48864.29</v>
      </c>
      <c r="I41" s="2">
        <f t="shared" si="5"/>
        <v>0</v>
      </c>
      <c r="J41" s="380">
        <f t="shared" si="6"/>
        <v>1605573.45</v>
      </c>
      <c r="K41" s="1"/>
      <c r="L41" s="7"/>
      <c r="M41" s="7"/>
      <c r="N41" s="7"/>
      <c r="O41" s="7">
        <v>4844354</v>
      </c>
      <c r="P41" s="7"/>
      <c r="Q41" s="7"/>
      <c r="R41" s="7"/>
      <c r="S41" s="7"/>
      <c r="T41" s="7"/>
      <c r="U41" s="7"/>
      <c r="V41" s="7"/>
      <c r="W41" s="7"/>
      <c r="X41" s="7"/>
      <c r="Y41" s="7">
        <v>141798</v>
      </c>
      <c r="Z41" s="7"/>
      <c r="AA41" s="7"/>
      <c r="AB41" s="7"/>
      <c r="AC41" s="7"/>
      <c r="AD41" s="7">
        <f t="shared" si="33"/>
        <v>4986152</v>
      </c>
      <c r="AE41" s="1"/>
      <c r="AF41" s="282">
        <f t="shared" si="8"/>
        <v>0</v>
      </c>
      <c r="AG41" s="282">
        <f t="shared" si="9"/>
        <v>0</v>
      </c>
      <c r="AH41" s="282">
        <f t="shared" si="10"/>
        <v>427272.02</v>
      </c>
      <c r="AI41" s="282">
        <f t="shared" si="11"/>
        <v>0</v>
      </c>
      <c r="AJ41" s="282">
        <f t="shared" si="12"/>
        <v>0</v>
      </c>
      <c r="AK41" s="282">
        <f t="shared" si="13"/>
        <v>0</v>
      </c>
      <c r="AL41" s="282">
        <f t="shared" si="14"/>
        <v>0</v>
      </c>
      <c r="AM41" s="282">
        <f t="shared" si="15"/>
        <v>0</v>
      </c>
      <c r="AN41" s="282">
        <f t="shared" si="16"/>
        <v>0</v>
      </c>
      <c r="AO41" s="282">
        <f t="shared" si="17"/>
        <v>0</v>
      </c>
      <c r="AP41" s="282">
        <f t="shared" si="18"/>
        <v>0</v>
      </c>
      <c r="AQ41" s="282">
        <f t="shared" si="19"/>
        <v>0</v>
      </c>
      <c r="AR41" s="282">
        <f t="shared" si="20"/>
        <v>5558.48</v>
      </c>
      <c r="AS41" s="282">
        <f t="shared" si="21"/>
        <v>0</v>
      </c>
      <c r="AT41" s="282">
        <f t="shared" si="22"/>
        <v>0</v>
      </c>
      <c r="AU41" s="282">
        <f t="shared" si="23"/>
        <v>0</v>
      </c>
      <c r="AV41" s="282">
        <f t="shared" si="24"/>
        <v>0</v>
      </c>
      <c r="AW41" s="318">
        <f t="shared" si="25"/>
        <v>432830.5</v>
      </c>
    </row>
    <row r="42" spans="1:49" x14ac:dyDescent="0.2">
      <c r="A42" s="1" t="s">
        <v>451</v>
      </c>
      <c r="B42" s="7">
        <v>266007</v>
      </c>
      <c r="C42" s="7">
        <v>0</v>
      </c>
      <c r="D42" s="2">
        <f t="shared" si="0"/>
        <v>32984.870000000003</v>
      </c>
      <c r="E42" s="2">
        <f t="shared" si="31"/>
        <v>13034.34</v>
      </c>
      <c r="F42" s="2">
        <f t="shared" si="32"/>
        <v>13938.77</v>
      </c>
      <c r="G42" s="2">
        <f t="shared" si="3"/>
        <v>21307.63</v>
      </c>
      <c r="H42" s="2">
        <f t="shared" si="4"/>
        <v>2606.87</v>
      </c>
      <c r="I42" s="2">
        <f t="shared" si="5"/>
        <v>101.4</v>
      </c>
      <c r="J42" s="380">
        <f t="shared" si="6"/>
        <v>83973.88</v>
      </c>
      <c r="K42" s="1"/>
      <c r="L42" s="7"/>
      <c r="M42" s="7"/>
      <c r="N42" s="7"/>
      <c r="O42" s="7">
        <v>210042</v>
      </c>
      <c r="P42" s="7"/>
      <c r="Q42" s="7">
        <v>43963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>
        <v>12002</v>
      </c>
      <c r="AC42" s="7"/>
      <c r="AD42" s="7">
        <f t="shared" si="33"/>
        <v>266007</v>
      </c>
      <c r="AE42" s="7"/>
      <c r="AF42" s="282">
        <f t="shared" si="8"/>
        <v>0</v>
      </c>
      <c r="AG42" s="282">
        <f t="shared" si="9"/>
        <v>0</v>
      </c>
      <c r="AH42" s="282">
        <f t="shared" si="10"/>
        <v>18525.7</v>
      </c>
      <c r="AI42" s="282">
        <f t="shared" si="11"/>
        <v>0</v>
      </c>
      <c r="AJ42" s="282">
        <f t="shared" si="12"/>
        <v>1723.35</v>
      </c>
      <c r="AK42" s="282">
        <f t="shared" si="13"/>
        <v>0</v>
      </c>
      <c r="AL42" s="282">
        <f t="shared" si="14"/>
        <v>0</v>
      </c>
      <c r="AM42" s="282">
        <f t="shared" si="15"/>
        <v>0</v>
      </c>
      <c r="AN42" s="282">
        <f t="shared" si="16"/>
        <v>0</v>
      </c>
      <c r="AO42" s="282">
        <f t="shared" si="17"/>
        <v>0</v>
      </c>
      <c r="AP42" s="282">
        <f t="shared" si="18"/>
        <v>0</v>
      </c>
      <c r="AQ42" s="282">
        <f t="shared" si="19"/>
        <v>0</v>
      </c>
      <c r="AR42" s="282">
        <f t="shared" si="20"/>
        <v>0</v>
      </c>
      <c r="AS42" s="282">
        <f t="shared" si="21"/>
        <v>0</v>
      </c>
      <c r="AT42" s="282">
        <f t="shared" si="22"/>
        <v>0</v>
      </c>
      <c r="AU42" s="282">
        <f t="shared" si="23"/>
        <v>1058.58</v>
      </c>
      <c r="AV42" s="282">
        <f t="shared" si="24"/>
        <v>0</v>
      </c>
      <c r="AW42" s="318">
        <f t="shared" si="25"/>
        <v>21307.63</v>
      </c>
    </row>
    <row r="43" spans="1:49" x14ac:dyDescent="0.2">
      <c r="A43" s="1" t="s">
        <v>756</v>
      </c>
      <c r="B43" s="7"/>
      <c r="C43" s="7"/>
      <c r="D43" s="2">
        <f>(B43+C43)*0.124</f>
        <v>0</v>
      </c>
      <c r="E43" s="2">
        <f>(B43+C43)*0.049</f>
        <v>0</v>
      </c>
      <c r="F43" s="2">
        <f>(B43+C43)*0.0524</f>
        <v>0</v>
      </c>
      <c r="G43" s="2">
        <f>+AW43+0.01</f>
        <v>0.01</v>
      </c>
      <c r="H43" s="2">
        <f>(B43+C43)*0.0098</f>
        <v>0</v>
      </c>
      <c r="I43" s="2">
        <f>(AB43)*0.0084484</f>
        <v>0</v>
      </c>
      <c r="J43" s="380">
        <f>SUM(D43:I43)</f>
        <v>0.01</v>
      </c>
      <c r="K43" s="1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>
        <f>SUM(L43:AC43)</f>
        <v>0</v>
      </c>
      <c r="AE43" s="7"/>
      <c r="AF43" s="282">
        <f>+M43*$AF$12</f>
        <v>0</v>
      </c>
      <c r="AG43" s="282">
        <f>+N43*$AG$12</f>
        <v>0</v>
      </c>
      <c r="AH43" s="282">
        <f>+O43*$AH$12</f>
        <v>0</v>
      </c>
      <c r="AI43" s="282">
        <f>+P43*$AI$12</f>
        <v>0</v>
      </c>
      <c r="AJ43" s="282">
        <f>+Q43*$AJ$12</f>
        <v>0</v>
      </c>
      <c r="AK43" s="282">
        <f>+R43*$AK$12</f>
        <v>0</v>
      </c>
      <c r="AL43" s="282">
        <f>+S43*$AL$12</f>
        <v>0</v>
      </c>
      <c r="AM43" s="282">
        <f>+T43*$AM$12</f>
        <v>0</v>
      </c>
      <c r="AN43" s="282">
        <f>+U43*$AN$12</f>
        <v>0</v>
      </c>
      <c r="AO43" s="282">
        <f>+V43*$AO$12</f>
        <v>0</v>
      </c>
      <c r="AP43" s="282">
        <f>+W43*$AP$12</f>
        <v>0</v>
      </c>
      <c r="AQ43" s="282">
        <f>+X43*$AQ$12</f>
        <v>0</v>
      </c>
      <c r="AR43" s="282">
        <f>+Y43*$AR$12</f>
        <v>0</v>
      </c>
      <c r="AS43" s="282">
        <f>+Z43*$AS$12</f>
        <v>0</v>
      </c>
      <c r="AT43" s="282">
        <f>+AA43*$AT$12</f>
        <v>0</v>
      </c>
      <c r="AU43" s="282">
        <f>+AB43*$AU$12</f>
        <v>0</v>
      </c>
      <c r="AV43" s="282">
        <f>+AC43*$AV$12</f>
        <v>0</v>
      </c>
      <c r="AW43" s="318">
        <f>SUM(AF43:AV43)</f>
        <v>0</v>
      </c>
    </row>
    <row r="44" spans="1:49" ht="12.75" customHeight="1" x14ac:dyDescent="0.2">
      <c r="A44" s="1" t="s">
        <v>760</v>
      </c>
      <c r="B44" s="7"/>
      <c r="C44" s="7"/>
      <c r="D44" s="2">
        <f>(B44+C44)*0.124</f>
        <v>0</v>
      </c>
      <c r="E44" s="2">
        <f>(B44+C44)*0.049</f>
        <v>0</v>
      </c>
      <c r="F44" s="2">
        <f>(B44+C44)*0.0524</f>
        <v>0</v>
      </c>
      <c r="G44" s="2">
        <f>+AW44-0.01</f>
        <v>275.97000000000003</v>
      </c>
      <c r="H44" s="2">
        <f>(B44+C44)*0.0098+47.32</f>
        <v>47.32</v>
      </c>
      <c r="I44" s="2">
        <f>(AB44)*0.0084484</f>
        <v>0</v>
      </c>
      <c r="J44" s="380">
        <f>SUM(D44:I44)</f>
        <v>323.29000000000002</v>
      </c>
      <c r="K44" s="1"/>
      <c r="L44" s="7"/>
      <c r="M44" s="7"/>
      <c r="N44" s="7"/>
      <c r="O44" s="7">
        <v>1770</v>
      </c>
      <c r="P44" s="7"/>
      <c r="Q44" s="7">
        <v>3058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>
        <f>SUM(L44:AC44)</f>
        <v>4828</v>
      </c>
      <c r="AE44" s="1"/>
      <c r="AF44" s="282">
        <f>+M44*$AF$12</f>
        <v>0</v>
      </c>
      <c r="AG44" s="282">
        <f>+N44*$AG$12</f>
        <v>0</v>
      </c>
      <c r="AH44" s="282">
        <f>+O44*$AH$12</f>
        <v>156.11000000000001</v>
      </c>
      <c r="AI44" s="282">
        <f>+P44*$AI$12</f>
        <v>0</v>
      </c>
      <c r="AJ44" s="282">
        <f>+Q44*$AJ$12</f>
        <v>119.87</v>
      </c>
      <c r="AK44" s="282">
        <f>+R44*$AK$12</f>
        <v>0</v>
      </c>
      <c r="AL44" s="282">
        <f>+S44*$AL$12</f>
        <v>0</v>
      </c>
      <c r="AM44" s="282">
        <f>+T44*$AM$12</f>
        <v>0</v>
      </c>
      <c r="AN44" s="282">
        <f>+U44*$AN$12</f>
        <v>0</v>
      </c>
      <c r="AO44" s="282">
        <f>+V44*$AO$12</f>
        <v>0</v>
      </c>
      <c r="AP44" s="282">
        <f>+W44*$AP$12</f>
        <v>0</v>
      </c>
      <c r="AQ44" s="282">
        <f>+X44*$AQ$12</f>
        <v>0</v>
      </c>
      <c r="AR44" s="282">
        <f>+Y44*$AR$12</f>
        <v>0</v>
      </c>
      <c r="AS44" s="282">
        <f>+Z44*$AS$12</f>
        <v>0</v>
      </c>
      <c r="AT44" s="282">
        <f>+AA44*$AT$12</f>
        <v>0</v>
      </c>
      <c r="AU44" s="282">
        <f>+AB44*$AU$12</f>
        <v>0</v>
      </c>
      <c r="AV44" s="282">
        <f>+AC44*$AV$12</f>
        <v>0</v>
      </c>
      <c r="AW44" s="318">
        <f>SUM(AF44:AV44)</f>
        <v>275.98</v>
      </c>
    </row>
    <row r="45" spans="1:49" x14ac:dyDescent="0.2">
      <c r="A45" s="1" t="s">
        <v>721</v>
      </c>
      <c r="B45" s="7">
        <v>120</v>
      </c>
      <c r="C45" s="7">
        <v>0</v>
      </c>
      <c r="D45" s="2">
        <f>(B45+C45)*0.124-1.22</f>
        <v>13.66</v>
      </c>
      <c r="E45" s="2">
        <f>(B45+C45)*0.049-0.48</f>
        <v>5.4</v>
      </c>
      <c r="F45" s="2">
        <f>(B45+C45)*0.0524-0.51</f>
        <v>5.78</v>
      </c>
      <c r="G45" s="2">
        <f>+AW45</f>
        <v>4.32</v>
      </c>
      <c r="H45" s="2">
        <f>(B45+C45)*0.0098-0.1</f>
        <v>1.08</v>
      </c>
      <c r="I45" s="2">
        <f>(AB45)*0.0084484</f>
        <v>0</v>
      </c>
      <c r="J45" s="380">
        <f>SUM(D45:I45)</f>
        <v>30.24</v>
      </c>
      <c r="K45" s="1"/>
      <c r="L45" s="7"/>
      <c r="M45" s="7"/>
      <c r="N45" s="7"/>
      <c r="O45" s="7"/>
      <c r="P45" s="7"/>
      <c r="Q45" s="7">
        <v>120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>
        <f>SUM(L45:AC45)</f>
        <v>120</v>
      </c>
      <c r="AE45" s="7"/>
      <c r="AF45" s="282">
        <f>+M45*$AF$12</f>
        <v>0</v>
      </c>
      <c r="AG45" s="282">
        <f>+N45*$AG$12</f>
        <v>0</v>
      </c>
      <c r="AH45" s="282">
        <f>+O45*$AH$12</f>
        <v>0</v>
      </c>
      <c r="AI45" s="282">
        <f>+P45*$AI$12</f>
        <v>0</v>
      </c>
      <c r="AJ45" s="282">
        <f>+Q45*$AJ$12-0.38</f>
        <v>4.32</v>
      </c>
      <c r="AK45" s="282">
        <f>+R45*$AK$12</f>
        <v>0</v>
      </c>
      <c r="AL45" s="282">
        <f>+S45*$AL$12</f>
        <v>0</v>
      </c>
      <c r="AM45" s="282">
        <f>+T45*$AM$12</f>
        <v>0</v>
      </c>
      <c r="AN45" s="282">
        <f>+U45*$AN$12</f>
        <v>0</v>
      </c>
      <c r="AO45" s="282">
        <f>+V45*$AO$12</f>
        <v>0</v>
      </c>
      <c r="AP45" s="282">
        <f>+W45*$AP$12</f>
        <v>0</v>
      </c>
      <c r="AQ45" s="282">
        <f>+X45*$AQ$12</f>
        <v>0</v>
      </c>
      <c r="AR45" s="282">
        <f>+Y45*$AR$12</f>
        <v>0</v>
      </c>
      <c r="AS45" s="282">
        <f>+Z45*$AS$12</f>
        <v>0</v>
      </c>
      <c r="AT45" s="282">
        <f>+AA45*$AT$12</f>
        <v>0</v>
      </c>
      <c r="AU45" s="282">
        <f>+AB45*$AU$12</f>
        <v>0</v>
      </c>
      <c r="AV45" s="282">
        <f>+AC45*$AV$12</f>
        <v>0</v>
      </c>
      <c r="AW45" s="318">
        <f>SUM(AF45:AV45)</f>
        <v>4.32</v>
      </c>
    </row>
    <row r="46" spans="1:49" x14ac:dyDescent="0.2">
      <c r="A46" s="1" t="s">
        <v>457</v>
      </c>
      <c r="B46" s="7">
        <v>1581</v>
      </c>
      <c r="C46" s="7">
        <v>0</v>
      </c>
      <c r="D46" s="2">
        <f>(B46+C46)*0.124+0.01</f>
        <v>196.05</v>
      </c>
      <c r="E46" s="2">
        <f t="shared" si="31"/>
        <v>77.47</v>
      </c>
      <c r="F46" s="2">
        <f t="shared" si="32"/>
        <v>82.84</v>
      </c>
      <c r="G46" s="2">
        <f t="shared" si="3"/>
        <v>139.44999999999999</v>
      </c>
      <c r="H46" s="2">
        <f t="shared" si="4"/>
        <v>15.49</v>
      </c>
      <c r="I46" s="2">
        <f t="shared" si="5"/>
        <v>2.87</v>
      </c>
      <c r="J46" s="380">
        <f t="shared" si="6"/>
        <v>514.16999999999996</v>
      </c>
      <c r="K46" s="1"/>
      <c r="L46" s="7"/>
      <c r="M46" s="7"/>
      <c r="N46" s="7"/>
      <c r="O46" s="7"/>
      <c r="P46" s="7"/>
      <c r="Q46" s="7"/>
      <c r="R46" s="7"/>
      <c r="S46" s="7"/>
      <c r="T46" s="7">
        <v>1241</v>
      </c>
      <c r="U46" s="7"/>
      <c r="V46" s="7"/>
      <c r="W46" s="7"/>
      <c r="X46" s="7"/>
      <c r="Y46" s="7"/>
      <c r="Z46" s="7"/>
      <c r="AA46" s="7"/>
      <c r="AB46" s="7">
        <v>340</v>
      </c>
      <c r="AC46" s="7"/>
      <c r="AD46" s="7">
        <f t="shared" si="33"/>
        <v>1581</v>
      </c>
      <c r="AE46" s="7"/>
      <c r="AF46" s="282">
        <f t="shared" si="8"/>
        <v>0</v>
      </c>
      <c r="AG46" s="282">
        <f t="shared" si="9"/>
        <v>0</v>
      </c>
      <c r="AH46" s="282">
        <f t="shared" si="10"/>
        <v>0</v>
      </c>
      <c r="AI46" s="282">
        <f t="shared" si="11"/>
        <v>0</v>
      </c>
      <c r="AJ46" s="282">
        <f t="shared" si="12"/>
        <v>0</v>
      </c>
      <c r="AK46" s="282">
        <f t="shared" si="13"/>
        <v>0</v>
      </c>
      <c r="AL46" s="282">
        <f t="shared" si="14"/>
        <v>0</v>
      </c>
      <c r="AM46" s="282">
        <f t="shared" si="15"/>
        <v>109.46</v>
      </c>
      <c r="AN46" s="282">
        <f t="shared" si="16"/>
        <v>0</v>
      </c>
      <c r="AO46" s="282">
        <f t="shared" si="17"/>
        <v>0</v>
      </c>
      <c r="AP46" s="282">
        <f t="shared" si="18"/>
        <v>0</v>
      </c>
      <c r="AQ46" s="282">
        <f t="shared" si="19"/>
        <v>0</v>
      </c>
      <c r="AR46" s="282">
        <f t="shared" si="20"/>
        <v>0</v>
      </c>
      <c r="AS46" s="282">
        <f t="shared" si="21"/>
        <v>0</v>
      </c>
      <c r="AT46" s="282">
        <f t="shared" si="22"/>
        <v>0</v>
      </c>
      <c r="AU46" s="282">
        <f t="shared" si="23"/>
        <v>29.99</v>
      </c>
      <c r="AV46" s="282">
        <f t="shared" si="24"/>
        <v>0</v>
      </c>
      <c r="AW46" s="318">
        <f t="shared" si="25"/>
        <v>139.44999999999999</v>
      </c>
    </row>
    <row r="47" spans="1:49" x14ac:dyDescent="0.2">
      <c r="A47" s="1" t="s">
        <v>738</v>
      </c>
      <c r="B47" s="7">
        <v>379414</v>
      </c>
      <c r="C47" s="7">
        <v>0</v>
      </c>
      <c r="D47" s="2">
        <f>(B47+C47)*0.124-3558.76</f>
        <v>43488.58</v>
      </c>
      <c r="E47" s="2">
        <f>(B47+C47)*0.049-1402.23</f>
        <v>17189.060000000001</v>
      </c>
      <c r="F47" s="2">
        <f>(B47+C47)*0.0524-1488.78</f>
        <v>18392.509999999998</v>
      </c>
      <c r="G47" s="2">
        <f>+AW47</f>
        <v>13777.4</v>
      </c>
      <c r="H47" s="2">
        <f>(B47+C47)*0.0098-323.88</f>
        <v>3394.38</v>
      </c>
      <c r="I47" s="2">
        <f>(AB47)*0.0084484</f>
        <v>0</v>
      </c>
      <c r="J47" s="380">
        <f>SUM(D47:I47)</f>
        <v>96241.93</v>
      </c>
      <c r="K47" s="1"/>
      <c r="L47" s="7"/>
      <c r="M47" s="7"/>
      <c r="N47" s="7"/>
      <c r="O47" s="7"/>
      <c r="P47" s="7"/>
      <c r="Q47" s="7">
        <v>379414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>
        <f>SUM(L47:AC47)</f>
        <v>379414</v>
      </c>
      <c r="AE47" s="7"/>
      <c r="AF47" s="282">
        <f>+M47*$AF$12</f>
        <v>0</v>
      </c>
      <c r="AG47" s="282">
        <f>+N47*$AG$12</f>
        <v>0</v>
      </c>
      <c r="AH47" s="282">
        <f>+O47*$AH$12</f>
        <v>0</v>
      </c>
      <c r="AI47" s="282">
        <f>+P47*$AI$12</f>
        <v>0</v>
      </c>
      <c r="AJ47" s="282">
        <f>+Q47*$AJ$12-1095.63</f>
        <v>13777.4</v>
      </c>
      <c r="AK47" s="282">
        <f>+R47*$AK$12</f>
        <v>0</v>
      </c>
      <c r="AL47" s="282">
        <f>+S47*$AL$12</f>
        <v>0</v>
      </c>
      <c r="AM47" s="282">
        <f>+T47*$AM$12</f>
        <v>0</v>
      </c>
      <c r="AN47" s="282">
        <f>+U47*$AN$12</f>
        <v>0</v>
      </c>
      <c r="AO47" s="282">
        <f>+V47*$AO$12</f>
        <v>0</v>
      </c>
      <c r="AP47" s="282">
        <f>+W47*$AP$12</f>
        <v>0</v>
      </c>
      <c r="AQ47" s="282">
        <f>+X47*$AQ$12</f>
        <v>0</v>
      </c>
      <c r="AR47" s="282">
        <f>+Y47*$AR$12</f>
        <v>0</v>
      </c>
      <c r="AS47" s="282">
        <f>+Z47*$AS$12</f>
        <v>0</v>
      </c>
      <c r="AT47" s="282">
        <f>+AA47*$AT$12</f>
        <v>0</v>
      </c>
      <c r="AU47" s="282">
        <f>+AB47*$AU$12</f>
        <v>0</v>
      </c>
      <c r="AV47" s="282">
        <f>+AC47*$AV$12</f>
        <v>0</v>
      </c>
      <c r="AW47" s="318">
        <f>SUM(AF47:AV47)</f>
        <v>13777.4</v>
      </c>
    </row>
    <row r="48" spans="1:49" s="20" customFormat="1" x14ac:dyDescent="0.2">
      <c r="A48" s="18" t="s">
        <v>723</v>
      </c>
      <c r="B48" s="242">
        <v>360067</v>
      </c>
      <c r="C48" s="242">
        <v>0</v>
      </c>
      <c r="D48" s="2">
        <f>(B48+C48)*0.124-2102.4</f>
        <v>42545.91</v>
      </c>
      <c r="E48" s="78">
        <f>(B48+C48)*0.049-826.81</f>
        <v>16816.47</v>
      </c>
      <c r="F48" s="78">
        <f>(B48+C48)*0.0524-873.68</f>
        <v>17993.830000000002</v>
      </c>
      <c r="G48" s="2">
        <f>+AW48</f>
        <v>30300.34</v>
      </c>
      <c r="H48" s="2">
        <f>(B48+C48)*0.0098-161.96</f>
        <v>3366.7</v>
      </c>
      <c r="I48" s="2">
        <f>(AB48)*0.0084484</f>
        <v>0</v>
      </c>
      <c r="J48" s="380">
        <f>SUM(D48:I48)</f>
        <v>111023.25</v>
      </c>
      <c r="K48" s="18"/>
      <c r="L48" s="242"/>
      <c r="M48" s="242"/>
      <c r="N48" s="242"/>
      <c r="O48" s="242"/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  <c r="AA48" s="242"/>
      <c r="AB48" s="242"/>
      <c r="AC48" s="242">
        <v>360067</v>
      </c>
      <c r="AD48" s="242">
        <f>SUM(L48:AC48)</f>
        <v>360067</v>
      </c>
      <c r="AE48" s="18"/>
      <c r="AF48" s="282">
        <f>+M48*$AF$12</f>
        <v>0</v>
      </c>
      <c r="AG48" s="282">
        <f>+N48*$AG$12</f>
        <v>0</v>
      </c>
      <c r="AH48" s="282">
        <f>+O48*$AH$12</f>
        <v>0</v>
      </c>
      <c r="AI48" s="282">
        <f>+P48*$AI$12</f>
        <v>0</v>
      </c>
      <c r="AJ48" s="282">
        <f>+Q48*$AJ$12</f>
        <v>0</v>
      </c>
      <c r="AK48" s="282">
        <f>+R48*$AK$12</f>
        <v>0</v>
      </c>
      <c r="AL48" s="282">
        <f>+S48*$AL$12</f>
        <v>0</v>
      </c>
      <c r="AM48" s="282">
        <f>+T48*$AM$12</f>
        <v>0</v>
      </c>
      <c r="AN48" s="282">
        <f>+U48*$AN$12</f>
        <v>0</v>
      </c>
      <c r="AO48" s="282">
        <f>+V48*$AO$12</f>
        <v>0</v>
      </c>
      <c r="AP48" s="282">
        <f>+W48*$AP$12</f>
        <v>0</v>
      </c>
      <c r="AQ48" s="282">
        <f>+X48*$AQ$12</f>
        <v>0</v>
      </c>
      <c r="AR48" s="282">
        <f>+Y48*$AR$12</f>
        <v>0</v>
      </c>
      <c r="AS48" s="282">
        <f>+Z48*$AS$12</f>
        <v>0</v>
      </c>
      <c r="AT48" s="282">
        <f>+AA48*$AT$12</f>
        <v>0</v>
      </c>
      <c r="AU48" s="282">
        <f>+AB48*$AU$12</f>
        <v>0</v>
      </c>
      <c r="AV48" s="282">
        <f>+AC48*$AV$12-1457.57</f>
        <v>30300.34</v>
      </c>
      <c r="AW48" s="318">
        <f>SUM(AF48:AV48)</f>
        <v>30300.34</v>
      </c>
    </row>
    <row r="49" spans="1:49" x14ac:dyDescent="0.2">
      <c r="A49" s="18" t="s">
        <v>142</v>
      </c>
      <c r="B49" s="7">
        <v>116377</v>
      </c>
      <c r="C49" s="7">
        <v>0</v>
      </c>
      <c r="D49" s="2">
        <f>(B49+C49)*0.124+0.01</f>
        <v>14430.76</v>
      </c>
      <c r="E49" s="2">
        <f t="shared" ref="E49:E57" si="34">(B49+C49)*0.049</f>
        <v>5702.47</v>
      </c>
      <c r="F49" s="2">
        <f t="shared" ref="F49:F57" si="35">(B49+C49)*0.0524</f>
        <v>6098.15</v>
      </c>
      <c r="G49" s="2">
        <f t="shared" si="3"/>
        <v>4561.9799999999996</v>
      </c>
      <c r="H49" s="2">
        <f t="shared" si="4"/>
        <v>1140.49</v>
      </c>
      <c r="I49" s="2">
        <f t="shared" si="5"/>
        <v>0</v>
      </c>
      <c r="J49" s="380">
        <f t="shared" si="6"/>
        <v>31933.85</v>
      </c>
      <c r="K49" s="1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>
        <v>116377</v>
      </c>
      <c r="Z49" s="7"/>
      <c r="AA49" s="7"/>
      <c r="AB49" s="7"/>
      <c r="AC49" s="7"/>
      <c r="AD49" s="7">
        <f t="shared" si="33"/>
        <v>116377</v>
      </c>
      <c r="AF49" s="282">
        <f t="shared" si="8"/>
        <v>0</v>
      </c>
      <c r="AG49" s="282">
        <f t="shared" si="9"/>
        <v>0</v>
      </c>
      <c r="AH49" s="282">
        <f t="shared" si="10"/>
        <v>0</v>
      </c>
      <c r="AI49" s="282">
        <f t="shared" si="11"/>
        <v>0</v>
      </c>
      <c r="AJ49" s="282">
        <f t="shared" si="12"/>
        <v>0</v>
      </c>
      <c r="AK49" s="282">
        <f t="shared" si="13"/>
        <v>0</v>
      </c>
      <c r="AL49" s="282">
        <f t="shared" si="14"/>
        <v>0</v>
      </c>
      <c r="AM49" s="282">
        <f t="shared" si="15"/>
        <v>0</v>
      </c>
      <c r="AN49" s="282">
        <f t="shared" si="16"/>
        <v>0</v>
      </c>
      <c r="AO49" s="282">
        <f t="shared" si="17"/>
        <v>0</v>
      </c>
      <c r="AP49" s="282">
        <f t="shared" si="18"/>
        <v>0</v>
      </c>
      <c r="AQ49" s="282">
        <f t="shared" si="19"/>
        <v>0</v>
      </c>
      <c r="AR49" s="282">
        <f t="shared" si="20"/>
        <v>4561.9799999999996</v>
      </c>
      <c r="AS49" s="282">
        <f t="shared" si="21"/>
        <v>0</v>
      </c>
      <c r="AT49" s="282">
        <f t="shared" si="22"/>
        <v>0</v>
      </c>
      <c r="AU49" s="282">
        <f t="shared" si="23"/>
        <v>0</v>
      </c>
      <c r="AV49" s="282">
        <f t="shared" si="24"/>
        <v>0</v>
      </c>
      <c r="AW49" s="318">
        <f t="shared" si="25"/>
        <v>4561.9799999999996</v>
      </c>
    </row>
    <row r="50" spans="1:49" x14ac:dyDescent="0.2">
      <c r="A50" s="1" t="s">
        <v>434</v>
      </c>
      <c r="B50" s="7">
        <v>-94</v>
      </c>
      <c r="C50" s="7">
        <v>2766395</v>
      </c>
      <c r="D50" s="2">
        <f t="shared" si="0"/>
        <v>343021.32</v>
      </c>
      <c r="E50" s="2">
        <f t="shared" si="34"/>
        <v>135548.75</v>
      </c>
      <c r="F50" s="2">
        <f t="shared" si="35"/>
        <v>144954.17000000001</v>
      </c>
      <c r="G50" s="2">
        <f t="shared" si="3"/>
        <v>241008.55</v>
      </c>
      <c r="H50" s="2">
        <f>(B50+C50)*0.0098+0.92</f>
        <v>27110.67</v>
      </c>
      <c r="I50" s="2">
        <f t="shared" si="5"/>
        <v>0</v>
      </c>
      <c r="J50" s="380">
        <f t="shared" si="6"/>
        <v>891643.46</v>
      </c>
      <c r="K50" s="1"/>
      <c r="L50" s="7"/>
      <c r="M50" s="7"/>
      <c r="N50" s="7"/>
      <c r="O50" s="7">
        <v>2705426</v>
      </c>
      <c r="P50" s="7"/>
      <c r="Q50" s="7"/>
      <c r="R50" s="7"/>
      <c r="S50" s="7"/>
      <c r="T50" s="7"/>
      <c r="U50" s="7"/>
      <c r="V50" s="7"/>
      <c r="W50" s="7"/>
      <c r="X50" s="7"/>
      <c r="Y50" s="7">
        <v>60969</v>
      </c>
      <c r="Z50" s="7"/>
      <c r="AA50" s="7"/>
      <c r="AB50" s="7"/>
      <c r="AC50" s="7"/>
      <c r="AD50" s="7">
        <f t="shared" ref="AD50:AD61" si="36">SUM(L50:AC50)</f>
        <v>2766395</v>
      </c>
      <c r="AE50" s="1"/>
      <c r="AF50" s="282">
        <f t="shared" si="8"/>
        <v>0</v>
      </c>
      <c r="AG50" s="282">
        <f t="shared" si="9"/>
        <v>0</v>
      </c>
      <c r="AH50" s="282">
        <f t="shared" si="10"/>
        <v>238618.57</v>
      </c>
      <c r="AI50" s="282">
        <f t="shared" si="11"/>
        <v>0</v>
      </c>
      <c r="AJ50" s="282">
        <f t="shared" si="12"/>
        <v>0</v>
      </c>
      <c r="AK50" s="282">
        <f t="shared" si="13"/>
        <v>0</v>
      </c>
      <c r="AL50" s="282">
        <f t="shared" si="14"/>
        <v>0</v>
      </c>
      <c r="AM50" s="282">
        <f t="shared" si="15"/>
        <v>0</v>
      </c>
      <c r="AN50" s="282">
        <f t="shared" si="16"/>
        <v>0</v>
      </c>
      <c r="AO50" s="282">
        <f t="shared" si="17"/>
        <v>0</v>
      </c>
      <c r="AP50" s="282">
        <f t="shared" si="18"/>
        <v>0</v>
      </c>
      <c r="AQ50" s="282">
        <f t="shared" si="19"/>
        <v>0</v>
      </c>
      <c r="AR50" s="282">
        <f t="shared" si="20"/>
        <v>2389.98</v>
      </c>
      <c r="AS50" s="282">
        <f t="shared" si="21"/>
        <v>0</v>
      </c>
      <c r="AT50" s="282">
        <f t="shared" si="22"/>
        <v>0</v>
      </c>
      <c r="AU50" s="282">
        <f t="shared" si="23"/>
        <v>0</v>
      </c>
      <c r="AV50" s="282">
        <f t="shared" si="24"/>
        <v>0</v>
      </c>
      <c r="AW50" s="318">
        <f t="shared" si="25"/>
        <v>241008.55</v>
      </c>
    </row>
    <row r="51" spans="1:49" s="20" customFormat="1" x14ac:dyDescent="0.2">
      <c r="A51" s="18" t="s">
        <v>495</v>
      </c>
      <c r="B51" s="242">
        <v>102818</v>
      </c>
      <c r="C51" s="242">
        <v>0</v>
      </c>
      <c r="D51" s="2">
        <f>(B51+C51)*0.124+0.01</f>
        <v>12749.44</v>
      </c>
      <c r="E51" s="78">
        <f t="shared" si="34"/>
        <v>5038.08</v>
      </c>
      <c r="F51" s="78">
        <f t="shared" si="35"/>
        <v>5387.66</v>
      </c>
      <c r="G51" s="2">
        <f t="shared" si="3"/>
        <v>4030.47</v>
      </c>
      <c r="H51" s="2">
        <f t="shared" si="4"/>
        <v>1007.62</v>
      </c>
      <c r="I51" s="2">
        <f t="shared" si="5"/>
        <v>0</v>
      </c>
      <c r="J51" s="380">
        <f t="shared" si="6"/>
        <v>28213.27</v>
      </c>
      <c r="K51" s="18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>
        <v>102818</v>
      </c>
      <c r="Z51" s="242"/>
      <c r="AA51" s="242"/>
      <c r="AB51" s="242"/>
      <c r="AC51" s="242"/>
      <c r="AD51" s="242">
        <f>SUM(L51:AC51)</f>
        <v>102818</v>
      </c>
      <c r="AE51" s="18"/>
      <c r="AF51" s="282">
        <f t="shared" si="8"/>
        <v>0</v>
      </c>
      <c r="AG51" s="282">
        <f t="shared" si="9"/>
        <v>0</v>
      </c>
      <c r="AH51" s="282">
        <f t="shared" si="10"/>
        <v>0</v>
      </c>
      <c r="AI51" s="282">
        <f t="shared" si="11"/>
        <v>0</v>
      </c>
      <c r="AJ51" s="282">
        <f t="shared" si="12"/>
        <v>0</v>
      </c>
      <c r="AK51" s="282">
        <f t="shared" si="13"/>
        <v>0</v>
      </c>
      <c r="AL51" s="282">
        <f t="shared" si="14"/>
        <v>0</v>
      </c>
      <c r="AM51" s="282">
        <f t="shared" si="15"/>
        <v>0</v>
      </c>
      <c r="AN51" s="282">
        <f t="shared" si="16"/>
        <v>0</v>
      </c>
      <c r="AO51" s="282">
        <f t="shared" si="17"/>
        <v>0</v>
      </c>
      <c r="AP51" s="282">
        <f t="shared" si="18"/>
        <v>0</v>
      </c>
      <c r="AQ51" s="282">
        <f t="shared" si="19"/>
        <v>0</v>
      </c>
      <c r="AR51" s="282">
        <f t="shared" si="20"/>
        <v>4030.47</v>
      </c>
      <c r="AS51" s="282">
        <f t="shared" si="21"/>
        <v>0</v>
      </c>
      <c r="AT51" s="282">
        <f t="shared" si="22"/>
        <v>0</v>
      </c>
      <c r="AU51" s="282">
        <f t="shared" si="23"/>
        <v>0</v>
      </c>
      <c r="AV51" s="282">
        <f t="shared" si="24"/>
        <v>0</v>
      </c>
      <c r="AW51" s="318">
        <f t="shared" si="25"/>
        <v>4030.47</v>
      </c>
    </row>
    <row r="52" spans="1:49" s="20" customFormat="1" x14ac:dyDescent="0.2">
      <c r="A52" s="18" t="s">
        <v>604</v>
      </c>
      <c r="B52" s="242">
        <v>121115</v>
      </c>
      <c r="C52" s="242">
        <v>162093</v>
      </c>
      <c r="D52" s="2">
        <f>(B52+C52)*0.124</f>
        <v>35117.79</v>
      </c>
      <c r="E52" s="78">
        <f t="shared" si="34"/>
        <v>13877.19</v>
      </c>
      <c r="F52" s="78">
        <f t="shared" si="35"/>
        <v>14840.1</v>
      </c>
      <c r="G52" s="2">
        <f t="shared" si="3"/>
        <v>19503.78</v>
      </c>
      <c r="H52" s="2">
        <f>(B52+C52)*0.0098-0.01</f>
        <v>2775.43</v>
      </c>
      <c r="I52" s="2">
        <f t="shared" si="5"/>
        <v>0</v>
      </c>
      <c r="J52" s="380">
        <f t="shared" si="6"/>
        <v>86114.29</v>
      </c>
      <c r="K52" s="18"/>
      <c r="L52" s="242"/>
      <c r="M52" s="242"/>
      <c r="N52" s="242">
        <v>4028</v>
      </c>
      <c r="O52" s="242">
        <v>162093</v>
      </c>
      <c r="P52" s="242"/>
      <c r="Q52" s="242">
        <v>111738</v>
      </c>
      <c r="R52" s="242"/>
      <c r="S52" s="242"/>
      <c r="T52" s="242">
        <v>5349</v>
      </c>
      <c r="U52" s="242"/>
      <c r="V52" s="242"/>
      <c r="W52" s="242"/>
      <c r="X52" s="242"/>
      <c r="Y52" s="242"/>
      <c r="Z52" s="242"/>
      <c r="AA52" s="242"/>
      <c r="AB52" s="242"/>
      <c r="AC52" s="242"/>
      <c r="AD52" s="242">
        <f>SUM(L52:AC52)</f>
        <v>283208</v>
      </c>
      <c r="AE52" s="18"/>
      <c r="AF52" s="282">
        <f t="shared" si="8"/>
        <v>0</v>
      </c>
      <c r="AG52" s="282">
        <f t="shared" si="9"/>
        <v>355.27</v>
      </c>
      <c r="AH52" s="282">
        <f t="shared" si="10"/>
        <v>14296.6</v>
      </c>
      <c r="AI52" s="282">
        <f t="shared" si="11"/>
        <v>0</v>
      </c>
      <c r="AJ52" s="282">
        <f t="shared" si="12"/>
        <v>4380.13</v>
      </c>
      <c r="AK52" s="282">
        <f t="shared" si="13"/>
        <v>0</v>
      </c>
      <c r="AL52" s="282">
        <f t="shared" si="14"/>
        <v>0</v>
      </c>
      <c r="AM52" s="282">
        <f t="shared" si="15"/>
        <v>471.78</v>
      </c>
      <c r="AN52" s="282">
        <f t="shared" si="16"/>
        <v>0</v>
      </c>
      <c r="AO52" s="282">
        <f t="shared" si="17"/>
        <v>0</v>
      </c>
      <c r="AP52" s="282">
        <f t="shared" si="18"/>
        <v>0</v>
      </c>
      <c r="AQ52" s="282">
        <f t="shared" si="19"/>
        <v>0</v>
      </c>
      <c r="AR52" s="282">
        <f t="shared" si="20"/>
        <v>0</v>
      </c>
      <c r="AS52" s="282">
        <f t="shared" si="21"/>
        <v>0</v>
      </c>
      <c r="AT52" s="282">
        <f t="shared" si="22"/>
        <v>0</v>
      </c>
      <c r="AU52" s="282">
        <f t="shared" si="23"/>
        <v>0</v>
      </c>
      <c r="AV52" s="282">
        <f t="shared" si="24"/>
        <v>0</v>
      </c>
      <c r="AW52" s="318">
        <f t="shared" si="25"/>
        <v>19503.78</v>
      </c>
    </row>
    <row r="53" spans="1:49" ht="15" customHeight="1" x14ac:dyDescent="0.2">
      <c r="A53" s="7" t="s">
        <v>352</v>
      </c>
      <c r="B53" s="7">
        <v>149691</v>
      </c>
      <c r="C53" s="7">
        <v>0</v>
      </c>
      <c r="D53" s="2">
        <f t="shared" si="0"/>
        <v>18561.68</v>
      </c>
      <c r="E53" s="2">
        <f t="shared" si="34"/>
        <v>7334.86</v>
      </c>
      <c r="F53" s="2">
        <f t="shared" si="35"/>
        <v>7843.81</v>
      </c>
      <c r="G53" s="2">
        <f t="shared" si="3"/>
        <v>8388.26</v>
      </c>
      <c r="H53" s="2">
        <f t="shared" si="4"/>
        <v>1466.97</v>
      </c>
      <c r="I53" s="2">
        <f t="shared" si="5"/>
        <v>0</v>
      </c>
      <c r="J53" s="380">
        <f t="shared" si="6"/>
        <v>43595.58</v>
      </c>
      <c r="K53" s="1"/>
      <c r="L53" s="7"/>
      <c r="M53" s="7"/>
      <c r="N53" s="7"/>
      <c r="O53" s="7"/>
      <c r="P53" s="7"/>
      <c r="Q53" s="7"/>
      <c r="R53" s="7">
        <v>3093</v>
      </c>
      <c r="S53" s="7"/>
      <c r="T53" s="7"/>
      <c r="U53" s="7"/>
      <c r="V53" s="7"/>
      <c r="W53" s="7"/>
      <c r="X53" s="7">
        <v>10585</v>
      </c>
      <c r="Y53" s="7">
        <v>95162</v>
      </c>
      <c r="Z53" s="7"/>
      <c r="AA53" s="7"/>
      <c r="AB53" s="7"/>
      <c r="AC53" s="7">
        <v>40851</v>
      </c>
      <c r="AD53" s="7">
        <f t="shared" si="36"/>
        <v>149691</v>
      </c>
      <c r="AE53" s="7"/>
      <c r="AF53" s="282">
        <f t="shared" si="8"/>
        <v>0</v>
      </c>
      <c r="AG53" s="282">
        <f t="shared" si="9"/>
        <v>0</v>
      </c>
      <c r="AH53" s="282">
        <f t="shared" si="10"/>
        <v>0</v>
      </c>
      <c r="AI53" s="282">
        <f t="shared" si="11"/>
        <v>0</v>
      </c>
      <c r="AJ53" s="282">
        <f t="shared" si="12"/>
        <v>0</v>
      </c>
      <c r="AK53" s="282">
        <f t="shared" si="13"/>
        <v>121.25</v>
      </c>
      <c r="AL53" s="282">
        <f t="shared" si="14"/>
        <v>0</v>
      </c>
      <c r="AM53" s="282">
        <f t="shared" si="15"/>
        <v>0</v>
      </c>
      <c r="AN53" s="282">
        <f t="shared" si="16"/>
        <v>0</v>
      </c>
      <c r="AO53" s="282">
        <f t="shared" si="17"/>
        <v>0</v>
      </c>
      <c r="AP53" s="282">
        <f t="shared" si="18"/>
        <v>0</v>
      </c>
      <c r="AQ53" s="282">
        <f t="shared" si="19"/>
        <v>933.6</v>
      </c>
      <c r="AR53" s="282">
        <f t="shared" si="20"/>
        <v>3730.35</v>
      </c>
      <c r="AS53" s="282">
        <f t="shared" si="21"/>
        <v>0</v>
      </c>
      <c r="AT53" s="282">
        <f t="shared" si="22"/>
        <v>0</v>
      </c>
      <c r="AU53" s="282">
        <f t="shared" si="23"/>
        <v>0</v>
      </c>
      <c r="AV53" s="282">
        <f t="shared" si="24"/>
        <v>3603.06</v>
      </c>
      <c r="AW53" s="318">
        <f t="shared" si="25"/>
        <v>8388.26</v>
      </c>
    </row>
    <row r="54" spans="1:49" x14ac:dyDescent="0.2">
      <c r="A54" s="7" t="s">
        <v>435</v>
      </c>
      <c r="B54" s="7">
        <v>15167</v>
      </c>
      <c r="C54" s="7">
        <v>0</v>
      </c>
      <c r="D54" s="2">
        <f t="shared" si="0"/>
        <v>1880.71</v>
      </c>
      <c r="E54" s="2">
        <f t="shared" si="34"/>
        <v>743.18</v>
      </c>
      <c r="F54" s="2">
        <f t="shared" si="35"/>
        <v>794.75</v>
      </c>
      <c r="G54" s="2">
        <f t="shared" si="3"/>
        <v>1337.73</v>
      </c>
      <c r="H54" s="2">
        <f t="shared" si="4"/>
        <v>148.63999999999999</v>
      </c>
      <c r="I54" s="2">
        <f t="shared" si="5"/>
        <v>0</v>
      </c>
      <c r="J54" s="380">
        <f t="shared" si="6"/>
        <v>4905.01</v>
      </c>
      <c r="K54" s="1"/>
      <c r="L54" s="7"/>
      <c r="M54" s="7"/>
      <c r="N54" s="7"/>
      <c r="O54" s="7"/>
      <c r="P54" s="7"/>
      <c r="Q54" s="7"/>
      <c r="R54" s="7"/>
      <c r="S54" s="7"/>
      <c r="T54" s="7">
        <v>15167</v>
      </c>
      <c r="U54" s="7"/>
      <c r="V54" s="7"/>
      <c r="W54" s="7"/>
      <c r="X54" s="7"/>
      <c r="Y54" s="7"/>
      <c r="Z54" s="7"/>
      <c r="AA54" s="7"/>
      <c r="AB54" s="7"/>
      <c r="AC54" s="7"/>
      <c r="AD54" s="7">
        <f t="shared" si="36"/>
        <v>15167</v>
      </c>
      <c r="AE54" s="7"/>
      <c r="AF54" s="282">
        <f t="shared" si="8"/>
        <v>0</v>
      </c>
      <c r="AG54" s="282">
        <f t="shared" si="9"/>
        <v>0</v>
      </c>
      <c r="AH54" s="282">
        <f t="shared" si="10"/>
        <v>0</v>
      </c>
      <c r="AI54" s="282">
        <f t="shared" si="11"/>
        <v>0</v>
      </c>
      <c r="AJ54" s="282">
        <f t="shared" si="12"/>
        <v>0</v>
      </c>
      <c r="AK54" s="282">
        <f t="shared" si="13"/>
        <v>0</v>
      </c>
      <c r="AL54" s="282">
        <f t="shared" si="14"/>
        <v>0</v>
      </c>
      <c r="AM54" s="282">
        <f t="shared" si="15"/>
        <v>1337.73</v>
      </c>
      <c r="AN54" s="282">
        <f t="shared" si="16"/>
        <v>0</v>
      </c>
      <c r="AO54" s="282">
        <f t="shared" si="17"/>
        <v>0</v>
      </c>
      <c r="AP54" s="282">
        <f t="shared" si="18"/>
        <v>0</v>
      </c>
      <c r="AQ54" s="282">
        <f t="shared" si="19"/>
        <v>0</v>
      </c>
      <c r="AR54" s="282">
        <f t="shared" si="20"/>
        <v>0</v>
      </c>
      <c r="AS54" s="282">
        <f t="shared" si="21"/>
        <v>0</v>
      </c>
      <c r="AT54" s="282">
        <f t="shared" si="22"/>
        <v>0</v>
      </c>
      <c r="AU54" s="282">
        <f t="shared" si="23"/>
        <v>0</v>
      </c>
      <c r="AV54" s="282">
        <f t="shared" si="24"/>
        <v>0</v>
      </c>
      <c r="AW54" s="318">
        <f t="shared" si="25"/>
        <v>1337.73</v>
      </c>
    </row>
    <row r="55" spans="1:49" x14ac:dyDescent="0.2">
      <c r="A55" s="1" t="s">
        <v>47</v>
      </c>
      <c r="B55" s="7">
        <v>89076</v>
      </c>
      <c r="C55" s="7">
        <v>0</v>
      </c>
      <c r="D55" s="2">
        <f>(B55+C55)*0.124+0.01</f>
        <v>11045.43</v>
      </c>
      <c r="E55" s="2">
        <f t="shared" si="34"/>
        <v>4364.72</v>
      </c>
      <c r="F55" s="2">
        <f t="shared" si="35"/>
        <v>4667.58</v>
      </c>
      <c r="G55" s="2">
        <f t="shared" si="3"/>
        <v>4610.54</v>
      </c>
      <c r="H55" s="2">
        <f t="shared" si="4"/>
        <v>872.94</v>
      </c>
      <c r="I55" s="2">
        <f t="shared" si="5"/>
        <v>0</v>
      </c>
      <c r="J55" s="380">
        <f t="shared" si="6"/>
        <v>25561.21</v>
      </c>
      <c r="K55" s="1"/>
      <c r="L55" s="7"/>
      <c r="M55" s="7"/>
      <c r="N55" s="7"/>
      <c r="O55" s="7"/>
      <c r="P55" s="7"/>
      <c r="Q55" s="7">
        <v>66244</v>
      </c>
      <c r="R55" s="7"/>
      <c r="S55" s="7"/>
      <c r="T55" s="7">
        <v>22832</v>
      </c>
      <c r="U55" s="7"/>
      <c r="V55" s="7"/>
      <c r="W55" s="7"/>
      <c r="X55" s="7"/>
      <c r="Y55" s="7"/>
      <c r="Z55" s="7"/>
      <c r="AA55" s="7"/>
      <c r="AB55" s="7"/>
      <c r="AC55" s="7"/>
      <c r="AD55" s="7">
        <f>SUM(L55:AC55)</f>
        <v>89076</v>
      </c>
      <c r="AE55" s="1"/>
      <c r="AF55" s="282">
        <f t="shared" si="8"/>
        <v>0</v>
      </c>
      <c r="AG55" s="282">
        <f t="shared" si="9"/>
        <v>0</v>
      </c>
      <c r="AH55" s="282">
        <f t="shared" si="10"/>
        <v>0</v>
      </c>
      <c r="AI55" s="282">
        <f t="shared" si="11"/>
        <v>0</v>
      </c>
      <c r="AJ55" s="282">
        <f t="shared" si="12"/>
        <v>2596.7600000000002</v>
      </c>
      <c r="AK55" s="282">
        <f t="shared" si="13"/>
        <v>0</v>
      </c>
      <c r="AL55" s="282">
        <f t="shared" si="14"/>
        <v>0</v>
      </c>
      <c r="AM55" s="282">
        <f t="shared" si="15"/>
        <v>2013.78</v>
      </c>
      <c r="AN55" s="282">
        <f t="shared" si="16"/>
        <v>0</v>
      </c>
      <c r="AO55" s="282">
        <f t="shared" si="17"/>
        <v>0</v>
      </c>
      <c r="AP55" s="282">
        <f t="shared" si="18"/>
        <v>0</v>
      </c>
      <c r="AQ55" s="282">
        <f t="shared" si="19"/>
        <v>0</v>
      </c>
      <c r="AR55" s="282">
        <f t="shared" si="20"/>
        <v>0</v>
      </c>
      <c r="AS55" s="282">
        <f t="shared" si="21"/>
        <v>0</v>
      </c>
      <c r="AT55" s="282">
        <f t="shared" si="22"/>
        <v>0</v>
      </c>
      <c r="AU55" s="282">
        <f t="shared" si="23"/>
        <v>0</v>
      </c>
      <c r="AV55" s="282">
        <f t="shared" si="24"/>
        <v>0</v>
      </c>
      <c r="AW55" s="318">
        <f t="shared" si="25"/>
        <v>4610.54</v>
      </c>
    </row>
    <row r="56" spans="1:49" s="20" customFormat="1" x14ac:dyDescent="0.2">
      <c r="A56" s="18" t="s">
        <v>48</v>
      </c>
      <c r="B56" s="242">
        <v>409983</v>
      </c>
      <c r="C56" s="242">
        <v>1706963</v>
      </c>
      <c r="D56" s="2">
        <f>(B56+C56)*0.124+0.01</f>
        <v>262501.31</v>
      </c>
      <c r="E56" s="78">
        <f t="shared" si="34"/>
        <v>103730.35</v>
      </c>
      <c r="F56" s="78">
        <f t="shared" si="35"/>
        <v>110927.97</v>
      </c>
      <c r="G56" s="2">
        <f t="shared" si="3"/>
        <v>162106.29</v>
      </c>
      <c r="H56" s="2">
        <f>(B56+C56)*0.0098-1902.79</f>
        <v>18843.28</v>
      </c>
      <c r="I56" s="2">
        <f t="shared" si="5"/>
        <v>103.12</v>
      </c>
      <c r="J56" s="380">
        <f t="shared" si="6"/>
        <v>658212.31999999995</v>
      </c>
      <c r="K56" s="18"/>
      <c r="L56" s="242"/>
      <c r="M56" s="242"/>
      <c r="N56" s="242"/>
      <c r="O56" s="242">
        <v>1707971</v>
      </c>
      <c r="P56" s="242"/>
      <c r="Q56" s="242">
        <v>48400</v>
      </c>
      <c r="R56" s="242"/>
      <c r="S56" s="242">
        <v>27991</v>
      </c>
      <c r="T56" s="242">
        <v>37708</v>
      </c>
      <c r="U56" s="242">
        <v>5217</v>
      </c>
      <c r="V56" s="242">
        <v>76325</v>
      </c>
      <c r="W56" s="242"/>
      <c r="X56" s="242"/>
      <c r="Y56" s="242"/>
      <c r="Z56" s="242">
        <v>6964</v>
      </c>
      <c r="AA56" s="242"/>
      <c r="AB56" s="242">
        <v>12206</v>
      </c>
      <c r="AC56" s="242"/>
      <c r="AD56" s="242">
        <f t="shared" si="36"/>
        <v>1922782</v>
      </c>
      <c r="AE56" s="18"/>
      <c r="AF56" s="282">
        <f t="shared" si="8"/>
        <v>0</v>
      </c>
      <c r="AG56" s="282">
        <f t="shared" si="9"/>
        <v>0</v>
      </c>
      <c r="AH56" s="282">
        <f t="shared" si="10"/>
        <v>150643.04</v>
      </c>
      <c r="AI56" s="282">
        <f t="shared" si="11"/>
        <v>0</v>
      </c>
      <c r="AJ56" s="282">
        <f t="shared" si="12"/>
        <v>1897.28</v>
      </c>
      <c r="AK56" s="282">
        <f t="shared" si="13"/>
        <v>0</v>
      </c>
      <c r="AL56" s="282">
        <f t="shared" si="14"/>
        <v>1097.25</v>
      </c>
      <c r="AM56" s="282">
        <f t="shared" si="15"/>
        <v>3325.85</v>
      </c>
      <c r="AN56" s="282">
        <f t="shared" si="16"/>
        <v>460.14</v>
      </c>
      <c r="AO56" s="282">
        <f t="shared" si="17"/>
        <v>2991.94</v>
      </c>
      <c r="AP56" s="282">
        <f t="shared" si="18"/>
        <v>0</v>
      </c>
      <c r="AQ56" s="282">
        <f t="shared" si="19"/>
        <v>0</v>
      </c>
      <c r="AR56" s="282">
        <f t="shared" si="20"/>
        <v>0</v>
      </c>
      <c r="AS56" s="282">
        <f t="shared" si="21"/>
        <v>614.22</v>
      </c>
      <c r="AT56" s="282">
        <f t="shared" si="22"/>
        <v>0</v>
      </c>
      <c r="AU56" s="282">
        <f t="shared" si="23"/>
        <v>1076.57</v>
      </c>
      <c r="AV56" s="282">
        <f t="shared" si="24"/>
        <v>0</v>
      </c>
      <c r="AW56" s="318">
        <f t="shared" si="25"/>
        <v>162106.29</v>
      </c>
    </row>
    <row r="57" spans="1:49" x14ac:dyDescent="0.2">
      <c r="A57" s="1" t="s">
        <v>49</v>
      </c>
      <c r="B57" s="7">
        <v>306200</v>
      </c>
      <c r="C57" s="7">
        <v>12547926</v>
      </c>
      <c r="D57" s="2">
        <f>(B57+C57)*0.124+0.01</f>
        <v>1593911.63</v>
      </c>
      <c r="E57" s="2">
        <f t="shared" si="34"/>
        <v>629852.17000000004</v>
      </c>
      <c r="F57" s="2">
        <f t="shared" si="35"/>
        <v>673556.2</v>
      </c>
      <c r="G57" s="2">
        <f t="shared" si="3"/>
        <v>1118730.1100000001</v>
      </c>
      <c r="H57" s="2">
        <f t="shared" si="4"/>
        <v>125970.43</v>
      </c>
      <c r="I57" s="2">
        <f t="shared" si="5"/>
        <v>0</v>
      </c>
      <c r="J57" s="380">
        <f t="shared" si="6"/>
        <v>4142020.54</v>
      </c>
      <c r="K57" s="1"/>
      <c r="L57" s="7"/>
      <c r="M57" s="7"/>
      <c r="N57" s="7"/>
      <c r="O57" s="7">
        <v>12547926</v>
      </c>
      <c r="P57" s="7"/>
      <c r="Q57" s="7"/>
      <c r="R57" s="7"/>
      <c r="S57" s="7"/>
      <c r="T57" s="7"/>
      <c r="U57" s="7"/>
      <c r="V57" s="7"/>
      <c r="W57" s="7"/>
      <c r="X57" s="7"/>
      <c r="Y57" s="7">
        <v>306200</v>
      </c>
      <c r="Z57" s="7"/>
      <c r="AA57" s="7"/>
      <c r="AB57" s="7"/>
      <c r="AC57" s="7"/>
      <c r="AD57" s="7">
        <f>SUM(L57:AC57)</f>
        <v>12854126</v>
      </c>
      <c r="AE57" s="1"/>
      <c r="AF57" s="282">
        <f t="shared" si="8"/>
        <v>0</v>
      </c>
      <c r="AG57" s="282">
        <f t="shared" si="9"/>
        <v>0</v>
      </c>
      <c r="AH57" s="282">
        <f t="shared" si="10"/>
        <v>1106727.07</v>
      </c>
      <c r="AI57" s="282">
        <f t="shared" si="11"/>
        <v>0</v>
      </c>
      <c r="AJ57" s="282">
        <f t="shared" si="12"/>
        <v>0</v>
      </c>
      <c r="AK57" s="282">
        <f t="shared" si="13"/>
        <v>0</v>
      </c>
      <c r="AL57" s="282">
        <f t="shared" si="14"/>
        <v>0</v>
      </c>
      <c r="AM57" s="282">
        <f t="shared" si="15"/>
        <v>0</v>
      </c>
      <c r="AN57" s="282">
        <f t="shared" si="16"/>
        <v>0</v>
      </c>
      <c r="AO57" s="282">
        <f t="shared" si="17"/>
        <v>0</v>
      </c>
      <c r="AP57" s="282">
        <f t="shared" si="18"/>
        <v>0</v>
      </c>
      <c r="AQ57" s="282">
        <f t="shared" si="19"/>
        <v>0</v>
      </c>
      <c r="AR57" s="282">
        <f t="shared" si="20"/>
        <v>12003.04</v>
      </c>
      <c r="AS57" s="282">
        <f t="shared" si="21"/>
        <v>0</v>
      </c>
      <c r="AT57" s="282">
        <f t="shared" si="22"/>
        <v>0</v>
      </c>
      <c r="AU57" s="282">
        <f t="shared" si="23"/>
        <v>0</v>
      </c>
      <c r="AV57" s="282">
        <f t="shared" si="24"/>
        <v>0</v>
      </c>
      <c r="AW57" s="318">
        <f t="shared" si="25"/>
        <v>1118730.1100000001</v>
      </c>
    </row>
    <row r="58" spans="1:49" x14ac:dyDescent="0.2">
      <c r="A58" s="1" t="s">
        <v>362</v>
      </c>
      <c r="B58" s="7">
        <v>25567</v>
      </c>
      <c r="C58" s="7">
        <v>0</v>
      </c>
      <c r="D58" s="2">
        <f t="shared" si="0"/>
        <v>3170.31</v>
      </c>
      <c r="E58" s="2">
        <f t="shared" ref="E58:E64" si="37">(B58+C58)*0.049</f>
        <v>1252.78</v>
      </c>
      <c r="F58" s="78">
        <f t="shared" ref="F58:F90" si="38">(B58+C58)*0.0524</f>
        <v>1339.71</v>
      </c>
      <c r="G58" s="2">
        <f t="shared" si="3"/>
        <v>2255.0100000000002</v>
      </c>
      <c r="H58" s="2">
        <f t="shared" si="4"/>
        <v>250.56</v>
      </c>
      <c r="I58" s="2">
        <f t="shared" si="5"/>
        <v>0</v>
      </c>
      <c r="J58" s="380">
        <f t="shared" si="6"/>
        <v>8268.3700000000008</v>
      </c>
      <c r="K58" s="1"/>
      <c r="L58" s="7"/>
      <c r="M58" s="7">
        <v>20661</v>
      </c>
      <c r="N58" s="7"/>
      <c r="O58" s="7">
        <v>4906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>
        <f t="shared" si="36"/>
        <v>25567</v>
      </c>
      <c r="AE58" s="1"/>
      <c r="AF58" s="282">
        <f t="shared" si="8"/>
        <v>1822.3</v>
      </c>
      <c r="AG58" s="282">
        <f t="shared" si="9"/>
        <v>0</v>
      </c>
      <c r="AH58" s="282">
        <f t="shared" si="10"/>
        <v>432.71</v>
      </c>
      <c r="AI58" s="282">
        <f t="shared" si="11"/>
        <v>0</v>
      </c>
      <c r="AJ58" s="282">
        <f t="shared" si="12"/>
        <v>0</v>
      </c>
      <c r="AK58" s="282">
        <f t="shared" si="13"/>
        <v>0</v>
      </c>
      <c r="AL58" s="282">
        <f t="shared" si="14"/>
        <v>0</v>
      </c>
      <c r="AM58" s="282">
        <f t="shared" si="15"/>
        <v>0</v>
      </c>
      <c r="AN58" s="282">
        <f t="shared" si="16"/>
        <v>0</v>
      </c>
      <c r="AO58" s="282">
        <f t="shared" si="17"/>
        <v>0</v>
      </c>
      <c r="AP58" s="282">
        <f t="shared" si="18"/>
        <v>0</v>
      </c>
      <c r="AQ58" s="282">
        <f t="shared" si="19"/>
        <v>0</v>
      </c>
      <c r="AR58" s="282">
        <f t="shared" si="20"/>
        <v>0</v>
      </c>
      <c r="AS58" s="282">
        <f t="shared" si="21"/>
        <v>0</v>
      </c>
      <c r="AT58" s="282">
        <f t="shared" si="22"/>
        <v>0</v>
      </c>
      <c r="AU58" s="282">
        <f t="shared" si="23"/>
        <v>0</v>
      </c>
      <c r="AV58" s="282">
        <f t="shared" si="24"/>
        <v>0</v>
      </c>
      <c r="AW58" s="318">
        <f t="shared" si="25"/>
        <v>2255.0100000000002</v>
      </c>
    </row>
    <row r="59" spans="1:49" x14ac:dyDescent="0.2">
      <c r="A59" s="1" t="s">
        <v>50</v>
      </c>
      <c r="B59" s="7">
        <v>11233</v>
      </c>
      <c r="C59" s="7">
        <v>0</v>
      </c>
      <c r="D59" s="2">
        <f t="shared" si="0"/>
        <v>1392.89</v>
      </c>
      <c r="E59" s="2">
        <f t="shared" si="37"/>
        <v>550.41999999999996</v>
      </c>
      <c r="F59" s="78">
        <f t="shared" si="38"/>
        <v>588.61</v>
      </c>
      <c r="G59" s="2">
        <f t="shared" si="3"/>
        <v>990.75</v>
      </c>
      <c r="H59" s="2">
        <f t="shared" si="4"/>
        <v>110.08</v>
      </c>
      <c r="I59" s="2">
        <f t="shared" si="5"/>
        <v>0</v>
      </c>
      <c r="J59" s="380">
        <f t="shared" si="6"/>
        <v>3632.75</v>
      </c>
      <c r="K59" s="1"/>
      <c r="L59" s="7"/>
      <c r="M59" s="7"/>
      <c r="N59" s="7"/>
      <c r="O59" s="7">
        <v>11233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>
        <f t="shared" si="36"/>
        <v>11233</v>
      </c>
      <c r="AE59" s="7"/>
      <c r="AF59" s="282">
        <f t="shared" si="8"/>
        <v>0</v>
      </c>
      <c r="AG59" s="282">
        <f t="shared" si="9"/>
        <v>0</v>
      </c>
      <c r="AH59" s="282">
        <f t="shared" si="10"/>
        <v>990.75</v>
      </c>
      <c r="AI59" s="282">
        <f t="shared" si="11"/>
        <v>0</v>
      </c>
      <c r="AJ59" s="282">
        <f t="shared" si="12"/>
        <v>0</v>
      </c>
      <c r="AK59" s="282">
        <f t="shared" si="13"/>
        <v>0</v>
      </c>
      <c r="AL59" s="282">
        <f t="shared" si="14"/>
        <v>0</v>
      </c>
      <c r="AM59" s="282">
        <f t="shared" si="15"/>
        <v>0</v>
      </c>
      <c r="AN59" s="282">
        <f t="shared" si="16"/>
        <v>0</v>
      </c>
      <c r="AO59" s="282">
        <f t="shared" si="17"/>
        <v>0</v>
      </c>
      <c r="AP59" s="282">
        <f t="shared" si="18"/>
        <v>0</v>
      </c>
      <c r="AQ59" s="282">
        <f t="shared" si="19"/>
        <v>0</v>
      </c>
      <c r="AR59" s="282">
        <f t="shared" si="20"/>
        <v>0</v>
      </c>
      <c r="AS59" s="282">
        <f t="shared" si="21"/>
        <v>0</v>
      </c>
      <c r="AT59" s="282">
        <f t="shared" si="22"/>
        <v>0</v>
      </c>
      <c r="AU59" s="282">
        <f t="shared" si="23"/>
        <v>0</v>
      </c>
      <c r="AV59" s="282">
        <f t="shared" si="24"/>
        <v>0</v>
      </c>
      <c r="AW59" s="318">
        <f t="shared" si="25"/>
        <v>990.75</v>
      </c>
    </row>
    <row r="60" spans="1:49" x14ac:dyDescent="0.2">
      <c r="A60" s="1" t="s">
        <v>354</v>
      </c>
      <c r="B60" s="7">
        <v>275231</v>
      </c>
      <c r="C60" s="7">
        <v>0</v>
      </c>
      <c r="D60" s="2">
        <f>(B60+C60)*0.124+0.01</f>
        <v>34128.65</v>
      </c>
      <c r="E60" s="2">
        <f t="shared" si="37"/>
        <v>13486.32</v>
      </c>
      <c r="F60" s="78">
        <f t="shared" si="38"/>
        <v>14422.1</v>
      </c>
      <c r="G60" s="2">
        <f t="shared" si="3"/>
        <v>21011.93</v>
      </c>
      <c r="H60" s="2">
        <f>(B60+C60)*0.0098+0.01</f>
        <v>2697.27</v>
      </c>
      <c r="I60" s="2">
        <f t="shared" si="5"/>
        <v>1345.62</v>
      </c>
      <c r="J60" s="380">
        <f t="shared" si="6"/>
        <v>87091.89</v>
      </c>
      <c r="K60" s="1"/>
      <c r="L60" s="7"/>
      <c r="M60" s="7">
        <v>34514</v>
      </c>
      <c r="N60" s="7">
        <v>14150</v>
      </c>
      <c r="O60" s="7"/>
      <c r="P60" s="7">
        <v>64310</v>
      </c>
      <c r="Q60" s="7"/>
      <c r="R60" s="7"/>
      <c r="S60" s="7"/>
      <c r="T60" s="7"/>
      <c r="U60" s="7"/>
      <c r="V60" s="7"/>
      <c r="W60" s="7">
        <v>691</v>
      </c>
      <c r="X60" s="7"/>
      <c r="Y60" s="7"/>
      <c r="Z60" s="7"/>
      <c r="AA60" s="7">
        <v>2291</v>
      </c>
      <c r="AB60" s="7">
        <v>159275</v>
      </c>
      <c r="AC60" s="7"/>
      <c r="AD60" s="7">
        <f t="shared" si="36"/>
        <v>275231</v>
      </c>
      <c r="AE60" s="1"/>
      <c r="AF60" s="282">
        <f t="shared" si="8"/>
        <v>3044.13</v>
      </c>
      <c r="AG60" s="282">
        <f t="shared" si="9"/>
        <v>1248.03</v>
      </c>
      <c r="AH60" s="282">
        <f t="shared" si="10"/>
        <v>0</v>
      </c>
      <c r="AI60" s="282">
        <f t="shared" si="11"/>
        <v>2520.9499999999998</v>
      </c>
      <c r="AJ60" s="282">
        <f t="shared" si="12"/>
        <v>0</v>
      </c>
      <c r="AK60" s="282">
        <f t="shared" si="13"/>
        <v>0</v>
      </c>
      <c r="AL60" s="282">
        <f t="shared" si="14"/>
        <v>0</v>
      </c>
      <c r="AM60" s="282">
        <f t="shared" si="15"/>
        <v>0</v>
      </c>
      <c r="AN60" s="282">
        <f t="shared" si="16"/>
        <v>0</v>
      </c>
      <c r="AO60" s="282">
        <f t="shared" si="17"/>
        <v>0</v>
      </c>
      <c r="AP60" s="282">
        <f t="shared" si="18"/>
        <v>60.95</v>
      </c>
      <c r="AQ60" s="282">
        <f t="shared" si="19"/>
        <v>0</v>
      </c>
      <c r="AR60" s="282">
        <f t="shared" si="20"/>
        <v>0</v>
      </c>
      <c r="AS60" s="282">
        <f t="shared" si="21"/>
        <v>0</v>
      </c>
      <c r="AT60" s="282">
        <f t="shared" si="22"/>
        <v>89.81</v>
      </c>
      <c r="AU60" s="282">
        <f t="shared" si="23"/>
        <v>14048.06</v>
      </c>
      <c r="AV60" s="282">
        <f t="shared" si="24"/>
        <v>0</v>
      </c>
      <c r="AW60" s="318">
        <f t="shared" si="25"/>
        <v>21011.93</v>
      </c>
    </row>
    <row r="61" spans="1:49" x14ac:dyDescent="0.2">
      <c r="A61" s="1" t="s">
        <v>51</v>
      </c>
      <c r="B61" s="7">
        <v>587397</v>
      </c>
      <c r="C61" s="7">
        <v>1072555</v>
      </c>
      <c r="D61" s="2">
        <f t="shared" si="0"/>
        <v>205834.05</v>
      </c>
      <c r="E61" s="2">
        <f t="shared" si="37"/>
        <v>81337.649999999994</v>
      </c>
      <c r="F61" s="78">
        <f t="shared" si="38"/>
        <v>86981.48</v>
      </c>
      <c r="G61" s="2">
        <f t="shared" si="3"/>
        <v>133661.29</v>
      </c>
      <c r="H61" s="2">
        <f>(B61+C61)*0.0098+0.01</f>
        <v>16267.54</v>
      </c>
      <c r="I61" s="2">
        <f t="shared" si="5"/>
        <v>8857.77</v>
      </c>
      <c r="J61" s="380">
        <f t="shared" si="6"/>
        <v>532939.78</v>
      </c>
      <c r="K61" s="1"/>
      <c r="L61" s="7"/>
      <c r="M61" s="7">
        <v>51422</v>
      </c>
      <c r="N61" s="7"/>
      <c r="O61" s="7">
        <v>158811</v>
      </c>
      <c r="P61" s="7"/>
      <c r="Q61" s="7">
        <v>200572</v>
      </c>
      <c r="R61" s="7"/>
      <c r="S61" s="7"/>
      <c r="T61" s="7">
        <v>6204</v>
      </c>
      <c r="U61" s="7"/>
      <c r="V61" s="7"/>
      <c r="W61" s="7">
        <v>86735</v>
      </c>
      <c r="X61" s="7">
        <v>48193</v>
      </c>
      <c r="Y61" s="7">
        <v>59560</v>
      </c>
      <c r="Z61" s="7"/>
      <c r="AA61" s="7"/>
      <c r="AB61" s="7">
        <v>1048455</v>
      </c>
      <c r="AC61" s="7"/>
      <c r="AD61" s="7">
        <f t="shared" si="36"/>
        <v>1659952</v>
      </c>
      <c r="AE61" s="1"/>
      <c r="AF61" s="282">
        <f t="shared" si="8"/>
        <v>4535.42</v>
      </c>
      <c r="AG61" s="282">
        <f t="shared" si="9"/>
        <v>0</v>
      </c>
      <c r="AH61" s="282">
        <f t="shared" si="10"/>
        <v>14007.13</v>
      </c>
      <c r="AI61" s="282">
        <f t="shared" si="11"/>
        <v>0</v>
      </c>
      <c r="AJ61" s="282">
        <f t="shared" si="12"/>
        <v>7862.42</v>
      </c>
      <c r="AK61" s="282">
        <f t="shared" si="13"/>
        <v>0</v>
      </c>
      <c r="AL61" s="282">
        <f t="shared" si="14"/>
        <v>0</v>
      </c>
      <c r="AM61" s="282">
        <f t="shared" si="15"/>
        <v>547.19000000000005</v>
      </c>
      <c r="AN61" s="282">
        <f t="shared" si="16"/>
        <v>0</v>
      </c>
      <c r="AO61" s="282">
        <f t="shared" si="17"/>
        <v>0</v>
      </c>
      <c r="AP61" s="282">
        <f t="shared" si="18"/>
        <v>7650.03</v>
      </c>
      <c r="AQ61" s="282">
        <f t="shared" si="19"/>
        <v>4250.62</v>
      </c>
      <c r="AR61" s="282">
        <f t="shared" si="20"/>
        <v>2334.75</v>
      </c>
      <c r="AS61" s="282">
        <f t="shared" si="21"/>
        <v>0</v>
      </c>
      <c r="AT61" s="282">
        <f t="shared" si="22"/>
        <v>0</v>
      </c>
      <c r="AU61" s="282">
        <f t="shared" si="23"/>
        <v>92473.73</v>
      </c>
      <c r="AV61" s="282">
        <f t="shared" si="24"/>
        <v>0</v>
      </c>
      <c r="AW61" s="318">
        <f t="shared" si="25"/>
        <v>133661.29</v>
      </c>
    </row>
    <row r="62" spans="1:49" x14ac:dyDescent="0.2">
      <c r="A62" s="1" t="s">
        <v>52</v>
      </c>
      <c r="B62" s="7">
        <v>276347</v>
      </c>
      <c r="C62" s="7">
        <v>0</v>
      </c>
      <c r="D62" s="2">
        <f t="shared" si="0"/>
        <v>34267.03</v>
      </c>
      <c r="E62" s="2">
        <f t="shared" si="37"/>
        <v>13541</v>
      </c>
      <c r="F62" s="78">
        <f t="shared" si="38"/>
        <v>14480.58</v>
      </c>
      <c r="G62" s="2">
        <f t="shared" si="3"/>
        <v>23036.400000000001</v>
      </c>
      <c r="H62" s="2">
        <f t="shared" si="4"/>
        <v>2708.2</v>
      </c>
      <c r="I62" s="2">
        <f t="shared" si="5"/>
        <v>0</v>
      </c>
      <c r="J62" s="380">
        <f t="shared" si="6"/>
        <v>88033.21</v>
      </c>
      <c r="K62" s="1"/>
      <c r="L62" s="7"/>
      <c r="M62" s="7"/>
      <c r="N62" s="7"/>
      <c r="O62" s="7">
        <v>221356</v>
      </c>
      <c r="P62" s="7"/>
      <c r="Q62" s="7"/>
      <c r="R62" s="7"/>
      <c r="S62" s="7"/>
      <c r="T62" s="7"/>
      <c r="U62" s="7"/>
      <c r="V62" s="7">
        <v>27294</v>
      </c>
      <c r="W62" s="7"/>
      <c r="X62" s="7"/>
      <c r="Y62" s="7"/>
      <c r="Z62" s="7"/>
      <c r="AA62" s="7"/>
      <c r="AB62" s="7"/>
      <c r="AC62" s="7">
        <v>27697</v>
      </c>
      <c r="AD62" s="7">
        <f t="shared" ref="AD62:AD78" si="39">SUM(L62:AC62)</f>
        <v>276347</v>
      </c>
      <c r="AE62" s="7"/>
      <c r="AF62" s="282">
        <f t="shared" si="8"/>
        <v>0</v>
      </c>
      <c r="AG62" s="282">
        <f t="shared" si="9"/>
        <v>0</v>
      </c>
      <c r="AH62" s="282">
        <f t="shared" si="10"/>
        <v>19523.599999999999</v>
      </c>
      <c r="AI62" s="282">
        <f t="shared" si="11"/>
        <v>0</v>
      </c>
      <c r="AJ62" s="282">
        <f t="shared" si="12"/>
        <v>0</v>
      </c>
      <c r="AK62" s="282">
        <f t="shared" si="13"/>
        <v>0</v>
      </c>
      <c r="AL62" s="282">
        <f t="shared" si="14"/>
        <v>0</v>
      </c>
      <c r="AM62" s="282">
        <f t="shared" si="15"/>
        <v>0</v>
      </c>
      <c r="AN62" s="282">
        <f t="shared" si="16"/>
        <v>0</v>
      </c>
      <c r="AO62" s="282">
        <f t="shared" si="17"/>
        <v>1069.92</v>
      </c>
      <c r="AP62" s="282">
        <f t="shared" si="18"/>
        <v>0</v>
      </c>
      <c r="AQ62" s="282">
        <f t="shared" si="19"/>
        <v>0</v>
      </c>
      <c r="AR62" s="282">
        <f t="shared" si="20"/>
        <v>0</v>
      </c>
      <c r="AS62" s="282">
        <f t="shared" si="21"/>
        <v>0</v>
      </c>
      <c r="AT62" s="282">
        <f t="shared" si="22"/>
        <v>0</v>
      </c>
      <c r="AU62" s="282">
        <f t="shared" si="23"/>
        <v>0</v>
      </c>
      <c r="AV62" s="282">
        <f t="shared" si="24"/>
        <v>2442.88</v>
      </c>
      <c r="AW62" s="318">
        <f t="shared" si="25"/>
        <v>23036.400000000001</v>
      </c>
    </row>
    <row r="63" spans="1:49" x14ac:dyDescent="0.2">
      <c r="A63" s="1" t="s">
        <v>474</v>
      </c>
      <c r="B63" s="7">
        <v>5549</v>
      </c>
      <c r="C63" s="7">
        <v>0</v>
      </c>
      <c r="D63" s="2">
        <f>(B63+C63)*0.124-0.01</f>
        <v>688.07</v>
      </c>
      <c r="E63" s="2">
        <f t="shared" si="37"/>
        <v>271.89999999999998</v>
      </c>
      <c r="F63" s="78">
        <f t="shared" si="38"/>
        <v>290.77</v>
      </c>
      <c r="G63" s="2">
        <f t="shared" si="3"/>
        <v>489.42</v>
      </c>
      <c r="H63" s="2">
        <f t="shared" si="4"/>
        <v>54.38</v>
      </c>
      <c r="I63" s="2">
        <f t="shared" si="5"/>
        <v>0</v>
      </c>
      <c r="J63" s="380">
        <f t="shared" si="6"/>
        <v>1794.54</v>
      </c>
      <c r="K63" s="1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>
        <v>5549</v>
      </c>
      <c r="AD63" s="7">
        <f>SUM(L63:AC63)</f>
        <v>5549</v>
      </c>
      <c r="AE63" s="7"/>
      <c r="AF63" s="282">
        <f t="shared" si="8"/>
        <v>0</v>
      </c>
      <c r="AG63" s="282">
        <f t="shared" si="9"/>
        <v>0</v>
      </c>
      <c r="AH63" s="282">
        <f t="shared" si="10"/>
        <v>0</v>
      </c>
      <c r="AI63" s="282">
        <f t="shared" si="11"/>
        <v>0</v>
      </c>
      <c r="AJ63" s="282">
        <f t="shared" si="12"/>
        <v>0</v>
      </c>
      <c r="AK63" s="282">
        <f t="shared" si="13"/>
        <v>0</v>
      </c>
      <c r="AL63" s="282">
        <f t="shared" si="14"/>
        <v>0</v>
      </c>
      <c r="AM63" s="282">
        <f t="shared" si="15"/>
        <v>0</v>
      </c>
      <c r="AN63" s="282">
        <f t="shared" si="16"/>
        <v>0</v>
      </c>
      <c r="AO63" s="282">
        <f t="shared" si="17"/>
        <v>0</v>
      </c>
      <c r="AP63" s="282">
        <f t="shared" si="18"/>
        <v>0</v>
      </c>
      <c r="AQ63" s="282">
        <f t="shared" si="19"/>
        <v>0</v>
      </c>
      <c r="AR63" s="282">
        <f t="shared" si="20"/>
        <v>0</v>
      </c>
      <c r="AS63" s="282">
        <f t="shared" si="21"/>
        <v>0</v>
      </c>
      <c r="AT63" s="282">
        <f t="shared" si="22"/>
        <v>0</v>
      </c>
      <c r="AU63" s="282">
        <f t="shared" si="23"/>
        <v>0</v>
      </c>
      <c r="AV63" s="282">
        <f t="shared" si="24"/>
        <v>489.42</v>
      </c>
      <c r="AW63" s="318">
        <f t="shared" si="25"/>
        <v>489.42</v>
      </c>
    </row>
    <row r="64" spans="1:49" x14ac:dyDescent="0.2">
      <c r="A64" s="1" t="s">
        <v>436</v>
      </c>
      <c r="B64" s="7">
        <v>0</v>
      </c>
      <c r="C64" s="7">
        <v>60579</v>
      </c>
      <c r="D64" s="2">
        <f t="shared" si="0"/>
        <v>7511.8</v>
      </c>
      <c r="E64" s="2">
        <f t="shared" si="37"/>
        <v>2968.37</v>
      </c>
      <c r="F64" s="78">
        <f t="shared" si="38"/>
        <v>3174.34</v>
      </c>
      <c r="G64" s="2">
        <f t="shared" si="3"/>
        <v>5343.07</v>
      </c>
      <c r="H64" s="2">
        <f t="shared" si="4"/>
        <v>593.66999999999996</v>
      </c>
      <c r="I64" s="2">
        <f t="shared" si="5"/>
        <v>162.02000000000001</v>
      </c>
      <c r="J64" s="380">
        <f t="shared" si="6"/>
        <v>19753.27</v>
      </c>
      <c r="K64" s="1"/>
      <c r="L64" s="7"/>
      <c r="M64" s="7"/>
      <c r="N64" s="7"/>
      <c r="O64" s="7">
        <v>41401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>
        <v>19178</v>
      </c>
      <c r="AC64" s="7"/>
      <c r="AD64" s="7">
        <f t="shared" si="39"/>
        <v>60579</v>
      </c>
      <c r="AE64" s="7"/>
      <c r="AF64" s="282">
        <f t="shared" si="8"/>
        <v>0</v>
      </c>
      <c r="AG64" s="282">
        <f t="shared" si="9"/>
        <v>0</v>
      </c>
      <c r="AH64" s="282">
        <f t="shared" si="10"/>
        <v>3651.57</v>
      </c>
      <c r="AI64" s="282">
        <f t="shared" si="11"/>
        <v>0</v>
      </c>
      <c r="AJ64" s="282">
        <f t="shared" si="12"/>
        <v>0</v>
      </c>
      <c r="AK64" s="282">
        <f t="shared" si="13"/>
        <v>0</v>
      </c>
      <c r="AL64" s="282">
        <f t="shared" si="14"/>
        <v>0</v>
      </c>
      <c r="AM64" s="282">
        <f t="shared" si="15"/>
        <v>0</v>
      </c>
      <c r="AN64" s="282">
        <f t="shared" si="16"/>
        <v>0</v>
      </c>
      <c r="AO64" s="282">
        <f t="shared" si="17"/>
        <v>0</v>
      </c>
      <c r="AP64" s="282">
        <f t="shared" si="18"/>
        <v>0</v>
      </c>
      <c r="AQ64" s="282">
        <f t="shared" si="19"/>
        <v>0</v>
      </c>
      <c r="AR64" s="282">
        <f t="shared" si="20"/>
        <v>0</v>
      </c>
      <c r="AS64" s="282">
        <f t="shared" si="21"/>
        <v>0</v>
      </c>
      <c r="AT64" s="282">
        <f t="shared" si="22"/>
        <v>0</v>
      </c>
      <c r="AU64" s="282">
        <f t="shared" si="23"/>
        <v>1691.5</v>
      </c>
      <c r="AV64" s="282">
        <f t="shared" si="24"/>
        <v>0</v>
      </c>
      <c r="AW64" s="318">
        <f t="shared" si="25"/>
        <v>5343.07</v>
      </c>
    </row>
    <row r="65" spans="1:49" x14ac:dyDescent="0.2">
      <c r="A65" s="1" t="s">
        <v>458</v>
      </c>
      <c r="B65" s="7">
        <v>39044</v>
      </c>
      <c r="C65" s="7">
        <v>0</v>
      </c>
      <c r="D65" s="2">
        <f>(B65+C65)*0.124-0.01</f>
        <v>4841.45</v>
      </c>
      <c r="E65" s="2">
        <f>(B65+C65)*0.049</f>
        <v>1913.16</v>
      </c>
      <c r="F65" s="78">
        <f t="shared" si="38"/>
        <v>2045.91</v>
      </c>
      <c r="G65" s="2">
        <f t="shared" si="3"/>
        <v>3443.69</v>
      </c>
      <c r="H65" s="2">
        <f>(B65+C65)*0.0098+0.01</f>
        <v>382.64</v>
      </c>
      <c r="I65" s="2">
        <f t="shared" si="5"/>
        <v>0</v>
      </c>
      <c r="J65" s="380">
        <f t="shared" si="6"/>
        <v>12626.85</v>
      </c>
      <c r="K65" s="1"/>
      <c r="L65" s="7"/>
      <c r="M65" s="7"/>
      <c r="N65" s="7">
        <v>75</v>
      </c>
      <c r="O65" s="7"/>
      <c r="P65" s="7"/>
      <c r="Q65" s="7"/>
      <c r="R65" s="7"/>
      <c r="S65" s="7"/>
      <c r="T65" s="7"/>
      <c r="U65" s="7"/>
      <c r="V65" s="7"/>
      <c r="W65" s="7">
        <v>38969</v>
      </c>
      <c r="X65" s="7"/>
      <c r="Y65" s="7"/>
      <c r="Z65" s="7"/>
      <c r="AA65" s="7"/>
      <c r="AB65" s="7"/>
      <c r="AC65" s="7"/>
      <c r="AD65" s="7">
        <f>SUM(L65:AC65)</f>
        <v>39044</v>
      </c>
      <c r="AE65" s="1"/>
      <c r="AF65" s="282">
        <f t="shared" si="8"/>
        <v>0</v>
      </c>
      <c r="AG65" s="282">
        <f t="shared" si="9"/>
        <v>6.62</v>
      </c>
      <c r="AH65" s="282">
        <f t="shared" si="10"/>
        <v>0</v>
      </c>
      <c r="AI65" s="282">
        <f t="shared" si="11"/>
        <v>0</v>
      </c>
      <c r="AJ65" s="282">
        <f t="shared" si="12"/>
        <v>0</v>
      </c>
      <c r="AK65" s="282">
        <f t="shared" si="13"/>
        <v>0</v>
      </c>
      <c r="AL65" s="282">
        <f t="shared" si="14"/>
        <v>0</v>
      </c>
      <c r="AM65" s="282">
        <f t="shared" si="15"/>
        <v>0</v>
      </c>
      <c r="AN65" s="282">
        <f t="shared" si="16"/>
        <v>0</v>
      </c>
      <c r="AO65" s="282">
        <f t="shared" si="17"/>
        <v>0</v>
      </c>
      <c r="AP65" s="282">
        <f t="shared" si="18"/>
        <v>3437.07</v>
      </c>
      <c r="AQ65" s="282">
        <f t="shared" si="19"/>
        <v>0</v>
      </c>
      <c r="AR65" s="282">
        <f t="shared" si="20"/>
        <v>0</v>
      </c>
      <c r="AS65" s="282">
        <f t="shared" si="21"/>
        <v>0</v>
      </c>
      <c r="AT65" s="282">
        <f t="shared" si="22"/>
        <v>0</v>
      </c>
      <c r="AU65" s="282">
        <f t="shared" si="23"/>
        <v>0</v>
      </c>
      <c r="AV65" s="282">
        <f t="shared" si="24"/>
        <v>0</v>
      </c>
      <c r="AW65" s="318">
        <f t="shared" si="25"/>
        <v>3443.69</v>
      </c>
    </row>
    <row r="66" spans="1:49" x14ac:dyDescent="0.2">
      <c r="A66" s="1" t="s">
        <v>712</v>
      </c>
      <c r="B66" s="7">
        <v>88371</v>
      </c>
      <c r="C66" s="7">
        <v>0</v>
      </c>
      <c r="D66" s="2">
        <f>(B66+C66)*0.124-896.96</f>
        <v>10061.040000000001</v>
      </c>
      <c r="E66" s="2">
        <f>(B66+C66)*0.049-353.51</f>
        <v>3976.67</v>
      </c>
      <c r="F66" s="78">
        <f>(B66+C66)*0.0524-375.55</f>
        <v>4255.09</v>
      </c>
      <c r="G66" s="2">
        <f>+AW66</f>
        <v>7511.54</v>
      </c>
      <c r="H66" s="2">
        <f>(B66+C66)*0.0098-424.18</f>
        <v>441.86</v>
      </c>
      <c r="I66" s="2">
        <f>(AB66)*0.0084484</f>
        <v>0</v>
      </c>
      <c r="J66" s="380">
        <f>SUM(D66:I66)</f>
        <v>26246.2</v>
      </c>
      <c r="K66" s="1"/>
      <c r="L66" s="7"/>
      <c r="M66" s="7"/>
      <c r="N66" s="7"/>
      <c r="O66" s="7">
        <v>88371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>
        <f>SUM(L66:AC66)</f>
        <v>88371</v>
      </c>
      <c r="AE66" s="1"/>
      <c r="AF66" s="282">
        <f>+M66*$AF$12</f>
        <v>0</v>
      </c>
      <c r="AG66" s="282">
        <f>+N66*$AG$12</f>
        <v>0</v>
      </c>
      <c r="AH66" s="282">
        <f>+O66*$AH$12-282.78</f>
        <v>7511.54</v>
      </c>
      <c r="AI66" s="282">
        <f>+P66*$AI$12</f>
        <v>0</v>
      </c>
      <c r="AJ66" s="282">
        <f>+Q66*$AJ$12</f>
        <v>0</v>
      </c>
      <c r="AK66" s="282">
        <f>+R66*$AK$12</f>
        <v>0</v>
      </c>
      <c r="AL66" s="282">
        <f>+S66*$AL$12</f>
        <v>0</v>
      </c>
      <c r="AM66" s="282">
        <f>+T66*$AM$12</f>
        <v>0</v>
      </c>
      <c r="AN66" s="282">
        <f>+U66*$AN$12</f>
        <v>0</v>
      </c>
      <c r="AO66" s="282">
        <f>+V66*$AO$12</f>
        <v>0</v>
      </c>
      <c r="AP66" s="282">
        <f>+W66*$AP$12</f>
        <v>0</v>
      </c>
      <c r="AQ66" s="282">
        <f>+X66*$AQ$12</f>
        <v>0</v>
      </c>
      <c r="AR66" s="282">
        <f>+Y66*$AR$12</f>
        <v>0</v>
      </c>
      <c r="AS66" s="282">
        <f>+Z66*$AS$12</f>
        <v>0</v>
      </c>
      <c r="AT66" s="282">
        <f>+AA66*$AT$12</f>
        <v>0</v>
      </c>
      <c r="AU66" s="282">
        <f>+AB66*$AU$12</f>
        <v>0</v>
      </c>
      <c r="AV66" s="282">
        <f>+AC66*$AV$12</f>
        <v>0</v>
      </c>
      <c r="AW66" s="318">
        <f>SUM(AF66:AV66)</f>
        <v>7511.54</v>
      </c>
    </row>
    <row r="67" spans="1:49" x14ac:dyDescent="0.2">
      <c r="A67" s="1" t="s">
        <v>725</v>
      </c>
      <c r="B67" s="7">
        <v>118444</v>
      </c>
      <c r="C67" s="7">
        <v>0</v>
      </c>
      <c r="D67" s="2">
        <f>(B67+C67)*0.124-0.01</f>
        <v>14687.05</v>
      </c>
      <c r="E67" s="2">
        <f>(B67+C67)*0.049</f>
        <v>5803.76</v>
      </c>
      <c r="F67" s="78">
        <f>(B67+C67)*0.0524</f>
        <v>6206.47</v>
      </c>
      <c r="G67" s="2">
        <f>+AW67</f>
        <v>10446.76</v>
      </c>
      <c r="H67" s="2">
        <f>(B67+C67)*0.0098</f>
        <v>1160.75</v>
      </c>
      <c r="I67" s="2">
        <f>(AB67)*0.0084484</f>
        <v>0</v>
      </c>
      <c r="J67" s="380">
        <f>SUM(D67:I67)</f>
        <v>38304.79</v>
      </c>
      <c r="K67" s="1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>
        <v>118444</v>
      </c>
      <c r="X67" s="7"/>
      <c r="Y67" s="7"/>
      <c r="Z67" s="7"/>
      <c r="AA67" s="7"/>
      <c r="AB67" s="7"/>
      <c r="AC67" s="7"/>
      <c r="AD67" s="7">
        <f>SUM(L67:AC67)</f>
        <v>118444</v>
      </c>
      <c r="AE67" s="1"/>
      <c r="AF67" s="282">
        <f>+M67*$AF$12</f>
        <v>0</v>
      </c>
      <c r="AG67" s="282">
        <f>+N67*$AG$12</f>
        <v>0</v>
      </c>
      <c r="AH67" s="282">
        <f>+O67*$AH$12</f>
        <v>0</v>
      </c>
      <c r="AI67" s="282">
        <f>+P67*$AI$12</f>
        <v>0</v>
      </c>
      <c r="AJ67" s="282">
        <f>+Q67*$AJ$12</f>
        <v>0</v>
      </c>
      <c r="AK67" s="282">
        <f>+R67*$AK$12</f>
        <v>0</v>
      </c>
      <c r="AL67" s="282">
        <f>+S67*$AL$12</f>
        <v>0</v>
      </c>
      <c r="AM67" s="282">
        <f>+T67*$AM$12</f>
        <v>0</v>
      </c>
      <c r="AN67" s="282">
        <f>+U67*$AN$12</f>
        <v>0</v>
      </c>
      <c r="AO67" s="282">
        <f>+V67*$AO$12</f>
        <v>0</v>
      </c>
      <c r="AP67" s="282">
        <f>+W67*$AP$12</f>
        <v>10446.76</v>
      </c>
      <c r="AQ67" s="282">
        <f>+X67*$AQ$12</f>
        <v>0</v>
      </c>
      <c r="AR67" s="282">
        <f>+Y67*$AR$12</f>
        <v>0</v>
      </c>
      <c r="AS67" s="282">
        <f>+Z67*$AS$12</f>
        <v>0</v>
      </c>
      <c r="AT67" s="282">
        <f>+AA67*$AT$12</f>
        <v>0</v>
      </c>
      <c r="AU67" s="282">
        <f>+AB67*$AU$12</f>
        <v>0</v>
      </c>
      <c r="AV67" s="282">
        <f>+AC67*$AV$12</f>
        <v>0</v>
      </c>
      <c r="AW67" s="318">
        <f>SUM(AF67:AV67)</f>
        <v>10446.76</v>
      </c>
    </row>
    <row r="68" spans="1:49" x14ac:dyDescent="0.2">
      <c r="A68" s="1" t="s">
        <v>53</v>
      </c>
      <c r="B68" s="7">
        <v>6470</v>
      </c>
      <c r="C68" s="7">
        <v>0</v>
      </c>
      <c r="D68" s="2">
        <f t="shared" si="0"/>
        <v>802.28</v>
      </c>
      <c r="E68" s="2">
        <f>(B68+C68)*0.049</f>
        <v>317.02999999999997</v>
      </c>
      <c r="F68" s="78">
        <f t="shared" si="38"/>
        <v>339.03</v>
      </c>
      <c r="G68" s="2">
        <f t="shared" si="3"/>
        <v>277.98</v>
      </c>
      <c r="H68" s="2">
        <f t="shared" si="4"/>
        <v>63.41</v>
      </c>
      <c r="I68" s="2">
        <f t="shared" si="5"/>
        <v>0</v>
      </c>
      <c r="J68" s="380">
        <f t="shared" si="6"/>
        <v>1799.73</v>
      </c>
      <c r="K68" s="1"/>
      <c r="L68" s="7"/>
      <c r="M68" s="7"/>
      <c r="N68" s="7"/>
      <c r="O68" s="7"/>
      <c r="P68" s="7">
        <v>5973</v>
      </c>
      <c r="Q68" s="7"/>
      <c r="R68" s="7"/>
      <c r="S68" s="7"/>
      <c r="T68" s="7"/>
      <c r="U68" s="7"/>
      <c r="V68" s="7"/>
      <c r="W68" s="7">
        <v>497</v>
      </c>
      <c r="X68" s="7"/>
      <c r="Y68" s="7"/>
      <c r="Z68" s="7"/>
      <c r="AA68" s="7"/>
      <c r="AB68" s="7"/>
      <c r="AC68" s="7"/>
      <c r="AD68" s="7">
        <f t="shared" si="39"/>
        <v>6470</v>
      </c>
      <c r="AE68" s="1"/>
      <c r="AF68" s="282">
        <f t="shared" si="8"/>
        <v>0</v>
      </c>
      <c r="AG68" s="282">
        <f t="shared" si="9"/>
        <v>0</v>
      </c>
      <c r="AH68" s="282">
        <f t="shared" si="10"/>
        <v>0</v>
      </c>
      <c r="AI68" s="282">
        <f t="shared" si="11"/>
        <v>234.14</v>
      </c>
      <c r="AJ68" s="282">
        <f t="shared" si="12"/>
        <v>0</v>
      </c>
      <c r="AK68" s="282">
        <f t="shared" si="13"/>
        <v>0</v>
      </c>
      <c r="AL68" s="282">
        <f t="shared" si="14"/>
        <v>0</v>
      </c>
      <c r="AM68" s="282">
        <f t="shared" si="15"/>
        <v>0</v>
      </c>
      <c r="AN68" s="282">
        <f t="shared" si="16"/>
        <v>0</v>
      </c>
      <c r="AO68" s="282">
        <f t="shared" si="17"/>
        <v>0</v>
      </c>
      <c r="AP68" s="282">
        <f t="shared" si="18"/>
        <v>43.84</v>
      </c>
      <c r="AQ68" s="282">
        <f t="shared" si="19"/>
        <v>0</v>
      </c>
      <c r="AR68" s="282">
        <f t="shared" si="20"/>
        <v>0</v>
      </c>
      <c r="AS68" s="282">
        <f t="shared" si="21"/>
        <v>0</v>
      </c>
      <c r="AT68" s="282">
        <f t="shared" si="22"/>
        <v>0</v>
      </c>
      <c r="AU68" s="282">
        <f t="shared" si="23"/>
        <v>0</v>
      </c>
      <c r="AV68" s="282">
        <f t="shared" si="24"/>
        <v>0</v>
      </c>
      <c r="AW68" s="318">
        <f t="shared" si="25"/>
        <v>277.98</v>
      </c>
    </row>
    <row r="69" spans="1:49" x14ac:dyDescent="0.2">
      <c r="A69" s="1" t="s">
        <v>54</v>
      </c>
      <c r="B69" s="7">
        <v>64788</v>
      </c>
      <c r="C69" s="7">
        <v>51507</v>
      </c>
      <c r="D69" s="2">
        <f t="shared" si="0"/>
        <v>14420.58</v>
      </c>
      <c r="E69" s="2">
        <f t="shared" ref="E69:E81" si="40">(B69+C69)*0.049</f>
        <v>5698.46</v>
      </c>
      <c r="F69" s="78">
        <f t="shared" si="38"/>
        <v>6093.86</v>
      </c>
      <c r="G69" s="2">
        <f t="shared" si="3"/>
        <v>7082.61</v>
      </c>
      <c r="H69" s="2">
        <f t="shared" si="4"/>
        <v>1139.69</v>
      </c>
      <c r="I69" s="2">
        <f t="shared" si="5"/>
        <v>435.15</v>
      </c>
      <c r="J69" s="380">
        <f t="shared" si="6"/>
        <v>34870.35</v>
      </c>
      <c r="K69" s="1"/>
      <c r="L69" s="7"/>
      <c r="M69" s="7"/>
      <c r="N69" s="7"/>
      <c r="O69" s="7"/>
      <c r="P69" s="7">
        <v>64788</v>
      </c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>
        <v>51507</v>
      </c>
      <c r="AC69" s="7"/>
      <c r="AD69" s="7">
        <f t="shared" si="39"/>
        <v>116295</v>
      </c>
      <c r="AE69" s="7"/>
      <c r="AF69" s="282">
        <f t="shared" si="8"/>
        <v>0</v>
      </c>
      <c r="AG69" s="282">
        <f t="shared" si="9"/>
        <v>0</v>
      </c>
      <c r="AH69" s="282">
        <f t="shared" si="10"/>
        <v>0</v>
      </c>
      <c r="AI69" s="282">
        <f t="shared" si="11"/>
        <v>2539.69</v>
      </c>
      <c r="AJ69" s="282">
        <f t="shared" si="12"/>
        <v>0</v>
      </c>
      <c r="AK69" s="282">
        <f t="shared" si="13"/>
        <v>0</v>
      </c>
      <c r="AL69" s="282">
        <f t="shared" si="14"/>
        <v>0</v>
      </c>
      <c r="AM69" s="282">
        <f t="shared" si="15"/>
        <v>0</v>
      </c>
      <c r="AN69" s="282">
        <f t="shared" si="16"/>
        <v>0</v>
      </c>
      <c r="AO69" s="282">
        <f t="shared" si="17"/>
        <v>0</v>
      </c>
      <c r="AP69" s="282">
        <f t="shared" si="18"/>
        <v>0</v>
      </c>
      <c r="AQ69" s="282">
        <f t="shared" si="19"/>
        <v>0</v>
      </c>
      <c r="AR69" s="282">
        <f t="shared" si="20"/>
        <v>0</v>
      </c>
      <c r="AS69" s="282">
        <f t="shared" si="21"/>
        <v>0</v>
      </c>
      <c r="AT69" s="282">
        <f t="shared" si="22"/>
        <v>0</v>
      </c>
      <c r="AU69" s="282">
        <f t="shared" si="23"/>
        <v>4542.92</v>
      </c>
      <c r="AV69" s="282">
        <f t="shared" si="24"/>
        <v>0</v>
      </c>
      <c r="AW69" s="318">
        <f t="shared" si="25"/>
        <v>7082.61</v>
      </c>
    </row>
    <row r="70" spans="1:49" x14ac:dyDescent="0.2">
      <c r="A70" s="1" t="s">
        <v>55</v>
      </c>
      <c r="B70" s="7">
        <v>36167</v>
      </c>
      <c r="C70" s="7">
        <v>0</v>
      </c>
      <c r="D70" s="2">
        <f t="shared" si="0"/>
        <v>4484.71</v>
      </c>
      <c r="E70" s="2">
        <f t="shared" si="40"/>
        <v>1772.18</v>
      </c>
      <c r="F70" s="78">
        <f t="shared" si="38"/>
        <v>1895.15</v>
      </c>
      <c r="G70" s="2">
        <f t="shared" si="3"/>
        <v>3189.93</v>
      </c>
      <c r="H70" s="2">
        <f t="shared" si="4"/>
        <v>354.44</v>
      </c>
      <c r="I70" s="2">
        <f t="shared" si="5"/>
        <v>0</v>
      </c>
      <c r="J70" s="380">
        <f t="shared" si="6"/>
        <v>11696.41</v>
      </c>
      <c r="K70" s="1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>
        <v>36167</v>
      </c>
      <c r="AD70" s="7">
        <f t="shared" si="39"/>
        <v>36167</v>
      </c>
      <c r="AE70" s="7"/>
      <c r="AF70" s="282">
        <f t="shared" si="8"/>
        <v>0</v>
      </c>
      <c r="AG70" s="282">
        <f t="shared" si="9"/>
        <v>0</v>
      </c>
      <c r="AH70" s="282">
        <f t="shared" si="10"/>
        <v>0</v>
      </c>
      <c r="AI70" s="282">
        <f t="shared" si="11"/>
        <v>0</v>
      </c>
      <c r="AJ70" s="282">
        <f t="shared" si="12"/>
        <v>0</v>
      </c>
      <c r="AK70" s="282">
        <f t="shared" si="13"/>
        <v>0</v>
      </c>
      <c r="AL70" s="282">
        <f t="shared" si="14"/>
        <v>0</v>
      </c>
      <c r="AM70" s="282">
        <f t="shared" si="15"/>
        <v>0</v>
      </c>
      <c r="AN70" s="282">
        <f t="shared" si="16"/>
        <v>0</v>
      </c>
      <c r="AO70" s="282">
        <f t="shared" si="17"/>
        <v>0</v>
      </c>
      <c r="AP70" s="282">
        <f t="shared" si="18"/>
        <v>0</v>
      </c>
      <c r="AQ70" s="282">
        <f t="shared" si="19"/>
        <v>0</v>
      </c>
      <c r="AR70" s="282">
        <f t="shared" si="20"/>
        <v>0</v>
      </c>
      <c r="AS70" s="282">
        <f t="shared" si="21"/>
        <v>0</v>
      </c>
      <c r="AT70" s="282">
        <f t="shared" si="22"/>
        <v>0</v>
      </c>
      <c r="AU70" s="282">
        <f t="shared" si="23"/>
        <v>0</v>
      </c>
      <c r="AV70" s="282">
        <f t="shared" si="24"/>
        <v>3189.93</v>
      </c>
      <c r="AW70" s="318">
        <f t="shared" si="25"/>
        <v>3189.93</v>
      </c>
    </row>
    <row r="71" spans="1:49" x14ac:dyDescent="0.2">
      <c r="A71" s="1" t="s">
        <v>221</v>
      </c>
      <c r="B71" s="7">
        <v>93</v>
      </c>
      <c r="C71" s="7">
        <v>0</v>
      </c>
      <c r="D71" s="2">
        <f>(B71+C71)*0.124</f>
        <v>11.53</v>
      </c>
      <c r="E71" s="2">
        <f>(B71+C71)*0.049</f>
        <v>4.5599999999999996</v>
      </c>
      <c r="F71" s="78">
        <f>(B71+C71)*0.0524</f>
        <v>4.87</v>
      </c>
      <c r="G71" s="2">
        <f>+AW71</f>
        <v>8.1999999999999993</v>
      </c>
      <c r="H71" s="2">
        <f>(B71+C71)*0.0098</f>
        <v>0.91</v>
      </c>
      <c r="I71" s="2">
        <f>(AB71)*0.0084484</f>
        <v>0</v>
      </c>
      <c r="J71" s="380">
        <f>SUM(D71:I71)</f>
        <v>30.07</v>
      </c>
      <c r="K71" s="1"/>
      <c r="L71" s="7"/>
      <c r="M71" s="7"/>
      <c r="N71" s="7"/>
      <c r="O71" s="7">
        <v>93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>
        <f>SUM(L71:AC71)</f>
        <v>93</v>
      </c>
      <c r="AE71" s="7"/>
      <c r="AF71" s="282">
        <f>+M71*$AF$12</f>
        <v>0</v>
      </c>
      <c r="AG71" s="282">
        <f>+N71*$AG$12</f>
        <v>0</v>
      </c>
      <c r="AH71" s="282">
        <f>+O71*$AH$12</f>
        <v>8.1999999999999993</v>
      </c>
      <c r="AI71" s="282">
        <f>+P71*$AI$12</f>
        <v>0</v>
      </c>
      <c r="AJ71" s="282">
        <f>+Q71*$AJ$12</f>
        <v>0</v>
      </c>
      <c r="AK71" s="282">
        <f>+R71*$AK$12</f>
        <v>0</v>
      </c>
      <c r="AL71" s="282">
        <f>+S71*$AL$12</f>
        <v>0</v>
      </c>
      <c r="AM71" s="282">
        <f>+T71*$AM$12</f>
        <v>0</v>
      </c>
      <c r="AN71" s="282">
        <f>+U71*$AN$12</f>
        <v>0</v>
      </c>
      <c r="AO71" s="282">
        <f>+V71*$AO$12</f>
        <v>0</v>
      </c>
      <c r="AP71" s="282">
        <f>+W71*$AP$12</f>
        <v>0</v>
      </c>
      <c r="AQ71" s="282">
        <f>+X71*$AQ$12</f>
        <v>0</v>
      </c>
      <c r="AR71" s="282">
        <f>+Y71*$AR$12</f>
        <v>0</v>
      </c>
      <c r="AS71" s="282">
        <f>+Z71*$AS$12</f>
        <v>0</v>
      </c>
      <c r="AT71" s="282">
        <f>+AA71*$AT$12</f>
        <v>0</v>
      </c>
      <c r="AU71" s="282">
        <f>+AB71*$AU$12</f>
        <v>0</v>
      </c>
      <c r="AV71" s="282">
        <f>+AC71*$AV$12</f>
        <v>0</v>
      </c>
      <c r="AW71" s="318">
        <f>SUM(AF71:AV71)</f>
        <v>8.1999999999999993</v>
      </c>
    </row>
    <row r="72" spans="1:49" s="20" customFormat="1" x14ac:dyDescent="0.2">
      <c r="A72" s="18" t="s">
        <v>486</v>
      </c>
      <c r="B72" s="242">
        <v>60</v>
      </c>
      <c r="C72" s="242">
        <v>0</v>
      </c>
      <c r="D72" s="2">
        <f>(B72+C72)*0.124</f>
        <v>7.44</v>
      </c>
      <c r="E72" s="2">
        <f>(B72+C72)*0.049</f>
        <v>2.94</v>
      </c>
      <c r="F72" s="78">
        <f>(B72+C72)*0.0524</f>
        <v>3.14</v>
      </c>
      <c r="G72" s="2">
        <f>+AW72</f>
        <v>5.29</v>
      </c>
      <c r="H72" s="2">
        <f>(B72+C72)*0.0098</f>
        <v>0.59</v>
      </c>
      <c r="I72" s="2">
        <f>(AB72)*0.0084484</f>
        <v>0</v>
      </c>
      <c r="J72" s="380">
        <f>SUM(D72:I72)</f>
        <v>19.399999999999999</v>
      </c>
      <c r="K72" s="18"/>
      <c r="L72" s="242"/>
      <c r="M72" s="242">
        <v>60</v>
      </c>
      <c r="N72" s="242"/>
      <c r="O72" s="242"/>
      <c r="P72" s="242"/>
      <c r="Q72" s="242"/>
      <c r="R72" s="242"/>
      <c r="S72" s="242"/>
      <c r="T72" s="242"/>
      <c r="U72" s="242"/>
      <c r="V72" s="242"/>
      <c r="W72" s="242"/>
      <c r="X72" s="242"/>
      <c r="Y72" s="242"/>
      <c r="Z72" s="242"/>
      <c r="AA72" s="242"/>
      <c r="AB72" s="242"/>
      <c r="AC72" s="242"/>
      <c r="AD72" s="7">
        <f>SUM(L72:AC72)</f>
        <v>60</v>
      </c>
      <c r="AE72" s="242"/>
      <c r="AF72" s="282">
        <f>+M72*$AF$12</f>
        <v>5.29</v>
      </c>
      <c r="AG72" s="282">
        <f>+N72*$AG$12</f>
        <v>0</v>
      </c>
      <c r="AH72" s="282">
        <f>+O72*$AH$12</f>
        <v>0</v>
      </c>
      <c r="AI72" s="282">
        <f>+P72*$AI$12</f>
        <v>0</v>
      </c>
      <c r="AJ72" s="282">
        <f>+Q72*$AJ$12</f>
        <v>0</v>
      </c>
      <c r="AK72" s="282">
        <f>+R72*$AK$12</f>
        <v>0</v>
      </c>
      <c r="AL72" s="282">
        <f>+S72*$AL$12</f>
        <v>0</v>
      </c>
      <c r="AM72" s="282">
        <f>+T72*$AM$12</f>
        <v>0</v>
      </c>
      <c r="AN72" s="282">
        <f>+U72*$AN$12</f>
        <v>0</v>
      </c>
      <c r="AO72" s="282">
        <f>+V72*$AO$12</f>
        <v>0</v>
      </c>
      <c r="AP72" s="282">
        <f>+W72*$AP$12</f>
        <v>0</v>
      </c>
      <c r="AQ72" s="282">
        <f>+X72*$AQ$12</f>
        <v>0</v>
      </c>
      <c r="AR72" s="282">
        <f>+Y72*$AR$12</f>
        <v>0</v>
      </c>
      <c r="AS72" s="282">
        <f>+Z72*$AS$12</f>
        <v>0</v>
      </c>
      <c r="AT72" s="282">
        <f>+AA72*$AT$12</f>
        <v>0</v>
      </c>
      <c r="AU72" s="282">
        <f>+AB72*$AU$12</f>
        <v>0</v>
      </c>
      <c r="AV72" s="282">
        <f>+AC72*$AV$12</f>
        <v>0</v>
      </c>
      <c r="AW72" s="318">
        <f>SUM(AF72:AV72)</f>
        <v>5.29</v>
      </c>
    </row>
    <row r="73" spans="1:49" s="20" customFormat="1" x14ac:dyDescent="0.2">
      <c r="A73" s="18" t="s">
        <v>56</v>
      </c>
      <c r="B73" s="242">
        <v>25058</v>
      </c>
      <c r="C73" s="242">
        <v>0</v>
      </c>
      <c r="D73" s="2">
        <f t="shared" si="0"/>
        <v>3107.19</v>
      </c>
      <c r="E73" s="2">
        <f t="shared" si="40"/>
        <v>1227.8399999999999</v>
      </c>
      <c r="F73" s="78">
        <f t="shared" si="38"/>
        <v>1313.04</v>
      </c>
      <c r="G73" s="2">
        <f t="shared" si="3"/>
        <v>2104.2800000000002</v>
      </c>
      <c r="H73" s="2">
        <f>(B73+C73)*0.0098+0.01</f>
        <v>245.58</v>
      </c>
      <c r="I73" s="2">
        <f t="shared" si="5"/>
        <v>185.64</v>
      </c>
      <c r="J73" s="380">
        <f t="shared" si="6"/>
        <v>8183.57</v>
      </c>
      <c r="K73" s="18"/>
      <c r="L73" s="242"/>
      <c r="M73" s="242"/>
      <c r="N73" s="242"/>
      <c r="O73" s="242"/>
      <c r="P73" s="242">
        <v>550</v>
      </c>
      <c r="Q73" s="242"/>
      <c r="R73" s="242"/>
      <c r="S73" s="242"/>
      <c r="T73" s="242"/>
      <c r="U73" s="242"/>
      <c r="V73" s="242"/>
      <c r="W73" s="242">
        <v>925</v>
      </c>
      <c r="X73" s="242"/>
      <c r="Y73" s="242"/>
      <c r="Z73" s="242"/>
      <c r="AA73" s="242">
        <v>1610</v>
      </c>
      <c r="AB73" s="242">
        <v>21973</v>
      </c>
      <c r="AC73" s="242"/>
      <c r="AD73" s="7">
        <f t="shared" si="39"/>
        <v>25058</v>
      </c>
      <c r="AE73" s="242"/>
      <c r="AF73" s="282">
        <f t="shared" si="8"/>
        <v>0</v>
      </c>
      <c r="AG73" s="282">
        <f t="shared" si="9"/>
        <v>0</v>
      </c>
      <c r="AH73" s="282">
        <f t="shared" si="10"/>
        <v>0</v>
      </c>
      <c r="AI73" s="282">
        <f t="shared" si="11"/>
        <v>21.56</v>
      </c>
      <c r="AJ73" s="282">
        <f t="shared" si="12"/>
        <v>0</v>
      </c>
      <c r="AK73" s="282">
        <f t="shared" si="13"/>
        <v>0</v>
      </c>
      <c r="AL73" s="282">
        <f t="shared" si="14"/>
        <v>0</v>
      </c>
      <c r="AM73" s="282">
        <f t="shared" si="15"/>
        <v>0</v>
      </c>
      <c r="AN73" s="282">
        <f t="shared" si="16"/>
        <v>0</v>
      </c>
      <c r="AO73" s="282">
        <f t="shared" si="17"/>
        <v>0</v>
      </c>
      <c r="AP73" s="282">
        <f t="shared" si="18"/>
        <v>81.59</v>
      </c>
      <c r="AQ73" s="282">
        <f t="shared" si="19"/>
        <v>0</v>
      </c>
      <c r="AR73" s="282">
        <f t="shared" si="20"/>
        <v>0</v>
      </c>
      <c r="AS73" s="282">
        <f t="shared" si="21"/>
        <v>0</v>
      </c>
      <c r="AT73" s="282">
        <f t="shared" si="22"/>
        <v>63.11</v>
      </c>
      <c r="AU73" s="282">
        <f t="shared" si="23"/>
        <v>1938.02</v>
      </c>
      <c r="AV73" s="282">
        <f t="shared" si="24"/>
        <v>0</v>
      </c>
      <c r="AW73" s="318">
        <f t="shared" si="25"/>
        <v>2104.2800000000002</v>
      </c>
    </row>
    <row r="74" spans="1:49" x14ac:dyDescent="0.2">
      <c r="A74" s="1" t="s">
        <v>726</v>
      </c>
      <c r="B74" s="7">
        <v>171128</v>
      </c>
      <c r="C74" s="7">
        <v>1708318</v>
      </c>
      <c r="D74" s="2">
        <f>(B74+C74)*0.124+0.01</f>
        <v>233051.31</v>
      </c>
      <c r="E74" s="2">
        <f>(B74+C74)*0.049</f>
        <v>92092.85</v>
      </c>
      <c r="F74" s="78">
        <f>(B74+C74)*0.0524</f>
        <v>98482.97</v>
      </c>
      <c r="G74" s="2">
        <f>+AW74</f>
        <v>158141.51</v>
      </c>
      <c r="H74" s="2">
        <f>(B74+C74)*0.0098+0.01</f>
        <v>18418.580000000002</v>
      </c>
      <c r="I74" s="2">
        <f>(AB74)*0.0084484</f>
        <v>0</v>
      </c>
      <c r="J74" s="380">
        <f>SUM(D74:I74)</f>
        <v>600187.22</v>
      </c>
      <c r="K74" s="1"/>
      <c r="L74" s="7"/>
      <c r="M74" s="7"/>
      <c r="N74" s="7"/>
      <c r="O74" s="7">
        <v>1723821</v>
      </c>
      <c r="P74" s="7"/>
      <c r="Q74" s="7"/>
      <c r="R74" s="7"/>
      <c r="S74" s="7"/>
      <c r="T74" s="7"/>
      <c r="U74" s="7"/>
      <c r="V74" s="7">
        <v>51202</v>
      </c>
      <c r="W74" s="7"/>
      <c r="X74" s="7"/>
      <c r="Y74" s="7">
        <v>104423</v>
      </c>
      <c r="Z74" s="7"/>
      <c r="AA74" s="7"/>
      <c r="AB74" s="7"/>
      <c r="AC74" s="7"/>
      <c r="AD74" s="7">
        <f>SUM(L74:AC74)</f>
        <v>1879446</v>
      </c>
      <c r="AE74" s="7"/>
      <c r="AF74" s="282">
        <f>+M74*$AF$12</f>
        <v>0</v>
      </c>
      <c r="AG74" s="282">
        <f>+N74*$AG$12</f>
        <v>0</v>
      </c>
      <c r="AH74" s="282">
        <f>+O74*$AH$12</f>
        <v>152041.01</v>
      </c>
      <c r="AI74" s="282">
        <f>+P74*$AI$12</f>
        <v>0</v>
      </c>
      <c r="AJ74" s="282">
        <f>+Q74*$AJ$12</f>
        <v>0</v>
      </c>
      <c r="AK74" s="282">
        <f>+R74*$AK$12</f>
        <v>0</v>
      </c>
      <c r="AL74" s="282">
        <f>+S74*$AL$12</f>
        <v>0</v>
      </c>
      <c r="AM74" s="282">
        <f>+T74*$AM$12</f>
        <v>0</v>
      </c>
      <c r="AN74" s="282">
        <f>+U74*$AN$12</f>
        <v>0</v>
      </c>
      <c r="AO74" s="282">
        <f>+V74*$AO$12</f>
        <v>2007.12</v>
      </c>
      <c r="AP74" s="282">
        <f>+W74*$AP$12</f>
        <v>0</v>
      </c>
      <c r="AQ74" s="282">
        <f>+X74*$AQ$12</f>
        <v>0</v>
      </c>
      <c r="AR74" s="282">
        <f>+Y74*$AR$12</f>
        <v>4093.38</v>
      </c>
      <c r="AS74" s="282">
        <f>+Z74*$AS$12</f>
        <v>0</v>
      </c>
      <c r="AT74" s="282">
        <f>+AA74*$AT$12</f>
        <v>0</v>
      </c>
      <c r="AU74" s="282">
        <f>+AB74*$AU$12</f>
        <v>0</v>
      </c>
      <c r="AV74" s="282">
        <f>+AC74*$AV$12</f>
        <v>0</v>
      </c>
      <c r="AW74" s="318">
        <f>SUM(AF74:AV74)</f>
        <v>158141.51</v>
      </c>
    </row>
    <row r="75" spans="1:49" x14ac:dyDescent="0.2">
      <c r="A75" s="1" t="s">
        <v>437</v>
      </c>
      <c r="B75" s="7">
        <v>240765</v>
      </c>
      <c r="C75" s="7">
        <v>0</v>
      </c>
      <c r="D75" s="2">
        <f>(B75+C75)*0.124-0.01</f>
        <v>29854.85</v>
      </c>
      <c r="E75" s="2">
        <f t="shared" si="40"/>
        <v>11797.49</v>
      </c>
      <c r="F75" s="78">
        <f t="shared" si="38"/>
        <v>12616.09</v>
      </c>
      <c r="G75" s="2">
        <f t="shared" si="3"/>
        <v>21235.47</v>
      </c>
      <c r="H75" s="2">
        <f t="shared" si="4"/>
        <v>2359.5</v>
      </c>
      <c r="I75" s="2">
        <f t="shared" si="5"/>
        <v>1045.54</v>
      </c>
      <c r="J75" s="380">
        <f t="shared" si="6"/>
        <v>78908.94</v>
      </c>
      <c r="K75" s="1"/>
      <c r="L75" s="7"/>
      <c r="M75" s="7"/>
      <c r="N75" s="7"/>
      <c r="O75" s="7">
        <v>117009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>
        <v>123756</v>
      </c>
      <c r="AC75" s="7"/>
      <c r="AD75" s="7">
        <f t="shared" si="39"/>
        <v>240765</v>
      </c>
      <c r="AE75" s="7"/>
      <c r="AF75" s="282">
        <f t="shared" si="8"/>
        <v>0</v>
      </c>
      <c r="AG75" s="282">
        <f t="shared" si="9"/>
        <v>0</v>
      </c>
      <c r="AH75" s="282">
        <f t="shared" si="10"/>
        <v>10320.19</v>
      </c>
      <c r="AI75" s="282">
        <f t="shared" si="11"/>
        <v>0</v>
      </c>
      <c r="AJ75" s="282">
        <f t="shared" si="12"/>
        <v>0</v>
      </c>
      <c r="AK75" s="282">
        <f t="shared" si="13"/>
        <v>0</v>
      </c>
      <c r="AL75" s="282">
        <f t="shared" si="14"/>
        <v>0</v>
      </c>
      <c r="AM75" s="282">
        <f t="shared" si="15"/>
        <v>0</v>
      </c>
      <c r="AN75" s="282">
        <f t="shared" si="16"/>
        <v>0</v>
      </c>
      <c r="AO75" s="282">
        <f t="shared" si="17"/>
        <v>0</v>
      </c>
      <c r="AP75" s="282">
        <f t="shared" si="18"/>
        <v>0</v>
      </c>
      <c r="AQ75" s="282">
        <f t="shared" si="19"/>
        <v>0</v>
      </c>
      <c r="AR75" s="282">
        <f t="shared" si="20"/>
        <v>0</v>
      </c>
      <c r="AS75" s="282">
        <f t="shared" si="21"/>
        <v>0</v>
      </c>
      <c r="AT75" s="282">
        <f t="shared" si="22"/>
        <v>0</v>
      </c>
      <c r="AU75" s="282">
        <f t="shared" si="23"/>
        <v>10915.28</v>
      </c>
      <c r="AV75" s="282">
        <f t="shared" si="24"/>
        <v>0</v>
      </c>
      <c r="AW75" s="318">
        <f t="shared" si="25"/>
        <v>21235.47</v>
      </c>
    </row>
    <row r="76" spans="1:49" x14ac:dyDescent="0.2">
      <c r="A76" s="1" t="s">
        <v>57</v>
      </c>
      <c r="B76" s="7">
        <v>0</v>
      </c>
      <c r="C76" s="7">
        <v>1330184</v>
      </c>
      <c r="D76" s="2">
        <f>(B76+C76)*0.124-0.01</f>
        <v>164942.81</v>
      </c>
      <c r="E76" s="2">
        <f t="shared" si="40"/>
        <v>65179.02</v>
      </c>
      <c r="F76" s="78">
        <f t="shared" si="38"/>
        <v>69701.64</v>
      </c>
      <c r="G76" s="2">
        <f t="shared" si="3"/>
        <v>117322.23</v>
      </c>
      <c r="H76" s="2">
        <f t="shared" si="4"/>
        <v>13035.8</v>
      </c>
      <c r="I76" s="2">
        <f t="shared" si="5"/>
        <v>0</v>
      </c>
      <c r="J76" s="380">
        <f t="shared" si="6"/>
        <v>430181.5</v>
      </c>
      <c r="K76" s="1"/>
      <c r="L76" s="7"/>
      <c r="M76" s="7"/>
      <c r="N76" s="7"/>
      <c r="O76" s="7">
        <v>1330184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>
        <f t="shared" si="39"/>
        <v>1330184</v>
      </c>
      <c r="AE76" s="7"/>
      <c r="AF76" s="282">
        <f t="shared" si="8"/>
        <v>0</v>
      </c>
      <c r="AG76" s="282">
        <f t="shared" si="9"/>
        <v>0</v>
      </c>
      <c r="AH76" s="282">
        <f t="shared" si="10"/>
        <v>117322.23</v>
      </c>
      <c r="AI76" s="282">
        <f t="shared" si="11"/>
        <v>0</v>
      </c>
      <c r="AJ76" s="282">
        <f t="shared" si="12"/>
        <v>0</v>
      </c>
      <c r="AK76" s="282">
        <f t="shared" si="13"/>
        <v>0</v>
      </c>
      <c r="AL76" s="282">
        <f t="shared" si="14"/>
        <v>0</v>
      </c>
      <c r="AM76" s="282">
        <f t="shared" si="15"/>
        <v>0</v>
      </c>
      <c r="AN76" s="282">
        <f t="shared" si="16"/>
        <v>0</v>
      </c>
      <c r="AO76" s="282">
        <f t="shared" si="17"/>
        <v>0</v>
      </c>
      <c r="AP76" s="282">
        <f t="shared" si="18"/>
        <v>0</v>
      </c>
      <c r="AQ76" s="282">
        <f t="shared" si="19"/>
        <v>0</v>
      </c>
      <c r="AR76" s="282">
        <f t="shared" si="20"/>
        <v>0</v>
      </c>
      <c r="AS76" s="282">
        <f t="shared" si="21"/>
        <v>0</v>
      </c>
      <c r="AT76" s="282">
        <f t="shared" si="22"/>
        <v>0</v>
      </c>
      <c r="AU76" s="282">
        <f t="shared" si="23"/>
        <v>0</v>
      </c>
      <c r="AV76" s="282">
        <f t="shared" si="24"/>
        <v>0</v>
      </c>
      <c r="AW76" s="318">
        <f t="shared" si="25"/>
        <v>117322.23</v>
      </c>
    </row>
    <row r="77" spans="1:49" x14ac:dyDescent="0.2">
      <c r="A77" s="1" t="s">
        <v>438</v>
      </c>
      <c r="B77" s="7">
        <v>513257</v>
      </c>
      <c r="C77" s="7">
        <v>0</v>
      </c>
      <c r="D77" s="2">
        <f t="shared" si="0"/>
        <v>63643.87</v>
      </c>
      <c r="E77" s="2">
        <f t="shared" si="40"/>
        <v>25149.59</v>
      </c>
      <c r="F77" s="78">
        <f t="shared" si="38"/>
        <v>26894.67</v>
      </c>
      <c r="G77" s="2">
        <f t="shared" si="3"/>
        <v>35265.089999999997</v>
      </c>
      <c r="H77" s="2">
        <f t="shared" si="4"/>
        <v>5029.92</v>
      </c>
      <c r="I77" s="2">
        <f t="shared" si="5"/>
        <v>0</v>
      </c>
      <c r="J77" s="380">
        <f t="shared" si="6"/>
        <v>155983.14000000001</v>
      </c>
      <c r="K77" s="1"/>
      <c r="L77" s="7"/>
      <c r="M77" s="7"/>
      <c r="N77" s="7"/>
      <c r="O77" s="7">
        <v>172033</v>
      </c>
      <c r="P77" s="7"/>
      <c r="Q77" s="7">
        <v>204167</v>
      </c>
      <c r="R77" s="7"/>
      <c r="S77" s="7"/>
      <c r="T77" s="7"/>
      <c r="U77" s="7"/>
      <c r="V77" s="7"/>
      <c r="W77" s="7">
        <v>137057</v>
      </c>
      <c r="X77" s="7"/>
      <c r="Y77" s="7"/>
      <c r="Z77" s="7"/>
      <c r="AA77" s="7"/>
      <c r="AB77" s="7"/>
      <c r="AC77" s="7"/>
      <c r="AD77" s="7">
        <f t="shared" si="39"/>
        <v>513257</v>
      </c>
      <c r="AE77" s="1"/>
      <c r="AF77" s="282">
        <f t="shared" si="8"/>
        <v>0</v>
      </c>
      <c r="AG77" s="282">
        <f t="shared" si="9"/>
        <v>0</v>
      </c>
      <c r="AH77" s="282">
        <f t="shared" si="10"/>
        <v>15173.31</v>
      </c>
      <c r="AI77" s="282">
        <f t="shared" si="11"/>
        <v>0</v>
      </c>
      <c r="AJ77" s="282">
        <f t="shared" si="12"/>
        <v>8003.35</v>
      </c>
      <c r="AK77" s="282">
        <f t="shared" si="13"/>
        <v>0</v>
      </c>
      <c r="AL77" s="282">
        <f t="shared" si="14"/>
        <v>0</v>
      </c>
      <c r="AM77" s="282">
        <f t="shared" si="15"/>
        <v>0</v>
      </c>
      <c r="AN77" s="282">
        <f t="shared" si="16"/>
        <v>0</v>
      </c>
      <c r="AO77" s="282">
        <f t="shared" si="17"/>
        <v>0</v>
      </c>
      <c r="AP77" s="282">
        <f t="shared" si="18"/>
        <v>12088.43</v>
      </c>
      <c r="AQ77" s="282">
        <f t="shared" si="19"/>
        <v>0</v>
      </c>
      <c r="AR77" s="282">
        <f t="shared" si="20"/>
        <v>0</v>
      </c>
      <c r="AS77" s="282">
        <f t="shared" si="21"/>
        <v>0</v>
      </c>
      <c r="AT77" s="282">
        <f t="shared" si="22"/>
        <v>0</v>
      </c>
      <c r="AU77" s="282">
        <f t="shared" si="23"/>
        <v>0</v>
      </c>
      <c r="AV77" s="282">
        <f t="shared" si="24"/>
        <v>0</v>
      </c>
      <c r="AW77" s="318">
        <f t="shared" si="25"/>
        <v>35265.089999999997</v>
      </c>
    </row>
    <row r="78" spans="1:49" x14ac:dyDescent="0.2">
      <c r="A78" s="1" t="s">
        <v>439</v>
      </c>
      <c r="B78" s="7">
        <v>27934</v>
      </c>
      <c r="C78" s="7">
        <v>0</v>
      </c>
      <c r="D78" s="2">
        <f>(B78+C78)*0.124-0.01</f>
        <v>3463.81</v>
      </c>
      <c r="E78" s="2">
        <f t="shared" si="40"/>
        <v>1368.77</v>
      </c>
      <c r="F78" s="78">
        <f t="shared" si="38"/>
        <v>1463.74</v>
      </c>
      <c r="G78" s="2">
        <f t="shared" si="3"/>
        <v>2463.7800000000002</v>
      </c>
      <c r="H78" s="2">
        <f t="shared" si="4"/>
        <v>273.75</v>
      </c>
      <c r="I78" s="2">
        <f t="shared" si="5"/>
        <v>65.89</v>
      </c>
      <c r="J78" s="380">
        <f t="shared" si="6"/>
        <v>9099.74</v>
      </c>
      <c r="K78" s="1"/>
      <c r="L78" s="7"/>
      <c r="M78" s="7"/>
      <c r="N78" s="7"/>
      <c r="O78" s="7">
        <v>20135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>
        <v>7799</v>
      </c>
      <c r="AC78" s="7"/>
      <c r="AD78" s="7">
        <f t="shared" si="39"/>
        <v>27934</v>
      </c>
      <c r="AE78" s="1"/>
      <c r="AF78" s="282">
        <f t="shared" si="8"/>
        <v>0</v>
      </c>
      <c r="AG78" s="282">
        <f t="shared" si="9"/>
        <v>0</v>
      </c>
      <c r="AH78" s="282">
        <f t="shared" si="10"/>
        <v>1775.91</v>
      </c>
      <c r="AI78" s="282">
        <f t="shared" si="11"/>
        <v>0</v>
      </c>
      <c r="AJ78" s="282">
        <f t="shared" si="12"/>
        <v>0</v>
      </c>
      <c r="AK78" s="282">
        <f t="shared" si="13"/>
        <v>0</v>
      </c>
      <c r="AL78" s="282">
        <f t="shared" si="14"/>
        <v>0</v>
      </c>
      <c r="AM78" s="282">
        <f t="shared" si="15"/>
        <v>0</v>
      </c>
      <c r="AN78" s="282">
        <f t="shared" si="16"/>
        <v>0</v>
      </c>
      <c r="AO78" s="282">
        <f t="shared" si="17"/>
        <v>0</v>
      </c>
      <c r="AP78" s="282">
        <f t="shared" si="18"/>
        <v>0</v>
      </c>
      <c r="AQ78" s="282">
        <f t="shared" si="19"/>
        <v>0</v>
      </c>
      <c r="AR78" s="282">
        <f t="shared" si="20"/>
        <v>0</v>
      </c>
      <c r="AS78" s="282">
        <f t="shared" si="21"/>
        <v>0</v>
      </c>
      <c r="AT78" s="282">
        <f t="shared" si="22"/>
        <v>0</v>
      </c>
      <c r="AU78" s="282">
        <f t="shared" si="23"/>
        <v>687.87</v>
      </c>
      <c r="AV78" s="282">
        <f t="shared" si="24"/>
        <v>0</v>
      </c>
      <c r="AW78" s="318">
        <f t="shared" si="25"/>
        <v>2463.7800000000002</v>
      </c>
    </row>
    <row r="79" spans="1:49" x14ac:dyDescent="0.2">
      <c r="A79" s="1" t="s">
        <v>355</v>
      </c>
      <c r="B79" s="7">
        <v>79144</v>
      </c>
      <c r="C79" s="7">
        <v>38912</v>
      </c>
      <c r="D79" s="2">
        <f>(B79+C79)*0.124+0.01</f>
        <v>14638.95</v>
      </c>
      <c r="E79" s="2">
        <f t="shared" si="40"/>
        <v>5784.74</v>
      </c>
      <c r="F79" s="78">
        <f t="shared" si="38"/>
        <v>6186.13</v>
      </c>
      <c r="G79" s="2">
        <f t="shared" si="3"/>
        <v>6288.21</v>
      </c>
      <c r="H79" s="2">
        <f t="shared" si="4"/>
        <v>1156.95</v>
      </c>
      <c r="I79" s="2">
        <f t="shared" si="5"/>
        <v>0</v>
      </c>
      <c r="J79" s="380">
        <f t="shared" si="6"/>
        <v>34054.980000000003</v>
      </c>
      <c r="K79" s="1"/>
      <c r="L79" s="7"/>
      <c r="M79" s="7"/>
      <c r="N79" s="7"/>
      <c r="O79" s="7">
        <v>33886</v>
      </c>
      <c r="P79" s="7"/>
      <c r="Q79" s="7"/>
      <c r="R79" s="7"/>
      <c r="S79" s="7"/>
      <c r="T79" s="7"/>
      <c r="U79" s="7"/>
      <c r="V79" s="7"/>
      <c r="W79" s="7"/>
      <c r="X79" s="7"/>
      <c r="Y79" s="7">
        <v>84170</v>
      </c>
      <c r="Z79" s="7"/>
      <c r="AA79" s="7"/>
      <c r="AB79" s="7"/>
      <c r="AC79" s="7"/>
      <c r="AD79" s="7">
        <f t="shared" ref="AD79:AD89" si="41">SUM(L79:AC79)</f>
        <v>118056</v>
      </c>
      <c r="AE79" s="1"/>
      <c r="AF79" s="282">
        <f t="shared" si="8"/>
        <v>0</v>
      </c>
      <c r="AG79" s="282">
        <f t="shared" si="9"/>
        <v>0</v>
      </c>
      <c r="AH79" s="282">
        <f t="shared" si="10"/>
        <v>2988.75</v>
      </c>
      <c r="AI79" s="282">
        <f t="shared" si="11"/>
        <v>0</v>
      </c>
      <c r="AJ79" s="282">
        <f t="shared" si="12"/>
        <v>0</v>
      </c>
      <c r="AK79" s="282">
        <f t="shared" si="13"/>
        <v>0</v>
      </c>
      <c r="AL79" s="282">
        <f t="shared" si="14"/>
        <v>0</v>
      </c>
      <c r="AM79" s="282">
        <f t="shared" si="15"/>
        <v>0</v>
      </c>
      <c r="AN79" s="282">
        <f t="shared" si="16"/>
        <v>0</v>
      </c>
      <c r="AO79" s="282">
        <f t="shared" si="17"/>
        <v>0</v>
      </c>
      <c r="AP79" s="282">
        <f t="shared" si="18"/>
        <v>0</v>
      </c>
      <c r="AQ79" s="282">
        <f t="shared" si="19"/>
        <v>0</v>
      </c>
      <c r="AR79" s="282">
        <f t="shared" si="20"/>
        <v>3299.46</v>
      </c>
      <c r="AS79" s="282">
        <f t="shared" si="21"/>
        <v>0</v>
      </c>
      <c r="AT79" s="282">
        <f t="shared" si="22"/>
        <v>0</v>
      </c>
      <c r="AU79" s="282">
        <f t="shared" si="23"/>
        <v>0</v>
      </c>
      <c r="AV79" s="282">
        <f t="shared" si="24"/>
        <v>0</v>
      </c>
      <c r="AW79" s="318">
        <f t="shared" si="25"/>
        <v>6288.21</v>
      </c>
    </row>
    <row r="80" spans="1:49" x14ac:dyDescent="0.2">
      <c r="A80" s="1" t="s">
        <v>606</v>
      </c>
      <c r="B80" s="7">
        <v>12860</v>
      </c>
      <c r="C80" s="7">
        <v>0</v>
      </c>
      <c r="D80" s="2">
        <f>(B80+C80)*0.124-645.45</f>
        <v>949.19</v>
      </c>
      <c r="E80" s="2">
        <f>(B80+C80)*0.049-254.97</f>
        <v>375.17</v>
      </c>
      <c r="F80" s="78">
        <f>(B80+C80)*0.0524-272.42</f>
        <v>401.44</v>
      </c>
      <c r="G80" s="2">
        <f>+AW80</f>
        <v>675.32</v>
      </c>
      <c r="H80" s="2">
        <f>(B80+C80)*0.0098+13.47-64.47</f>
        <v>75.03</v>
      </c>
      <c r="I80" s="2">
        <f>(AB80)*0.0084484-44.19</f>
        <v>64.459999999999994</v>
      </c>
      <c r="J80" s="380">
        <f t="shared" si="6"/>
        <v>2540.61</v>
      </c>
      <c r="K80" s="1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>
        <v>12860</v>
      </c>
      <c r="AC80" s="7"/>
      <c r="AD80" s="7">
        <f>SUM(L80:AC80)</f>
        <v>12860</v>
      </c>
      <c r="AE80" s="1"/>
      <c r="AF80" s="282">
        <f t="shared" si="8"/>
        <v>0</v>
      </c>
      <c r="AG80" s="282">
        <f t="shared" si="9"/>
        <v>0</v>
      </c>
      <c r="AH80" s="282">
        <f t="shared" si="10"/>
        <v>0</v>
      </c>
      <c r="AI80" s="282">
        <f t="shared" si="11"/>
        <v>0</v>
      </c>
      <c r="AJ80" s="282">
        <f t="shared" si="12"/>
        <v>0</v>
      </c>
      <c r="AK80" s="282">
        <f t="shared" si="13"/>
        <v>0</v>
      </c>
      <c r="AL80" s="282">
        <f t="shared" si="14"/>
        <v>0</v>
      </c>
      <c r="AM80" s="282">
        <f t="shared" si="15"/>
        <v>0</v>
      </c>
      <c r="AN80" s="282">
        <f t="shared" si="16"/>
        <v>0</v>
      </c>
      <c r="AO80" s="282">
        <f t="shared" si="17"/>
        <v>0</v>
      </c>
      <c r="AP80" s="282">
        <f t="shared" si="18"/>
        <v>0</v>
      </c>
      <c r="AQ80" s="282">
        <f t="shared" si="19"/>
        <v>0</v>
      </c>
      <c r="AR80" s="282">
        <f t="shared" si="20"/>
        <v>0</v>
      </c>
      <c r="AS80" s="282">
        <f t="shared" si="21"/>
        <v>0</v>
      </c>
      <c r="AT80" s="282">
        <f t="shared" si="22"/>
        <v>0</v>
      </c>
      <c r="AU80" s="282">
        <f>+AB80*$AU$12-458.93</f>
        <v>675.32</v>
      </c>
      <c r="AV80" s="282">
        <f t="shared" si="24"/>
        <v>0</v>
      </c>
      <c r="AW80" s="318">
        <f t="shared" si="25"/>
        <v>675.32</v>
      </c>
    </row>
    <row r="81" spans="1:49" s="20" customFormat="1" x14ac:dyDescent="0.2">
      <c r="A81" s="18" t="s">
        <v>440</v>
      </c>
      <c r="B81" s="242">
        <v>251776</v>
      </c>
      <c r="C81" s="242">
        <v>1046444</v>
      </c>
      <c r="D81" s="2">
        <f t="shared" si="0"/>
        <v>160979.28</v>
      </c>
      <c r="E81" s="2">
        <f t="shared" si="40"/>
        <v>63612.78</v>
      </c>
      <c r="F81" s="78">
        <f t="shared" si="38"/>
        <v>68026.73</v>
      </c>
      <c r="G81" s="2">
        <f t="shared" si="3"/>
        <v>114503</v>
      </c>
      <c r="H81" s="2">
        <f>(B81+C81)*0.0098-0.01</f>
        <v>12722.55</v>
      </c>
      <c r="I81" s="2">
        <f t="shared" si="5"/>
        <v>8840.7800000000007</v>
      </c>
      <c r="J81" s="380">
        <f t="shared" ref="J81:J110" si="42">SUM(D81:I81)</f>
        <v>428685.12</v>
      </c>
      <c r="K81" s="18"/>
      <c r="L81" s="242"/>
      <c r="M81" s="242">
        <v>251776</v>
      </c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242"/>
      <c r="Y81" s="242"/>
      <c r="Z81" s="242"/>
      <c r="AA81" s="242"/>
      <c r="AB81" s="242">
        <v>1046444</v>
      </c>
      <c r="AC81" s="242"/>
      <c r="AD81" s="7">
        <f t="shared" si="41"/>
        <v>1298220</v>
      </c>
      <c r="AE81" s="18"/>
      <c r="AF81" s="282">
        <f t="shared" si="8"/>
        <v>22206.639999999999</v>
      </c>
      <c r="AG81" s="282">
        <f t="shared" si="9"/>
        <v>0</v>
      </c>
      <c r="AH81" s="282">
        <f t="shared" si="10"/>
        <v>0</v>
      </c>
      <c r="AI81" s="282">
        <f t="shared" si="11"/>
        <v>0</v>
      </c>
      <c r="AJ81" s="282">
        <f t="shared" si="12"/>
        <v>0</v>
      </c>
      <c r="AK81" s="282">
        <f t="shared" si="13"/>
        <v>0</v>
      </c>
      <c r="AL81" s="282">
        <f t="shared" si="14"/>
        <v>0</v>
      </c>
      <c r="AM81" s="282">
        <f t="shared" si="15"/>
        <v>0</v>
      </c>
      <c r="AN81" s="282">
        <f t="shared" si="16"/>
        <v>0</v>
      </c>
      <c r="AO81" s="282">
        <f t="shared" si="17"/>
        <v>0</v>
      </c>
      <c r="AP81" s="282">
        <f t="shared" si="18"/>
        <v>0</v>
      </c>
      <c r="AQ81" s="282">
        <f t="shared" si="19"/>
        <v>0</v>
      </c>
      <c r="AR81" s="282">
        <f t="shared" si="20"/>
        <v>0</v>
      </c>
      <c r="AS81" s="282">
        <f t="shared" si="21"/>
        <v>0</v>
      </c>
      <c r="AT81" s="282">
        <f t="shared" si="22"/>
        <v>0</v>
      </c>
      <c r="AU81" s="282">
        <f t="shared" si="23"/>
        <v>92296.36</v>
      </c>
      <c r="AV81" s="282">
        <f t="shared" si="24"/>
        <v>0</v>
      </c>
      <c r="AW81" s="318">
        <f t="shared" si="25"/>
        <v>114503</v>
      </c>
    </row>
    <row r="82" spans="1:49" s="20" customFormat="1" x14ac:dyDescent="0.2">
      <c r="A82" s="18" t="s">
        <v>58</v>
      </c>
      <c r="B82" s="242">
        <v>206502</v>
      </c>
      <c r="C82" s="242">
        <v>7817110</v>
      </c>
      <c r="D82" s="2">
        <f>(B82+C82)*0.124-0.01</f>
        <v>994927.88</v>
      </c>
      <c r="E82" s="78">
        <f t="shared" ref="E82:E88" si="43">(B82+C82)*0.049</f>
        <v>393156.99</v>
      </c>
      <c r="F82" s="78">
        <f t="shared" si="38"/>
        <v>420437.27</v>
      </c>
      <c r="G82" s="2">
        <f t="shared" ref="G82:G113" si="44">+AW82</f>
        <v>688155.49</v>
      </c>
      <c r="H82" s="2">
        <f t="shared" si="4"/>
        <v>78631.399999999994</v>
      </c>
      <c r="I82" s="2">
        <f t="shared" ref="I82:I113" si="45">(AB82)*0.0084484</f>
        <v>0</v>
      </c>
      <c r="J82" s="380">
        <f t="shared" si="42"/>
        <v>2575309.0299999998</v>
      </c>
      <c r="K82" s="18"/>
      <c r="L82" s="242"/>
      <c r="M82" s="242"/>
      <c r="N82" s="242"/>
      <c r="O82" s="242">
        <v>7623073</v>
      </c>
      <c r="P82" s="242"/>
      <c r="Q82" s="242"/>
      <c r="R82" s="242">
        <v>3837</v>
      </c>
      <c r="S82" s="242"/>
      <c r="T82" s="242"/>
      <c r="U82" s="242">
        <v>2027</v>
      </c>
      <c r="V82" s="242">
        <v>2500</v>
      </c>
      <c r="W82" s="242"/>
      <c r="X82" s="242"/>
      <c r="Y82" s="242">
        <v>392175</v>
      </c>
      <c r="Z82" s="242"/>
      <c r="AA82" s="242"/>
      <c r="AB82" s="242"/>
      <c r="AC82" s="242"/>
      <c r="AD82" s="242">
        <f t="shared" si="41"/>
        <v>8023612</v>
      </c>
      <c r="AE82" s="242"/>
      <c r="AF82" s="282">
        <f t="shared" ref="AF82:AF113" si="46">+M82*$AF$12</f>
        <v>0</v>
      </c>
      <c r="AG82" s="282">
        <f t="shared" ref="AG82:AG113" si="47">+N82*$AG$12</f>
        <v>0</v>
      </c>
      <c r="AH82" s="282">
        <f t="shared" ref="AH82:AH113" si="48">+O82*$AH$12</f>
        <v>672355.04</v>
      </c>
      <c r="AI82" s="282">
        <f t="shared" ref="AI82:AI113" si="49">+P82*$AI$12</f>
        <v>0</v>
      </c>
      <c r="AJ82" s="282">
        <f t="shared" ref="AJ82:AJ113" si="50">+Q82*$AJ$12</f>
        <v>0</v>
      </c>
      <c r="AK82" s="282">
        <f t="shared" ref="AK82:AK113" si="51">+R82*$AK$12</f>
        <v>150.41</v>
      </c>
      <c r="AL82" s="282">
        <f t="shared" ref="AL82:AL113" si="52">+S82*$AL$12</f>
        <v>0</v>
      </c>
      <c r="AM82" s="282">
        <f t="shared" ref="AM82:AM113" si="53">+T82*$AM$12</f>
        <v>0</v>
      </c>
      <c r="AN82" s="282">
        <f t="shared" ref="AN82:AN113" si="54">+U82*$AN$12</f>
        <v>178.78</v>
      </c>
      <c r="AO82" s="282">
        <f t="shared" ref="AO82:AO113" si="55">+V82*$AO$12</f>
        <v>98</v>
      </c>
      <c r="AP82" s="282">
        <f t="shared" ref="AP82:AP113" si="56">+W82*$AP$12</f>
        <v>0</v>
      </c>
      <c r="AQ82" s="282">
        <f t="shared" ref="AQ82:AQ113" si="57">+X82*$AQ$12</f>
        <v>0</v>
      </c>
      <c r="AR82" s="282">
        <f t="shared" ref="AR82:AR113" si="58">+Y82*$AR$12</f>
        <v>15373.26</v>
      </c>
      <c r="AS82" s="282">
        <f t="shared" ref="AS82:AS113" si="59">+Z82*$AS$12</f>
        <v>0</v>
      </c>
      <c r="AT82" s="282">
        <f t="shared" ref="AT82:AT113" si="60">+AA82*$AT$12</f>
        <v>0</v>
      </c>
      <c r="AU82" s="282">
        <f t="shared" ref="AU82:AU113" si="61">+AB82*$AU$12</f>
        <v>0</v>
      </c>
      <c r="AV82" s="282">
        <f t="shared" ref="AV82:AV113" si="62">+AC82*$AV$12</f>
        <v>0</v>
      </c>
      <c r="AW82" s="318">
        <f t="shared" ref="AW82:AW113" si="63">SUM(AF82:AV82)</f>
        <v>688155.49</v>
      </c>
    </row>
    <row r="83" spans="1:49" x14ac:dyDescent="0.2">
      <c r="A83" s="1" t="s">
        <v>59</v>
      </c>
      <c r="B83" s="7">
        <v>320942</v>
      </c>
      <c r="C83" s="7">
        <v>0</v>
      </c>
      <c r="D83" s="2">
        <f t="shared" si="0"/>
        <v>39796.81</v>
      </c>
      <c r="E83" s="78">
        <f t="shared" si="43"/>
        <v>15726.16</v>
      </c>
      <c r="F83" s="78">
        <f t="shared" si="38"/>
        <v>16817.36</v>
      </c>
      <c r="G83" s="2">
        <f t="shared" si="44"/>
        <v>21869.07</v>
      </c>
      <c r="H83" s="2">
        <f t="shared" si="4"/>
        <v>3145.23</v>
      </c>
      <c r="I83" s="2">
        <f t="shared" si="45"/>
        <v>0</v>
      </c>
      <c r="J83" s="380">
        <f t="shared" si="42"/>
        <v>97354.63</v>
      </c>
      <c r="K83" s="1"/>
      <c r="L83" s="7"/>
      <c r="M83" s="7"/>
      <c r="N83" s="7"/>
      <c r="O83" s="7"/>
      <c r="P83" s="7"/>
      <c r="Q83" s="7">
        <v>71790</v>
      </c>
      <c r="R83" s="7"/>
      <c r="S83" s="7"/>
      <c r="T83" s="7">
        <v>6564</v>
      </c>
      <c r="U83" s="7"/>
      <c r="V83" s="7">
        <v>59598</v>
      </c>
      <c r="W83" s="7"/>
      <c r="X83" s="7"/>
      <c r="Y83" s="7"/>
      <c r="Z83" s="7"/>
      <c r="AA83" s="7"/>
      <c r="AB83" s="7"/>
      <c r="AC83" s="7">
        <v>182990</v>
      </c>
      <c r="AD83" s="7">
        <f t="shared" si="41"/>
        <v>320942</v>
      </c>
      <c r="AE83" s="7"/>
      <c r="AF83" s="282">
        <f t="shared" si="46"/>
        <v>0</v>
      </c>
      <c r="AG83" s="282">
        <f t="shared" si="47"/>
        <v>0</v>
      </c>
      <c r="AH83" s="282">
        <f t="shared" si="48"/>
        <v>0</v>
      </c>
      <c r="AI83" s="282">
        <f t="shared" si="49"/>
        <v>0</v>
      </c>
      <c r="AJ83" s="282">
        <f t="shared" si="50"/>
        <v>2814.17</v>
      </c>
      <c r="AK83" s="282">
        <f t="shared" si="51"/>
        <v>0</v>
      </c>
      <c r="AL83" s="282">
        <f t="shared" si="52"/>
        <v>0</v>
      </c>
      <c r="AM83" s="282">
        <f t="shared" si="53"/>
        <v>578.94000000000005</v>
      </c>
      <c r="AN83" s="282">
        <f t="shared" si="54"/>
        <v>0</v>
      </c>
      <c r="AO83" s="282">
        <f t="shared" si="55"/>
        <v>2336.2399999999998</v>
      </c>
      <c r="AP83" s="282">
        <f t="shared" si="56"/>
        <v>0</v>
      </c>
      <c r="AQ83" s="282">
        <f t="shared" si="57"/>
        <v>0</v>
      </c>
      <c r="AR83" s="282">
        <f t="shared" si="58"/>
        <v>0</v>
      </c>
      <c r="AS83" s="282">
        <f t="shared" si="59"/>
        <v>0</v>
      </c>
      <c r="AT83" s="282">
        <f t="shared" si="60"/>
        <v>0</v>
      </c>
      <c r="AU83" s="282">
        <f t="shared" si="61"/>
        <v>0</v>
      </c>
      <c r="AV83" s="282">
        <f t="shared" si="62"/>
        <v>16139.72</v>
      </c>
      <c r="AW83" s="318">
        <f t="shared" si="63"/>
        <v>21869.07</v>
      </c>
    </row>
    <row r="84" spans="1:49" ht="13.5" customHeight="1" x14ac:dyDescent="0.2">
      <c r="A84" s="1" t="s">
        <v>460</v>
      </c>
      <c r="B84" s="7">
        <v>0</v>
      </c>
      <c r="C84" s="7">
        <v>8700</v>
      </c>
      <c r="D84" s="2">
        <f t="shared" si="0"/>
        <v>1078.8</v>
      </c>
      <c r="E84" s="78">
        <f t="shared" si="43"/>
        <v>426.3</v>
      </c>
      <c r="F84" s="78">
        <f t="shared" si="38"/>
        <v>455.88</v>
      </c>
      <c r="G84" s="2">
        <f t="shared" si="44"/>
        <v>767.34</v>
      </c>
      <c r="H84" s="2">
        <f t="shared" si="4"/>
        <v>85.26</v>
      </c>
      <c r="I84" s="2">
        <f t="shared" si="45"/>
        <v>73.5</v>
      </c>
      <c r="J84" s="380">
        <f t="shared" si="42"/>
        <v>2887.08</v>
      </c>
      <c r="K84" s="1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>
        <v>8700</v>
      </c>
      <c r="AC84" s="7"/>
      <c r="AD84" s="7">
        <f t="shared" si="41"/>
        <v>8700</v>
      </c>
      <c r="AE84" s="1"/>
      <c r="AF84" s="282">
        <f t="shared" si="46"/>
        <v>0</v>
      </c>
      <c r="AG84" s="282">
        <f t="shared" si="47"/>
        <v>0</v>
      </c>
      <c r="AH84" s="282">
        <f t="shared" si="48"/>
        <v>0</v>
      </c>
      <c r="AI84" s="282">
        <f t="shared" si="49"/>
        <v>0</v>
      </c>
      <c r="AJ84" s="282">
        <f t="shared" si="50"/>
        <v>0</v>
      </c>
      <c r="AK84" s="282">
        <f t="shared" si="51"/>
        <v>0</v>
      </c>
      <c r="AL84" s="282">
        <f t="shared" si="52"/>
        <v>0</v>
      </c>
      <c r="AM84" s="282">
        <f t="shared" si="53"/>
        <v>0</v>
      </c>
      <c r="AN84" s="282">
        <f t="shared" si="54"/>
        <v>0</v>
      </c>
      <c r="AO84" s="282">
        <f t="shared" si="55"/>
        <v>0</v>
      </c>
      <c r="AP84" s="282">
        <f t="shared" si="56"/>
        <v>0</v>
      </c>
      <c r="AQ84" s="282">
        <f t="shared" si="57"/>
        <v>0</v>
      </c>
      <c r="AR84" s="282">
        <f t="shared" si="58"/>
        <v>0</v>
      </c>
      <c r="AS84" s="282">
        <f t="shared" si="59"/>
        <v>0</v>
      </c>
      <c r="AT84" s="282">
        <f t="shared" si="60"/>
        <v>0</v>
      </c>
      <c r="AU84" s="282">
        <f t="shared" si="61"/>
        <v>767.34</v>
      </c>
      <c r="AV84" s="282">
        <f t="shared" si="62"/>
        <v>0</v>
      </c>
      <c r="AW84" s="318">
        <f t="shared" si="63"/>
        <v>767.34</v>
      </c>
    </row>
    <row r="85" spans="1:49" s="20" customFormat="1" x14ac:dyDescent="0.2">
      <c r="A85" s="18" t="s">
        <v>60</v>
      </c>
      <c r="B85" s="242">
        <v>831458</v>
      </c>
      <c r="C85" s="242">
        <v>2940564</v>
      </c>
      <c r="D85" s="2">
        <f t="shared" si="0"/>
        <v>467730.73</v>
      </c>
      <c r="E85" s="78">
        <f t="shared" si="43"/>
        <v>184829.08</v>
      </c>
      <c r="F85" s="78">
        <f t="shared" si="38"/>
        <v>197653.95</v>
      </c>
      <c r="G85" s="2">
        <f t="shared" si="44"/>
        <v>321955.21999999997</v>
      </c>
      <c r="H85" s="2">
        <f>(B85+C85)*0.0098-0.01</f>
        <v>36965.81</v>
      </c>
      <c r="I85" s="2">
        <f t="shared" si="45"/>
        <v>6388.22</v>
      </c>
      <c r="J85" s="380">
        <f t="shared" si="42"/>
        <v>1215523.01</v>
      </c>
      <c r="K85" s="18"/>
      <c r="L85" s="242"/>
      <c r="M85" s="242">
        <v>321497</v>
      </c>
      <c r="N85" s="242"/>
      <c r="O85" s="242">
        <v>2297072</v>
      </c>
      <c r="P85" s="242">
        <v>174041</v>
      </c>
      <c r="Q85" s="242"/>
      <c r="R85" s="242">
        <v>4032</v>
      </c>
      <c r="S85" s="242"/>
      <c r="T85" s="242"/>
      <c r="U85" s="242"/>
      <c r="V85" s="242"/>
      <c r="W85" s="242">
        <v>146629</v>
      </c>
      <c r="X85" s="242">
        <v>2014</v>
      </c>
      <c r="Y85" s="242">
        <v>41052</v>
      </c>
      <c r="Z85" s="242">
        <v>29539</v>
      </c>
      <c r="AA85" s="242"/>
      <c r="AB85" s="242">
        <v>756146</v>
      </c>
      <c r="AC85" s="242"/>
      <c r="AD85" s="242">
        <f t="shared" si="41"/>
        <v>3772022</v>
      </c>
      <c r="AE85" s="18"/>
      <c r="AF85" s="282">
        <f t="shared" si="46"/>
        <v>28356.04</v>
      </c>
      <c r="AG85" s="282">
        <f t="shared" si="47"/>
        <v>0</v>
      </c>
      <c r="AH85" s="282">
        <f t="shared" si="48"/>
        <v>202601.75</v>
      </c>
      <c r="AI85" s="282">
        <f t="shared" si="49"/>
        <v>6822.41</v>
      </c>
      <c r="AJ85" s="282">
        <f t="shared" si="50"/>
        <v>0</v>
      </c>
      <c r="AK85" s="282">
        <f t="shared" si="51"/>
        <v>158.05000000000001</v>
      </c>
      <c r="AL85" s="282">
        <f t="shared" si="52"/>
        <v>0</v>
      </c>
      <c r="AM85" s="282">
        <f t="shared" si="53"/>
        <v>0</v>
      </c>
      <c r="AN85" s="282">
        <f t="shared" si="54"/>
        <v>0</v>
      </c>
      <c r="AO85" s="282">
        <f t="shared" si="55"/>
        <v>0</v>
      </c>
      <c r="AP85" s="282">
        <f t="shared" si="56"/>
        <v>12932.68</v>
      </c>
      <c r="AQ85" s="282">
        <f t="shared" si="57"/>
        <v>177.63</v>
      </c>
      <c r="AR85" s="282">
        <f t="shared" si="58"/>
        <v>1609.24</v>
      </c>
      <c r="AS85" s="282">
        <f t="shared" si="59"/>
        <v>2605.34</v>
      </c>
      <c r="AT85" s="282">
        <f t="shared" si="60"/>
        <v>0</v>
      </c>
      <c r="AU85" s="282">
        <f t="shared" si="61"/>
        <v>66692.08</v>
      </c>
      <c r="AV85" s="282">
        <f t="shared" si="62"/>
        <v>0</v>
      </c>
      <c r="AW85" s="318">
        <f t="shared" si="63"/>
        <v>321955.21999999997</v>
      </c>
    </row>
    <row r="86" spans="1:49" s="20" customFormat="1" x14ac:dyDescent="0.2">
      <c r="A86" s="1" t="s">
        <v>461</v>
      </c>
      <c r="B86" s="7">
        <v>60122</v>
      </c>
      <c r="C86" s="7">
        <v>0</v>
      </c>
      <c r="D86" s="2">
        <f t="shared" si="0"/>
        <v>7455.13</v>
      </c>
      <c r="E86" s="2">
        <f t="shared" si="43"/>
        <v>2945.98</v>
      </c>
      <c r="F86" s="78">
        <f t="shared" si="38"/>
        <v>3150.39</v>
      </c>
      <c r="G86" s="2">
        <f t="shared" si="44"/>
        <v>5262.2</v>
      </c>
      <c r="H86" s="2">
        <f t="shared" si="4"/>
        <v>589.20000000000005</v>
      </c>
      <c r="I86" s="2">
        <f t="shared" si="45"/>
        <v>1.04</v>
      </c>
      <c r="J86" s="380">
        <f t="shared" si="42"/>
        <v>19403.939999999999</v>
      </c>
      <c r="K86" s="1"/>
      <c r="L86" s="7"/>
      <c r="M86" s="7"/>
      <c r="N86" s="7">
        <v>263</v>
      </c>
      <c r="O86" s="7"/>
      <c r="P86" s="7">
        <v>828</v>
      </c>
      <c r="Q86" s="7"/>
      <c r="R86" s="7"/>
      <c r="S86" s="7"/>
      <c r="T86" s="7"/>
      <c r="U86" s="7"/>
      <c r="V86" s="7"/>
      <c r="W86" s="7">
        <v>58908</v>
      </c>
      <c r="X86" s="7"/>
      <c r="Y86" s="7"/>
      <c r="Z86" s="7"/>
      <c r="AA86" s="7"/>
      <c r="AB86" s="7">
        <v>123</v>
      </c>
      <c r="AC86" s="7"/>
      <c r="AD86" s="7">
        <f t="shared" si="41"/>
        <v>60122</v>
      </c>
      <c r="AE86" s="242"/>
      <c r="AF86" s="282">
        <f t="shared" si="46"/>
        <v>0</v>
      </c>
      <c r="AG86" s="282">
        <f t="shared" si="47"/>
        <v>23.2</v>
      </c>
      <c r="AH86" s="282">
        <f t="shared" si="48"/>
        <v>0</v>
      </c>
      <c r="AI86" s="282">
        <f t="shared" si="49"/>
        <v>32.46</v>
      </c>
      <c r="AJ86" s="282">
        <f t="shared" si="50"/>
        <v>0</v>
      </c>
      <c r="AK86" s="282">
        <f t="shared" si="51"/>
        <v>0</v>
      </c>
      <c r="AL86" s="282">
        <f t="shared" si="52"/>
        <v>0</v>
      </c>
      <c r="AM86" s="282">
        <f t="shared" si="53"/>
        <v>0</v>
      </c>
      <c r="AN86" s="282">
        <f t="shared" si="54"/>
        <v>0</v>
      </c>
      <c r="AO86" s="282">
        <f t="shared" si="55"/>
        <v>0</v>
      </c>
      <c r="AP86" s="282">
        <f t="shared" si="56"/>
        <v>5195.6899999999996</v>
      </c>
      <c r="AQ86" s="282">
        <f t="shared" si="57"/>
        <v>0</v>
      </c>
      <c r="AR86" s="282">
        <f t="shared" si="58"/>
        <v>0</v>
      </c>
      <c r="AS86" s="282">
        <f t="shared" si="59"/>
        <v>0</v>
      </c>
      <c r="AT86" s="282">
        <f t="shared" si="60"/>
        <v>0</v>
      </c>
      <c r="AU86" s="282">
        <f t="shared" si="61"/>
        <v>10.85</v>
      </c>
      <c r="AV86" s="282">
        <f t="shared" si="62"/>
        <v>0</v>
      </c>
      <c r="AW86" s="318">
        <f t="shared" si="63"/>
        <v>5262.2</v>
      </c>
    </row>
    <row r="87" spans="1:49" s="20" customFormat="1" x14ac:dyDescent="0.2">
      <c r="A87" s="18" t="s">
        <v>61</v>
      </c>
      <c r="B87" s="242">
        <v>55731</v>
      </c>
      <c r="C87" s="242">
        <v>0</v>
      </c>
      <c r="D87" s="2">
        <f>(B87+C87)*0.124+0.01</f>
        <v>6910.65</v>
      </c>
      <c r="E87" s="78">
        <f t="shared" si="43"/>
        <v>2730.82</v>
      </c>
      <c r="F87" s="78">
        <f t="shared" si="38"/>
        <v>2920.3</v>
      </c>
      <c r="G87" s="2">
        <f t="shared" si="44"/>
        <v>4915.47</v>
      </c>
      <c r="H87" s="2">
        <f t="shared" si="4"/>
        <v>546.16</v>
      </c>
      <c r="I87" s="2">
        <f t="shared" si="45"/>
        <v>0</v>
      </c>
      <c r="J87" s="380">
        <f t="shared" si="42"/>
        <v>18023.400000000001</v>
      </c>
      <c r="K87" s="18"/>
      <c r="L87" s="242"/>
      <c r="M87" s="242"/>
      <c r="N87" s="242"/>
      <c r="O87" s="242"/>
      <c r="P87" s="242"/>
      <c r="Q87" s="242"/>
      <c r="R87" s="242"/>
      <c r="S87" s="242"/>
      <c r="T87" s="242">
        <v>53099</v>
      </c>
      <c r="U87" s="242"/>
      <c r="V87" s="242"/>
      <c r="W87" s="242"/>
      <c r="X87" s="242"/>
      <c r="Y87" s="242"/>
      <c r="Z87" s="242">
        <v>2632</v>
      </c>
      <c r="AA87" s="242"/>
      <c r="AB87" s="242"/>
      <c r="AC87" s="242"/>
      <c r="AD87" s="242">
        <f t="shared" si="41"/>
        <v>55731</v>
      </c>
      <c r="AE87" s="242"/>
      <c r="AF87" s="282">
        <f t="shared" si="46"/>
        <v>0</v>
      </c>
      <c r="AG87" s="282">
        <f t="shared" si="47"/>
        <v>0</v>
      </c>
      <c r="AH87" s="282">
        <f t="shared" si="48"/>
        <v>0</v>
      </c>
      <c r="AI87" s="282">
        <f t="shared" si="49"/>
        <v>0</v>
      </c>
      <c r="AJ87" s="282">
        <f t="shared" si="50"/>
        <v>0</v>
      </c>
      <c r="AK87" s="282">
        <f t="shared" si="51"/>
        <v>0</v>
      </c>
      <c r="AL87" s="282">
        <f t="shared" si="52"/>
        <v>0</v>
      </c>
      <c r="AM87" s="282">
        <f t="shared" si="53"/>
        <v>4683.33</v>
      </c>
      <c r="AN87" s="282">
        <f t="shared" si="54"/>
        <v>0</v>
      </c>
      <c r="AO87" s="282">
        <f t="shared" si="55"/>
        <v>0</v>
      </c>
      <c r="AP87" s="282">
        <f t="shared" si="56"/>
        <v>0</v>
      </c>
      <c r="AQ87" s="282">
        <f t="shared" si="57"/>
        <v>0</v>
      </c>
      <c r="AR87" s="282">
        <f t="shared" si="58"/>
        <v>0</v>
      </c>
      <c r="AS87" s="282">
        <f t="shared" si="59"/>
        <v>232.14</v>
      </c>
      <c r="AT87" s="282">
        <f t="shared" si="60"/>
        <v>0</v>
      </c>
      <c r="AU87" s="282">
        <f t="shared" si="61"/>
        <v>0</v>
      </c>
      <c r="AV87" s="282">
        <f t="shared" si="62"/>
        <v>0</v>
      </c>
      <c r="AW87" s="318">
        <f t="shared" si="63"/>
        <v>4915.47</v>
      </c>
    </row>
    <row r="88" spans="1:49" x14ac:dyDescent="0.2">
      <c r="A88" s="1" t="s">
        <v>62</v>
      </c>
      <c r="B88" s="7">
        <v>4051</v>
      </c>
      <c r="C88" s="7">
        <v>0</v>
      </c>
      <c r="D88" s="2">
        <f>(B88+C88)*0.124+0.01</f>
        <v>502.33</v>
      </c>
      <c r="E88" s="2">
        <f t="shared" si="43"/>
        <v>198.5</v>
      </c>
      <c r="F88" s="78">
        <f t="shared" si="38"/>
        <v>212.27</v>
      </c>
      <c r="G88" s="2">
        <f t="shared" si="44"/>
        <v>158.80000000000001</v>
      </c>
      <c r="H88" s="2">
        <f t="shared" si="4"/>
        <v>39.700000000000003</v>
      </c>
      <c r="I88" s="2">
        <f t="shared" si="45"/>
        <v>0</v>
      </c>
      <c r="J88" s="380">
        <f t="shared" si="42"/>
        <v>1111.5999999999999</v>
      </c>
      <c r="K88" s="1"/>
      <c r="L88" s="7"/>
      <c r="M88" s="7"/>
      <c r="N88" s="7"/>
      <c r="O88" s="7"/>
      <c r="P88" s="7"/>
      <c r="Q88" s="7"/>
      <c r="R88" s="7"/>
      <c r="S88" s="7"/>
      <c r="T88" s="7"/>
      <c r="U88" s="7"/>
      <c r="V88" s="7">
        <v>4051</v>
      </c>
      <c r="W88" s="7"/>
      <c r="X88" s="7"/>
      <c r="Y88" s="7"/>
      <c r="Z88" s="7"/>
      <c r="AA88" s="7"/>
      <c r="AB88" s="7"/>
      <c r="AC88" s="7"/>
      <c r="AD88" s="7">
        <f t="shared" si="41"/>
        <v>4051</v>
      </c>
      <c r="AE88" s="7"/>
      <c r="AF88" s="282">
        <f t="shared" si="46"/>
        <v>0</v>
      </c>
      <c r="AG88" s="282">
        <f t="shared" si="47"/>
        <v>0</v>
      </c>
      <c r="AH88" s="282">
        <f t="shared" si="48"/>
        <v>0</v>
      </c>
      <c r="AI88" s="282">
        <f t="shared" si="49"/>
        <v>0</v>
      </c>
      <c r="AJ88" s="282">
        <f t="shared" si="50"/>
        <v>0</v>
      </c>
      <c r="AK88" s="282">
        <f t="shared" si="51"/>
        <v>0</v>
      </c>
      <c r="AL88" s="282">
        <f t="shared" si="52"/>
        <v>0</v>
      </c>
      <c r="AM88" s="282">
        <f t="shared" si="53"/>
        <v>0</v>
      </c>
      <c r="AN88" s="282">
        <f t="shared" si="54"/>
        <v>0</v>
      </c>
      <c r="AO88" s="282">
        <f t="shared" si="55"/>
        <v>158.80000000000001</v>
      </c>
      <c r="AP88" s="282">
        <f t="shared" si="56"/>
        <v>0</v>
      </c>
      <c r="AQ88" s="282">
        <f t="shared" si="57"/>
        <v>0</v>
      </c>
      <c r="AR88" s="282">
        <f t="shared" si="58"/>
        <v>0</v>
      </c>
      <c r="AS88" s="282">
        <f t="shared" si="59"/>
        <v>0</v>
      </c>
      <c r="AT88" s="282">
        <f t="shared" si="60"/>
        <v>0</v>
      </c>
      <c r="AU88" s="282">
        <f t="shared" si="61"/>
        <v>0</v>
      </c>
      <c r="AV88" s="282">
        <f t="shared" si="62"/>
        <v>0</v>
      </c>
      <c r="AW88" s="318">
        <f t="shared" si="63"/>
        <v>158.80000000000001</v>
      </c>
    </row>
    <row r="89" spans="1:49" x14ac:dyDescent="0.2">
      <c r="A89" s="1" t="s">
        <v>63</v>
      </c>
      <c r="B89" s="7">
        <v>20426</v>
      </c>
      <c r="C89" s="7">
        <v>0</v>
      </c>
      <c r="D89" s="2">
        <f>(B89+C89)*0.124+0.01</f>
        <v>2532.83</v>
      </c>
      <c r="E89" s="2">
        <f t="shared" ref="E89:E97" si="64">(B89+C89)*0.049</f>
        <v>1000.87</v>
      </c>
      <c r="F89" s="78">
        <f t="shared" si="38"/>
        <v>1070.32</v>
      </c>
      <c r="G89" s="2">
        <f t="shared" si="44"/>
        <v>1801.57</v>
      </c>
      <c r="H89" s="2">
        <f>(B89+C89)*0.0098+0.01</f>
        <v>200.18</v>
      </c>
      <c r="I89" s="2">
        <f t="shared" si="45"/>
        <v>0</v>
      </c>
      <c r="J89" s="380">
        <f t="shared" si="42"/>
        <v>6605.77</v>
      </c>
      <c r="K89" s="1"/>
      <c r="L89" s="7"/>
      <c r="M89" s="7"/>
      <c r="N89" s="7"/>
      <c r="O89" s="7"/>
      <c r="P89" s="7"/>
      <c r="Q89" s="7"/>
      <c r="R89" s="7"/>
      <c r="S89" s="7"/>
      <c r="T89" s="7">
        <v>19372</v>
      </c>
      <c r="U89" s="7"/>
      <c r="V89" s="7"/>
      <c r="W89" s="7"/>
      <c r="X89" s="7"/>
      <c r="Y89" s="7"/>
      <c r="Z89" s="7">
        <v>1054</v>
      </c>
      <c r="AA89" s="7"/>
      <c r="AB89" s="7"/>
      <c r="AC89" s="7"/>
      <c r="AD89" s="7">
        <f t="shared" si="41"/>
        <v>20426</v>
      </c>
      <c r="AE89" s="7"/>
      <c r="AF89" s="282">
        <f t="shared" si="46"/>
        <v>0</v>
      </c>
      <c r="AG89" s="282">
        <f t="shared" si="47"/>
        <v>0</v>
      </c>
      <c r="AH89" s="282">
        <f t="shared" si="48"/>
        <v>0</v>
      </c>
      <c r="AI89" s="282">
        <f t="shared" si="49"/>
        <v>0</v>
      </c>
      <c r="AJ89" s="282">
        <f t="shared" si="50"/>
        <v>0</v>
      </c>
      <c r="AK89" s="282">
        <f t="shared" si="51"/>
        <v>0</v>
      </c>
      <c r="AL89" s="282">
        <f t="shared" si="52"/>
        <v>0</v>
      </c>
      <c r="AM89" s="282">
        <f t="shared" si="53"/>
        <v>1708.61</v>
      </c>
      <c r="AN89" s="282">
        <f t="shared" si="54"/>
        <v>0</v>
      </c>
      <c r="AO89" s="282">
        <f t="shared" si="55"/>
        <v>0</v>
      </c>
      <c r="AP89" s="282">
        <f t="shared" si="56"/>
        <v>0</v>
      </c>
      <c r="AQ89" s="282">
        <f t="shared" si="57"/>
        <v>0</v>
      </c>
      <c r="AR89" s="282">
        <f t="shared" si="58"/>
        <v>0</v>
      </c>
      <c r="AS89" s="282">
        <f t="shared" si="59"/>
        <v>92.96</v>
      </c>
      <c r="AT89" s="282">
        <f t="shared" si="60"/>
        <v>0</v>
      </c>
      <c r="AU89" s="282">
        <f t="shared" si="61"/>
        <v>0</v>
      </c>
      <c r="AV89" s="282">
        <f t="shared" si="62"/>
        <v>0</v>
      </c>
      <c r="AW89" s="318">
        <f t="shared" si="63"/>
        <v>1801.57</v>
      </c>
    </row>
    <row r="90" spans="1:49" s="20" customFormat="1" x14ac:dyDescent="0.2">
      <c r="A90" s="18" t="s">
        <v>64</v>
      </c>
      <c r="B90" s="242">
        <v>1912</v>
      </c>
      <c r="C90" s="242">
        <v>0</v>
      </c>
      <c r="D90" s="2">
        <f>(B90+C90)*0.124-0.01</f>
        <v>237.08</v>
      </c>
      <c r="E90" s="78">
        <f t="shared" si="64"/>
        <v>93.69</v>
      </c>
      <c r="F90" s="78">
        <f t="shared" si="38"/>
        <v>100.19</v>
      </c>
      <c r="G90" s="2">
        <f t="shared" si="44"/>
        <v>168.64</v>
      </c>
      <c r="H90" s="2">
        <f t="shared" ref="H90:H113" si="65">(B90+C90)*0.0098</f>
        <v>18.739999999999998</v>
      </c>
      <c r="I90" s="2">
        <f t="shared" si="45"/>
        <v>0</v>
      </c>
      <c r="J90" s="380">
        <f t="shared" si="42"/>
        <v>618.34</v>
      </c>
      <c r="K90" s="18"/>
      <c r="L90" s="242"/>
      <c r="M90" s="242"/>
      <c r="N90" s="242"/>
      <c r="O90" s="242">
        <v>1912</v>
      </c>
      <c r="P90" s="242"/>
      <c r="Q90" s="242"/>
      <c r="R90" s="242"/>
      <c r="S90" s="242"/>
      <c r="T90" s="242"/>
      <c r="U90" s="242"/>
      <c r="V90" s="242"/>
      <c r="W90" s="242"/>
      <c r="X90" s="242"/>
      <c r="Y90" s="242"/>
      <c r="Z90" s="242"/>
      <c r="AA90" s="242"/>
      <c r="AB90" s="242"/>
      <c r="AC90" s="242"/>
      <c r="AD90" s="242">
        <f t="shared" ref="AD90:AD97" si="66">SUM(L90:AC90)</f>
        <v>1912</v>
      </c>
      <c r="AE90" s="242"/>
      <c r="AF90" s="282">
        <f t="shared" si="46"/>
        <v>0</v>
      </c>
      <c r="AG90" s="282">
        <f t="shared" si="47"/>
        <v>0</v>
      </c>
      <c r="AH90" s="282">
        <f t="shared" si="48"/>
        <v>168.64</v>
      </c>
      <c r="AI90" s="282">
        <f t="shared" si="49"/>
        <v>0</v>
      </c>
      <c r="AJ90" s="282">
        <f t="shared" si="50"/>
        <v>0</v>
      </c>
      <c r="AK90" s="282">
        <f t="shared" si="51"/>
        <v>0</v>
      </c>
      <c r="AL90" s="282">
        <f t="shared" si="52"/>
        <v>0</v>
      </c>
      <c r="AM90" s="282">
        <f t="shared" si="53"/>
        <v>0</v>
      </c>
      <c r="AN90" s="282">
        <f t="shared" si="54"/>
        <v>0</v>
      </c>
      <c r="AO90" s="282">
        <f t="shared" si="55"/>
        <v>0</v>
      </c>
      <c r="AP90" s="282">
        <f t="shared" si="56"/>
        <v>0</v>
      </c>
      <c r="AQ90" s="282">
        <f t="shared" si="57"/>
        <v>0</v>
      </c>
      <c r="AR90" s="282">
        <f t="shared" si="58"/>
        <v>0</v>
      </c>
      <c r="AS90" s="282">
        <f t="shared" si="59"/>
        <v>0</v>
      </c>
      <c r="AT90" s="282">
        <f t="shared" si="60"/>
        <v>0</v>
      </c>
      <c r="AU90" s="282">
        <f t="shared" si="61"/>
        <v>0</v>
      </c>
      <c r="AV90" s="282">
        <f t="shared" si="62"/>
        <v>0</v>
      </c>
      <c r="AW90" s="318">
        <f t="shared" si="63"/>
        <v>168.64</v>
      </c>
    </row>
    <row r="91" spans="1:49" s="20" customFormat="1" x14ac:dyDescent="0.2">
      <c r="A91" s="18" t="s">
        <v>569</v>
      </c>
      <c r="B91" s="242">
        <v>28810</v>
      </c>
      <c r="C91" s="242">
        <v>0</v>
      </c>
      <c r="D91" s="2">
        <f t="shared" ref="D91:D112" si="67">(B91+C91)*0.124</f>
        <v>3572.44</v>
      </c>
      <c r="E91" s="78">
        <f t="shared" si="64"/>
        <v>1411.69</v>
      </c>
      <c r="F91" s="78">
        <f t="shared" ref="F91:F99" si="68">(B91+C91)*0.0524</f>
        <v>1509.64</v>
      </c>
      <c r="G91" s="2">
        <f t="shared" si="44"/>
        <v>1129.3499999999999</v>
      </c>
      <c r="H91" s="2">
        <f t="shared" si="65"/>
        <v>282.33999999999997</v>
      </c>
      <c r="I91" s="2">
        <f t="shared" si="45"/>
        <v>0</v>
      </c>
      <c r="J91" s="380">
        <f t="shared" si="42"/>
        <v>7905.46</v>
      </c>
      <c r="K91" s="18"/>
      <c r="L91" s="242"/>
      <c r="M91" s="242"/>
      <c r="N91" s="242"/>
      <c r="O91" s="242"/>
      <c r="P91" s="242"/>
      <c r="Q91" s="242"/>
      <c r="R91" s="242"/>
      <c r="S91" s="242">
        <v>28810</v>
      </c>
      <c r="T91" s="242"/>
      <c r="U91" s="242"/>
      <c r="V91" s="242"/>
      <c r="W91" s="242"/>
      <c r="X91" s="242"/>
      <c r="Y91" s="242"/>
      <c r="Z91" s="242"/>
      <c r="AA91" s="242"/>
      <c r="AB91" s="242"/>
      <c r="AC91" s="242"/>
      <c r="AD91" s="242">
        <f t="shared" si="66"/>
        <v>28810</v>
      </c>
      <c r="AE91" s="18"/>
      <c r="AF91" s="282">
        <f t="shared" si="46"/>
        <v>0</v>
      </c>
      <c r="AG91" s="282">
        <f t="shared" si="47"/>
        <v>0</v>
      </c>
      <c r="AH91" s="282">
        <f t="shared" si="48"/>
        <v>0</v>
      </c>
      <c r="AI91" s="282">
        <f t="shared" si="49"/>
        <v>0</v>
      </c>
      <c r="AJ91" s="282">
        <f t="shared" si="50"/>
        <v>0</v>
      </c>
      <c r="AK91" s="282">
        <f t="shared" si="51"/>
        <v>0</v>
      </c>
      <c r="AL91" s="282">
        <f t="shared" si="52"/>
        <v>1129.3499999999999</v>
      </c>
      <c r="AM91" s="282">
        <f t="shared" si="53"/>
        <v>0</v>
      </c>
      <c r="AN91" s="282">
        <f t="shared" si="54"/>
        <v>0</v>
      </c>
      <c r="AO91" s="282">
        <f t="shared" si="55"/>
        <v>0</v>
      </c>
      <c r="AP91" s="282">
        <f t="shared" si="56"/>
        <v>0</v>
      </c>
      <c r="AQ91" s="282">
        <f t="shared" si="57"/>
        <v>0</v>
      </c>
      <c r="AR91" s="282">
        <f t="shared" si="58"/>
        <v>0</v>
      </c>
      <c r="AS91" s="282">
        <f t="shared" si="59"/>
        <v>0</v>
      </c>
      <c r="AT91" s="282">
        <f t="shared" si="60"/>
        <v>0</v>
      </c>
      <c r="AU91" s="282">
        <f t="shared" si="61"/>
        <v>0</v>
      </c>
      <c r="AV91" s="282">
        <f t="shared" si="62"/>
        <v>0</v>
      </c>
      <c r="AW91" s="318">
        <f t="shared" si="63"/>
        <v>1129.3499999999999</v>
      </c>
    </row>
    <row r="92" spans="1:49" s="20" customFormat="1" x14ac:dyDescent="0.2">
      <c r="A92" s="18" t="s">
        <v>441</v>
      </c>
      <c r="B92" s="242">
        <v>612503</v>
      </c>
      <c r="C92" s="242">
        <v>799769</v>
      </c>
      <c r="D92" s="2">
        <f t="shared" si="67"/>
        <v>175121.73</v>
      </c>
      <c r="E92" s="78">
        <f t="shared" si="64"/>
        <v>69201.33</v>
      </c>
      <c r="F92" s="78">
        <f t="shared" si="68"/>
        <v>74003.05</v>
      </c>
      <c r="G92" s="2">
        <f t="shared" si="44"/>
        <v>106287.26</v>
      </c>
      <c r="H92" s="2">
        <f t="shared" si="65"/>
        <v>13840.27</v>
      </c>
      <c r="I92" s="2">
        <f t="shared" si="45"/>
        <v>0</v>
      </c>
      <c r="J92" s="380">
        <f t="shared" si="42"/>
        <v>438453.64</v>
      </c>
      <c r="K92" s="18"/>
      <c r="L92" s="242"/>
      <c r="M92" s="242"/>
      <c r="N92" s="242"/>
      <c r="O92" s="242">
        <v>799769</v>
      </c>
      <c r="P92" s="242"/>
      <c r="Q92" s="242">
        <v>174770</v>
      </c>
      <c r="R92" s="242"/>
      <c r="S92" s="242"/>
      <c r="T92" s="242"/>
      <c r="U92" s="242"/>
      <c r="V92" s="242"/>
      <c r="W92" s="242">
        <v>239541</v>
      </c>
      <c r="X92" s="242"/>
      <c r="Y92" s="242">
        <v>198192</v>
      </c>
      <c r="Z92" s="242"/>
      <c r="AA92" s="242"/>
      <c r="AB92" s="242"/>
      <c r="AC92" s="242"/>
      <c r="AD92" s="242">
        <f t="shared" si="66"/>
        <v>1412272</v>
      </c>
      <c r="AE92" s="18"/>
      <c r="AF92" s="282">
        <f t="shared" si="46"/>
        <v>0</v>
      </c>
      <c r="AG92" s="282">
        <f t="shared" si="47"/>
        <v>0</v>
      </c>
      <c r="AH92" s="282">
        <f t="shared" si="48"/>
        <v>70539.63</v>
      </c>
      <c r="AI92" s="282">
        <f t="shared" si="49"/>
        <v>0</v>
      </c>
      <c r="AJ92" s="282">
        <f t="shared" si="50"/>
        <v>6850.98</v>
      </c>
      <c r="AK92" s="282">
        <f t="shared" si="51"/>
        <v>0</v>
      </c>
      <c r="AL92" s="282">
        <f t="shared" si="52"/>
        <v>0</v>
      </c>
      <c r="AM92" s="282">
        <f t="shared" si="53"/>
        <v>0</v>
      </c>
      <c r="AN92" s="282">
        <f t="shared" si="54"/>
        <v>0</v>
      </c>
      <c r="AO92" s="282">
        <f t="shared" si="55"/>
        <v>0</v>
      </c>
      <c r="AP92" s="282">
        <f t="shared" si="56"/>
        <v>21127.52</v>
      </c>
      <c r="AQ92" s="282">
        <f t="shared" si="57"/>
        <v>0</v>
      </c>
      <c r="AR92" s="282">
        <f t="shared" si="58"/>
        <v>7769.13</v>
      </c>
      <c r="AS92" s="282">
        <f t="shared" si="59"/>
        <v>0</v>
      </c>
      <c r="AT92" s="282">
        <f t="shared" si="60"/>
        <v>0</v>
      </c>
      <c r="AU92" s="282">
        <f t="shared" si="61"/>
        <v>0</v>
      </c>
      <c r="AV92" s="282">
        <f t="shared" si="62"/>
        <v>0</v>
      </c>
      <c r="AW92" s="318">
        <f t="shared" si="63"/>
        <v>106287.26</v>
      </c>
    </row>
    <row r="93" spans="1:49" x14ac:dyDescent="0.2">
      <c r="A93" s="18" t="s">
        <v>65</v>
      </c>
      <c r="B93" s="242">
        <v>94653</v>
      </c>
      <c r="C93" s="242">
        <v>0</v>
      </c>
      <c r="D93" s="2">
        <f t="shared" si="67"/>
        <v>11736.97</v>
      </c>
      <c r="E93" s="78">
        <f t="shared" si="64"/>
        <v>4638</v>
      </c>
      <c r="F93" s="78">
        <f t="shared" si="68"/>
        <v>4959.82</v>
      </c>
      <c r="G93" s="2">
        <f t="shared" si="44"/>
        <v>8348.39</v>
      </c>
      <c r="H93" s="2">
        <f t="shared" si="65"/>
        <v>927.6</v>
      </c>
      <c r="I93" s="2">
        <f t="shared" si="45"/>
        <v>0</v>
      </c>
      <c r="J93" s="380">
        <f t="shared" si="42"/>
        <v>30610.78</v>
      </c>
      <c r="K93" s="18"/>
      <c r="L93" s="242"/>
      <c r="M93" s="242"/>
      <c r="N93" s="242">
        <v>94653</v>
      </c>
      <c r="O93" s="242"/>
      <c r="P93" s="242"/>
      <c r="Q93" s="242"/>
      <c r="R93" s="242"/>
      <c r="S93" s="242"/>
      <c r="T93" s="242"/>
      <c r="U93" s="242"/>
      <c r="V93" s="242"/>
      <c r="W93" s="242"/>
      <c r="X93" s="242"/>
      <c r="Y93" s="242"/>
      <c r="Z93" s="242"/>
      <c r="AA93" s="242"/>
      <c r="AB93" s="242"/>
      <c r="AC93" s="242"/>
      <c r="AD93" s="242">
        <f t="shared" si="66"/>
        <v>94653</v>
      </c>
      <c r="AE93" s="7"/>
      <c r="AF93" s="282">
        <f t="shared" si="46"/>
        <v>0</v>
      </c>
      <c r="AG93" s="282">
        <f t="shared" si="47"/>
        <v>8348.39</v>
      </c>
      <c r="AH93" s="282">
        <f t="shared" si="48"/>
        <v>0</v>
      </c>
      <c r="AI93" s="282">
        <f t="shared" si="49"/>
        <v>0</v>
      </c>
      <c r="AJ93" s="282">
        <f t="shared" si="50"/>
        <v>0</v>
      </c>
      <c r="AK93" s="282">
        <f t="shared" si="51"/>
        <v>0</v>
      </c>
      <c r="AL93" s="282">
        <f t="shared" si="52"/>
        <v>0</v>
      </c>
      <c r="AM93" s="282">
        <f t="shared" si="53"/>
        <v>0</v>
      </c>
      <c r="AN93" s="282">
        <f t="shared" si="54"/>
        <v>0</v>
      </c>
      <c r="AO93" s="282">
        <f t="shared" si="55"/>
        <v>0</v>
      </c>
      <c r="AP93" s="282">
        <f t="shared" si="56"/>
        <v>0</v>
      </c>
      <c r="AQ93" s="282">
        <f t="shared" si="57"/>
        <v>0</v>
      </c>
      <c r="AR93" s="282">
        <f t="shared" si="58"/>
        <v>0</v>
      </c>
      <c r="AS93" s="282">
        <f t="shared" si="59"/>
        <v>0</v>
      </c>
      <c r="AT93" s="282">
        <f t="shared" si="60"/>
        <v>0</v>
      </c>
      <c r="AU93" s="282">
        <f t="shared" si="61"/>
        <v>0</v>
      </c>
      <c r="AV93" s="282">
        <f t="shared" si="62"/>
        <v>0</v>
      </c>
      <c r="AW93" s="318">
        <f t="shared" si="63"/>
        <v>8348.39</v>
      </c>
    </row>
    <row r="94" spans="1:49" x14ac:dyDescent="0.2">
      <c r="A94" s="1" t="s">
        <v>767</v>
      </c>
      <c r="B94" s="7"/>
      <c r="C94" s="7"/>
      <c r="D94" s="2">
        <f>(B94+C94)*0.124</f>
        <v>0</v>
      </c>
      <c r="E94" s="2">
        <f t="shared" si="64"/>
        <v>0</v>
      </c>
      <c r="F94" s="2">
        <f t="shared" si="68"/>
        <v>0</v>
      </c>
      <c r="G94" s="2">
        <f>+AW94</f>
        <v>0</v>
      </c>
      <c r="H94" s="2">
        <f>(B94+C94)*0.0098</f>
        <v>0</v>
      </c>
      <c r="I94" s="2">
        <f>(AB94)*0.0084484</f>
        <v>0</v>
      </c>
      <c r="J94" s="380">
        <f>SUM(D94:I94)</f>
        <v>0</v>
      </c>
      <c r="K94" s="1"/>
      <c r="L94" s="7"/>
      <c r="M94" s="7">
        <v>-127205</v>
      </c>
      <c r="N94" s="7">
        <v>127205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>
        <f t="shared" si="66"/>
        <v>0</v>
      </c>
      <c r="AE94" s="7"/>
      <c r="AF94" s="282">
        <f>+M94*$AF$12</f>
        <v>-11219.48</v>
      </c>
      <c r="AG94" s="282">
        <f>+N94*$AG$12</f>
        <v>11219.48</v>
      </c>
      <c r="AH94" s="282">
        <f>+O94*$AH$12</f>
        <v>0</v>
      </c>
      <c r="AI94" s="282">
        <f>+P94*$AI$12</f>
        <v>0</v>
      </c>
      <c r="AJ94" s="282">
        <f>+Q94*$AJ$12</f>
        <v>0</v>
      </c>
      <c r="AK94" s="282">
        <f>+R94*$AK$12</f>
        <v>0</v>
      </c>
      <c r="AL94" s="282">
        <f>+S94*$AL$12</f>
        <v>0</v>
      </c>
      <c r="AM94" s="282">
        <f>+T94*$AM$12</f>
        <v>0</v>
      </c>
      <c r="AN94" s="282">
        <f>+U94*$AN$12</f>
        <v>0</v>
      </c>
      <c r="AO94" s="282">
        <f>+V94*$AO$12</f>
        <v>0</v>
      </c>
      <c r="AP94" s="282">
        <f>+W94*$AP$12</f>
        <v>0</v>
      </c>
      <c r="AQ94" s="282">
        <f>+X94*$AQ$12</f>
        <v>0</v>
      </c>
      <c r="AR94" s="282">
        <f>+Y94*$AR$12</f>
        <v>0</v>
      </c>
      <c r="AS94" s="282">
        <f>+Z94*$AS$12</f>
        <v>0</v>
      </c>
      <c r="AT94" s="282">
        <f>+AA94*$AT$12</f>
        <v>0</v>
      </c>
      <c r="AU94" s="282">
        <f>+AB94*$AU$12</f>
        <v>0</v>
      </c>
      <c r="AV94" s="282">
        <f>+AC94*$AV$12</f>
        <v>0</v>
      </c>
      <c r="AW94" s="318">
        <f>SUM(AF94:AV94)</f>
        <v>0</v>
      </c>
    </row>
    <row r="95" spans="1:49" x14ac:dyDescent="0.2">
      <c r="A95" s="18" t="s">
        <v>475</v>
      </c>
      <c r="B95" s="242">
        <v>121607</v>
      </c>
      <c r="C95" s="242">
        <v>2533121</v>
      </c>
      <c r="D95" s="2">
        <f t="shared" si="67"/>
        <v>329186.27</v>
      </c>
      <c r="E95" s="78">
        <f>(B95+C95)*0.049</f>
        <v>130081.67</v>
      </c>
      <c r="F95" s="78">
        <f t="shared" si="68"/>
        <v>139107.75</v>
      </c>
      <c r="G95" s="2">
        <f t="shared" si="44"/>
        <v>229075.71</v>
      </c>
      <c r="H95" s="2">
        <f>(B95+C95)*0.0098+0.01</f>
        <v>26016.34</v>
      </c>
      <c r="I95" s="2">
        <f t="shared" si="45"/>
        <v>8568.3799999999992</v>
      </c>
      <c r="J95" s="380">
        <f t="shared" si="42"/>
        <v>862036.12</v>
      </c>
      <c r="K95" s="18"/>
      <c r="L95" s="242"/>
      <c r="M95" s="242"/>
      <c r="N95" s="242"/>
      <c r="O95" s="242">
        <v>1510415</v>
      </c>
      <c r="P95" s="242">
        <v>97480</v>
      </c>
      <c r="Q95" s="242"/>
      <c r="R95" s="242"/>
      <c r="S95" s="242"/>
      <c r="T95" s="242"/>
      <c r="U95" s="242"/>
      <c r="V95" s="242"/>
      <c r="W95" s="242"/>
      <c r="X95" s="242">
        <v>26616</v>
      </c>
      <c r="Y95" s="242">
        <v>6016</v>
      </c>
      <c r="Z95" s="242"/>
      <c r="AA95" s="242"/>
      <c r="AB95" s="242">
        <v>1014201</v>
      </c>
      <c r="AC95" s="242"/>
      <c r="AD95" s="242">
        <f>SUM(L95:AC95)</f>
        <v>2654728</v>
      </c>
      <c r="AE95" s="1"/>
      <c r="AF95" s="282">
        <f t="shared" si="46"/>
        <v>0</v>
      </c>
      <c r="AG95" s="282">
        <f t="shared" si="47"/>
        <v>0</v>
      </c>
      <c r="AH95" s="282">
        <f t="shared" si="48"/>
        <v>133218.6</v>
      </c>
      <c r="AI95" s="282">
        <f t="shared" si="49"/>
        <v>3821.22</v>
      </c>
      <c r="AJ95" s="282">
        <f t="shared" si="50"/>
        <v>0</v>
      </c>
      <c r="AK95" s="282">
        <f t="shared" si="51"/>
        <v>0</v>
      </c>
      <c r="AL95" s="282">
        <f t="shared" si="52"/>
        <v>0</v>
      </c>
      <c r="AM95" s="282">
        <f t="shared" si="53"/>
        <v>0</v>
      </c>
      <c r="AN95" s="282">
        <f t="shared" si="54"/>
        <v>0</v>
      </c>
      <c r="AO95" s="282">
        <f t="shared" si="55"/>
        <v>0</v>
      </c>
      <c r="AP95" s="282">
        <f t="shared" si="56"/>
        <v>0</v>
      </c>
      <c r="AQ95" s="282">
        <f t="shared" si="57"/>
        <v>2347.5300000000002</v>
      </c>
      <c r="AR95" s="282">
        <f t="shared" si="58"/>
        <v>235.83</v>
      </c>
      <c r="AS95" s="282">
        <f t="shared" si="59"/>
        <v>0</v>
      </c>
      <c r="AT95" s="282">
        <f t="shared" si="60"/>
        <v>0</v>
      </c>
      <c r="AU95" s="282">
        <f t="shared" si="61"/>
        <v>89452.53</v>
      </c>
      <c r="AV95" s="282">
        <f t="shared" si="62"/>
        <v>0</v>
      </c>
      <c r="AW95" s="318">
        <f t="shared" si="63"/>
        <v>229075.71</v>
      </c>
    </row>
    <row r="96" spans="1:49" x14ac:dyDescent="0.2">
      <c r="A96" s="18" t="s">
        <v>66</v>
      </c>
      <c r="B96" s="242">
        <v>24751</v>
      </c>
      <c r="C96" s="242">
        <v>0</v>
      </c>
      <c r="D96" s="2">
        <f>(B96+C96)*0.124-0.01</f>
        <v>3069.11</v>
      </c>
      <c r="E96" s="78">
        <f t="shared" si="64"/>
        <v>1212.8</v>
      </c>
      <c r="F96" s="78">
        <f t="shared" si="68"/>
        <v>1296.95</v>
      </c>
      <c r="G96" s="2">
        <f t="shared" si="44"/>
        <v>976.61</v>
      </c>
      <c r="H96" s="2">
        <f t="shared" si="65"/>
        <v>242.56</v>
      </c>
      <c r="I96" s="2">
        <f t="shared" si="45"/>
        <v>0</v>
      </c>
      <c r="J96" s="380">
        <f t="shared" si="42"/>
        <v>6798.03</v>
      </c>
      <c r="K96" s="18"/>
      <c r="L96" s="242"/>
      <c r="M96" s="242"/>
      <c r="N96" s="242"/>
      <c r="O96" s="242"/>
      <c r="P96" s="242"/>
      <c r="Q96" s="242">
        <v>24621</v>
      </c>
      <c r="R96" s="242"/>
      <c r="S96" s="242"/>
      <c r="T96" s="242"/>
      <c r="U96" s="242"/>
      <c r="V96" s="242"/>
      <c r="W96" s="242"/>
      <c r="X96" s="242"/>
      <c r="Y96" s="242"/>
      <c r="Z96" s="242"/>
      <c r="AA96" s="242"/>
      <c r="AB96" s="242"/>
      <c r="AC96" s="242">
        <v>130</v>
      </c>
      <c r="AD96" s="242">
        <f t="shared" si="66"/>
        <v>24751</v>
      </c>
      <c r="AE96" s="1"/>
      <c r="AF96" s="282">
        <f t="shared" si="46"/>
        <v>0</v>
      </c>
      <c r="AG96" s="282">
        <f t="shared" si="47"/>
        <v>0</v>
      </c>
      <c r="AH96" s="282">
        <f t="shared" si="48"/>
        <v>0</v>
      </c>
      <c r="AI96" s="282">
        <f t="shared" si="49"/>
        <v>0</v>
      </c>
      <c r="AJ96" s="282">
        <f t="shared" si="50"/>
        <v>965.14</v>
      </c>
      <c r="AK96" s="282">
        <f t="shared" si="51"/>
        <v>0</v>
      </c>
      <c r="AL96" s="282">
        <f t="shared" si="52"/>
        <v>0</v>
      </c>
      <c r="AM96" s="282">
        <f t="shared" si="53"/>
        <v>0</v>
      </c>
      <c r="AN96" s="282">
        <f t="shared" si="54"/>
        <v>0</v>
      </c>
      <c r="AO96" s="282">
        <f t="shared" si="55"/>
        <v>0</v>
      </c>
      <c r="AP96" s="282">
        <f t="shared" si="56"/>
        <v>0</v>
      </c>
      <c r="AQ96" s="282">
        <f t="shared" si="57"/>
        <v>0</v>
      </c>
      <c r="AR96" s="282">
        <f t="shared" si="58"/>
        <v>0</v>
      </c>
      <c r="AS96" s="282">
        <f t="shared" si="59"/>
        <v>0</v>
      </c>
      <c r="AT96" s="282">
        <f t="shared" si="60"/>
        <v>0</v>
      </c>
      <c r="AU96" s="282">
        <f t="shared" si="61"/>
        <v>0</v>
      </c>
      <c r="AV96" s="282">
        <f t="shared" si="62"/>
        <v>11.47</v>
      </c>
      <c r="AW96" s="318">
        <f t="shared" si="63"/>
        <v>976.61</v>
      </c>
    </row>
    <row r="97" spans="1:49" x14ac:dyDescent="0.2">
      <c r="A97" s="1" t="s">
        <v>768</v>
      </c>
      <c r="B97" s="7"/>
      <c r="C97" s="7"/>
      <c r="D97" s="2">
        <f>(B97+C97)*0.124+0.02</f>
        <v>0.02</v>
      </c>
      <c r="E97" s="2">
        <f t="shared" si="64"/>
        <v>0</v>
      </c>
      <c r="F97" s="2">
        <f t="shared" si="68"/>
        <v>0</v>
      </c>
      <c r="G97" s="2">
        <f>+AW97</f>
        <v>0</v>
      </c>
      <c r="H97" s="2">
        <f>(B97+C97)*0.0098</f>
        <v>0</v>
      </c>
      <c r="I97" s="2">
        <f>(AB97)*0.0084484</f>
        <v>0</v>
      </c>
      <c r="J97" s="380">
        <f>SUM(D97:I97)</f>
        <v>0.02</v>
      </c>
      <c r="K97" s="1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>
        <f t="shared" si="66"/>
        <v>0</v>
      </c>
      <c r="AE97" s="7"/>
      <c r="AF97" s="282">
        <f>+M97*$AF$12</f>
        <v>0</v>
      </c>
      <c r="AG97" s="282">
        <f>+N97*$AG$12</f>
        <v>0</v>
      </c>
      <c r="AH97" s="282">
        <f>+O97*$AH$12</f>
        <v>0</v>
      </c>
      <c r="AI97" s="282">
        <f>+P97*$AI$12</f>
        <v>0</v>
      </c>
      <c r="AJ97" s="282">
        <f>+Q97*$AJ$12</f>
        <v>0</v>
      </c>
      <c r="AK97" s="282">
        <f>+R97*$AK$12</f>
        <v>0</v>
      </c>
      <c r="AL97" s="282">
        <f>+S97*$AL$12</f>
        <v>0</v>
      </c>
      <c r="AM97" s="282">
        <f>+T97*$AM$12</f>
        <v>0</v>
      </c>
      <c r="AN97" s="282">
        <f>+U97*$AN$12</f>
        <v>0</v>
      </c>
      <c r="AO97" s="282">
        <f>+V97*$AO$12</f>
        <v>0</v>
      </c>
      <c r="AP97" s="282">
        <f>+W97*$AP$12</f>
        <v>0</v>
      </c>
      <c r="AQ97" s="282">
        <f>+X97*$AQ$12</f>
        <v>0</v>
      </c>
      <c r="AR97" s="282">
        <f>+Y97*$AR$12</f>
        <v>0</v>
      </c>
      <c r="AS97" s="282">
        <f>+Z97*$AS$12</f>
        <v>0</v>
      </c>
      <c r="AT97" s="282">
        <f>+AA97*$AT$12</f>
        <v>0</v>
      </c>
      <c r="AU97" s="282">
        <f>+AB97*$AU$12</f>
        <v>0</v>
      </c>
      <c r="AV97" s="282">
        <f>+AC97*$AV$12</f>
        <v>0</v>
      </c>
      <c r="AW97" s="318">
        <f>SUM(AF97:AV97)</f>
        <v>0</v>
      </c>
    </row>
    <row r="98" spans="1:49" x14ac:dyDescent="0.2">
      <c r="A98" s="18" t="s">
        <v>83</v>
      </c>
      <c r="B98" s="242">
        <v>0</v>
      </c>
      <c r="C98" s="242">
        <v>161725</v>
      </c>
      <c r="D98" s="2">
        <f t="shared" si="67"/>
        <v>20053.900000000001</v>
      </c>
      <c r="E98" s="78">
        <f t="shared" ref="E98:E106" si="69">(B98+C98)*0.049</f>
        <v>7924.53</v>
      </c>
      <c r="F98" s="78">
        <f t="shared" si="68"/>
        <v>8474.39</v>
      </c>
      <c r="G98" s="2">
        <f t="shared" si="44"/>
        <v>14264.15</v>
      </c>
      <c r="H98" s="2">
        <f t="shared" si="65"/>
        <v>1584.91</v>
      </c>
      <c r="I98" s="2">
        <f t="shared" si="45"/>
        <v>0</v>
      </c>
      <c r="J98" s="380">
        <f t="shared" si="42"/>
        <v>52301.88</v>
      </c>
      <c r="K98" s="18"/>
      <c r="L98" s="242"/>
      <c r="M98" s="242"/>
      <c r="N98" s="242"/>
      <c r="O98" s="242">
        <v>161725</v>
      </c>
      <c r="P98" s="242"/>
      <c r="Q98" s="242"/>
      <c r="R98" s="242"/>
      <c r="S98" s="242"/>
      <c r="T98" s="242"/>
      <c r="U98" s="242"/>
      <c r="V98" s="242"/>
      <c r="W98" s="242"/>
      <c r="X98" s="242"/>
      <c r="Y98" s="242"/>
      <c r="Z98" s="242"/>
      <c r="AA98" s="242"/>
      <c r="AB98" s="242"/>
      <c r="AC98" s="242"/>
      <c r="AD98" s="242">
        <f>SUM(L98:AC98)</f>
        <v>161725</v>
      </c>
      <c r="AE98" s="7"/>
      <c r="AF98" s="282">
        <f t="shared" si="46"/>
        <v>0</v>
      </c>
      <c r="AG98" s="282">
        <f t="shared" si="47"/>
        <v>0</v>
      </c>
      <c r="AH98" s="282">
        <f t="shared" si="48"/>
        <v>14264.15</v>
      </c>
      <c r="AI98" s="282">
        <f t="shared" si="49"/>
        <v>0</v>
      </c>
      <c r="AJ98" s="282">
        <f t="shared" si="50"/>
        <v>0</v>
      </c>
      <c r="AK98" s="282">
        <f t="shared" si="51"/>
        <v>0</v>
      </c>
      <c r="AL98" s="282">
        <f t="shared" si="52"/>
        <v>0</v>
      </c>
      <c r="AM98" s="282">
        <f t="shared" si="53"/>
        <v>0</v>
      </c>
      <c r="AN98" s="282">
        <f t="shared" si="54"/>
        <v>0</v>
      </c>
      <c r="AO98" s="282">
        <f t="shared" si="55"/>
        <v>0</v>
      </c>
      <c r="AP98" s="282">
        <f t="shared" si="56"/>
        <v>0</v>
      </c>
      <c r="AQ98" s="282">
        <f t="shared" si="57"/>
        <v>0</v>
      </c>
      <c r="AR98" s="282">
        <f t="shared" si="58"/>
        <v>0</v>
      </c>
      <c r="AS98" s="282">
        <f t="shared" si="59"/>
        <v>0</v>
      </c>
      <c r="AT98" s="282">
        <f t="shared" si="60"/>
        <v>0</v>
      </c>
      <c r="AU98" s="282">
        <f t="shared" si="61"/>
        <v>0</v>
      </c>
      <c r="AV98" s="282">
        <f t="shared" si="62"/>
        <v>0</v>
      </c>
      <c r="AW98" s="318">
        <f t="shared" si="63"/>
        <v>14264.15</v>
      </c>
    </row>
    <row r="99" spans="1:49" x14ac:dyDescent="0.2">
      <c r="A99" s="18" t="s">
        <v>356</v>
      </c>
      <c r="B99" s="242">
        <v>45212</v>
      </c>
      <c r="C99" s="242">
        <v>333749</v>
      </c>
      <c r="D99" s="2">
        <f>(B99+C99)*0.124-0.01</f>
        <v>46991.15</v>
      </c>
      <c r="E99" s="78">
        <f t="shared" si="69"/>
        <v>18569.09</v>
      </c>
      <c r="F99" s="78">
        <f t="shared" si="68"/>
        <v>19857.560000000001</v>
      </c>
      <c r="G99" s="2">
        <f t="shared" si="44"/>
        <v>33424.36</v>
      </c>
      <c r="H99" s="2">
        <f t="shared" si="65"/>
        <v>3713.82</v>
      </c>
      <c r="I99" s="2">
        <f t="shared" si="45"/>
        <v>1524.6</v>
      </c>
      <c r="J99" s="380">
        <f t="shared" si="42"/>
        <v>124080.58</v>
      </c>
      <c r="K99" s="18"/>
      <c r="L99" s="242"/>
      <c r="M99" s="242"/>
      <c r="N99" s="242"/>
      <c r="O99" s="242">
        <v>153289</v>
      </c>
      <c r="P99" s="242"/>
      <c r="Q99" s="242"/>
      <c r="R99" s="242"/>
      <c r="S99" s="242"/>
      <c r="T99" s="242"/>
      <c r="U99" s="242"/>
      <c r="V99" s="242"/>
      <c r="W99" s="242"/>
      <c r="X99" s="242"/>
      <c r="Y99" s="242"/>
      <c r="Z99" s="242">
        <v>45212</v>
      </c>
      <c r="AA99" s="242"/>
      <c r="AB99" s="242">
        <v>180460</v>
      </c>
      <c r="AC99" s="242"/>
      <c r="AD99" s="242">
        <f>SUM(L99:AC99)</f>
        <v>378961</v>
      </c>
      <c r="AE99" s="7"/>
      <c r="AF99" s="282">
        <f t="shared" si="46"/>
        <v>0</v>
      </c>
      <c r="AG99" s="282">
        <f t="shared" si="47"/>
        <v>0</v>
      </c>
      <c r="AH99" s="282">
        <f t="shared" si="48"/>
        <v>13520.09</v>
      </c>
      <c r="AI99" s="282">
        <f t="shared" si="49"/>
        <v>0</v>
      </c>
      <c r="AJ99" s="282">
        <f t="shared" si="50"/>
        <v>0</v>
      </c>
      <c r="AK99" s="282">
        <f t="shared" si="51"/>
        <v>0</v>
      </c>
      <c r="AL99" s="282">
        <f t="shared" si="52"/>
        <v>0</v>
      </c>
      <c r="AM99" s="282">
        <f t="shared" si="53"/>
        <v>0</v>
      </c>
      <c r="AN99" s="282">
        <f t="shared" si="54"/>
        <v>0</v>
      </c>
      <c r="AO99" s="282">
        <f t="shared" si="55"/>
        <v>0</v>
      </c>
      <c r="AP99" s="282">
        <f t="shared" si="56"/>
        <v>0</v>
      </c>
      <c r="AQ99" s="282">
        <f t="shared" si="57"/>
        <v>0</v>
      </c>
      <c r="AR99" s="282">
        <f t="shared" si="58"/>
        <v>0</v>
      </c>
      <c r="AS99" s="282">
        <f t="shared" si="59"/>
        <v>3987.7</v>
      </c>
      <c r="AT99" s="282">
        <f t="shared" si="60"/>
        <v>0</v>
      </c>
      <c r="AU99" s="282">
        <f t="shared" si="61"/>
        <v>15916.57</v>
      </c>
      <c r="AV99" s="282">
        <f t="shared" si="62"/>
        <v>0</v>
      </c>
      <c r="AW99" s="318">
        <f t="shared" si="63"/>
        <v>33424.36</v>
      </c>
    </row>
    <row r="100" spans="1:49" s="20" customFormat="1" x14ac:dyDescent="0.2">
      <c r="A100" s="18" t="s">
        <v>369</v>
      </c>
      <c r="B100" s="242">
        <v>301177</v>
      </c>
      <c r="C100" s="242">
        <v>261738</v>
      </c>
      <c r="D100" s="2">
        <f t="shared" si="67"/>
        <v>69801.460000000006</v>
      </c>
      <c r="E100" s="78">
        <f t="shared" si="69"/>
        <v>27582.84</v>
      </c>
      <c r="F100" s="78">
        <f t="shared" ref="F100:F106" si="70">(B100+C100)*0.0524</f>
        <v>29496.75</v>
      </c>
      <c r="G100" s="2">
        <f t="shared" si="44"/>
        <v>42188.66</v>
      </c>
      <c r="H100" s="2">
        <f t="shared" si="65"/>
        <v>5516.57</v>
      </c>
      <c r="I100" s="2">
        <f t="shared" si="45"/>
        <v>2483.88</v>
      </c>
      <c r="J100" s="380">
        <f t="shared" si="42"/>
        <v>177070.16</v>
      </c>
      <c r="K100" s="18"/>
      <c r="L100" s="242"/>
      <c r="M100" s="242"/>
      <c r="N100" s="242"/>
      <c r="O100" s="242">
        <v>56559</v>
      </c>
      <c r="P100" s="242">
        <v>152254</v>
      </c>
      <c r="Q100" s="242"/>
      <c r="R100" s="242"/>
      <c r="S100" s="242"/>
      <c r="T100" s="242">
        <v>60096</v>
      </c>
      <c r="U100" s="242"/>
      <c r="V100" s="242"/>
      <c r="W100" s="242"/>
      <c r="X100" s="242"/>
      <c r="Y100" s="242"/>
      <c r="Z100" s="242"/>
      <c r="AA100" s="242"/>
      <c r="AB100" s="242">
        <v>294006</v>
      </c>
      <c r="AC100" s="242"/>
      <c r="AD100" s="242">
        <f t="shared" ref="AD100:AD112" si="71">SUM(L100:AC100)</f>
        <v>562915</v>
      </c>
      <c r="AE100" s="242"/>
      <c r="AF100" s="282">
        <f t="shared" si="46"/>
        <v>0</v>
      </c>
      <c r="AG100" s="282">
        <f t="shared" si="47"/>
        <v>0</v>
      </c>
      <c r="AH100" s="282">
        <f t="shared" si="48"/>
        <v>4988.5</v>
      </c>
      <c r="AI100" s="282">
        <f t="shared" si="49"/>
        <v>5968.36</v>
      </c>
      <c r="AJ100" s="282">
        <f t="shared" si="50"/>
        <v>0</v>
      </c>
      <c r="AK100" s="282">
        <f t="shared" si="51"/>
        <v>0</v>
      </c>
      <c r="AL100" s="282">
        <f t="shared" si="52"/>
        <v>0</v>
      </c>
      <c r="AM100" s="282">
        <f t="shared" si="53"/>
        <v>5300.47</v>
      </c>
      <c r="AN100" s="282">
        <f t="shared" si="54"/>
        <v>0</v>
      </c>
      <c r="AO100" s="282">
        <f t="shared" si="55"/>
        <v>0</v>
      </c>
      <c r="AP100" s="282">
        <f t="shared" si="56"/>
        <v>0</v>
      </c>
      <c r="AQ100" s="282">
        <f t="shared" si="57"/>
        <v>0</v>
      </c>
      <c r="AR100" s="282">
        <f t="shared" si="58"/>
        <v>0</v>
      </c>
      <c r="AS100" s="282">
        <f t="shared" si="59"/>
        <v>0</v>
      </c>
      <c r="AT100" s="282">
        <f t="shared" si="60"/>
        <v>0</v>
      </c>
      <c r="AU100" s="282">
        <f t="shared" si="61"/>
        <v>25931.33</v>
      </c>
      <c r="AV100" s="282">
        <f t="shared" si="62"/>
        <v>0</v>
      </c>
      <c r="AW100" s="318">
        <f t="shared" si="63"/>
        <v>42188.66</v>
      </c>
    </row>
    <row r="101" spans="1:49" x14ac:dyDescent="0.2">
      <c r="A101" s="1" t="s">
        <v>67</v>
      </c>
      <c r="B101" s="7">
        <v>11522</v>
      </c>
      <c r="C101" s="7">
        <v>0</v>
      </c>
      <c r="D101" s="2">
        <f t="shared" si="67"/>
        <v>1428.73</v>
      </c>
      <c r="E101" s="2">
        <f t="shared" si="69"/>
        <v>564.58000000000004</v>
      </c>
      <c r="F101" s="2">
        <f t="shared" si="70"/>
        <v>603.75</v>
      </c>
      <c r="G101" s="2">
        <f t="shared" si="44"/>
        <v>1016.24</v>
      </c>
      <c r="H101" s="2">
        <f t="shared" si="65"/>
        <v>112.92</v>
      </c>
      <c r="I101" s="2">
        <f t="shared" si="45"/>
        <v>0</v>
      </c>
      <c r="J101" s="380">
        <f t="shared" si="42"/>
        <v>3726.22</v>
      </c>
      <c r="K101" s="1"/>
      <c r="L101" s="7"/>
      <c r="M101" s="7"/>
      <c r="N101" s="7"/>
      <c r="O101" s="7">
        <v>11522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>
        <f t="shared" si="71"/>
        <v>11522</v>
      </c>
      <c r="AE101" s="1"/>
      <c r="AF101" s="282">
        <f t="shared" si="46"/>
        <v>0</v>
      </c>
      <c r="AG101" s="282">
        <f t="shared" si="47"/>
        <v>0</v>
      </c>
      <c r="AH101" s="282">
        <f t="shared" si="48"/>
        <v>1016.24</v>
      </c>
      <c r="AI101" s="282">
        <f t="shared" si="49"/>
        <v>0</v>
      </c>
      <c r="AJ101" s="282">
        <f t="shared" si="50"/>
        <v>0</v>
      </c>
      <c r="AK101" s="282">
        <f t="shared" si="51"/>
        <v>0</v>
      </c>
      <c r="AL101" s="282">
        <f t="shared" si="52"/>
        <v>0</v>
      </c>
      <c r="AM101" s="282">
        <f t="shared" si="53"/>
        <v>0</v>
      </c>
      <c r="AN101" s="282">
        <f t="shared" si="54"/>
        <v>0</v>
      </c>
      <c r="AO101" s="282">
        <f t="shared" si="55"/>
        <v>0</v>
      </c>
      <c r="AP101" s="282">
        <f t="shared" si="56"/>
        <v>0</v>
      </c>
      <c r="AQ101" s="282">
        <f t="shared" si="57"/>
        <v>0</v>
      </c>
      <c r="AR101" s="282">
        <f t="shared" si="58"/>
        <v>0</v>
      </c>
      <c r="AS101" s="282">
        <f t="shared" si="59"/>
        <v>0</v>
      </c>
      <c r="AT101" s="282">
        <f t="shared" si="60"/>
        <v>0</v>
      </c>
      <c r="AU101" s="282">
        <f t="shared" si="61"/>
        <v>0</v>
      </c>
      <c r="AV101" s="282">
        <f t="shared" si="62"/>
        <v>0</v>
      </c>
      <c r="AW101" s="318">
        <f t="shared" si="63"/>
        <v>1016.24</v>
      </c>
    </row>
    <row r="102" spans="1:49" x14ac:dyDescent="0.2">
      <c r="A102" s="1" t="s">
        <v>68</v>
      </c>
      <c r="B102" s="7">
        <v>167398</v>
      </c>
      <c r="C102" s="7">
        <v>60668</v>
      </c>
      <c r="D102" s="2">
        <f t="shared" si="67"/>
        <v>28280.18</v>
      </c>
      <c r="E102" s="2">
        <f t="shared" si="69"/>
        <v>11175.23</v>
      </c>
      <c r="F102" s="2">
        <f t="shared" si="70"/>
        <v>11950.66</v>
      </c>
      <c r="G102" s="2">
        <f t="shared" si="44"/>
        <v>20115.419999999998</v>
      </c>
      <c r="H102" s="2">
        <f t="shared" si="65"/>
        <v>2235.0500000000002</v>
      </c>
      <c r="I102" s="2">
        <f t="shared" si="45"/>
        <v>428.87</v>
      </c>
      <c r="J102" s="380">
        <f t="shared" si="42"/>
        <v>74185.41</v>
      </c>
      <c r="K102" s="1"/>
      <c r="L102" s="7"/>
      <c r="M102" s="7"/>
      <c r="N102" s="7">
        <v>64714</v>
      </c>
      <c r="O102" s="7"/>
      <c r="P102" s="7"/>
      <c r="Q102" s="7"/>
      <c r="R102" s="7"/>
      <c r="S102" s="7"/>
      <c r="T102" s="7"/>
      <c r="U102" s="7"/>
      <c r="V102" s="7"/>
      <c r="W102" s="7">
        <v>49804</v>
      </c>
      <c r="X102" s="7">
        <v>62785</v>
      </c>
      <c r="Y102" s="7"/>
      <c r="Z102" s="7"/>
      <c r="AA102" s="7"/>
      <c r="AB102" s="7">
        <v>50763</v>
      </c>
      <c r="AC102" s="7"/>
      <c r="AD102" s="7">
        <f t="shared" si="71"/>
        <v>228066</v>
      </c>
      <c r="AE102" s="1"/>
      <c r="AF102" s="282">
        <f t="shared" si="46"/>
        <v>0</v>
      </c>
      <c r="AG102" s="282">
        <f t="shared" si="47"/>
        <v>5707.77</v>
      </c>
      <c r="AH102" s="282">
        <f t="shared" si="48"/>
        <v>0</v>
      </c>
      <c r="AI102" s="282">
        <f t="shared" si="49"/>
        <v>0</v>
      </c>
      <c r="AJ102" s="282">
        <f t="shared" si="50"/>
        <v>0</v>
      </c>
      <c r="AK102" s="282">
        <f t="shared" si="51"/>
        <v>0</v>
      </c>
      <c r="AL102" s="282">
        <f t="shared" si="52"/>
        <v>0</v>
      </c>
      <c r="AM102" s="282">
        <f t="shared" si="53"/>
        <v>0</v>
      </c>
      <c r="AN102" s="282">
        <f t="shared" si="54"/>
        <v>0</v>
      </c>
      <c r="AO102" s="282">
        <f t="shared" si="55"/>
        <v>0</v>
      </c>
      <c r="AP102" s="282">
        <f t="shared" si="56"/>
        <v>4392.71</v>
      </c>
      <c r="AQ102" s="282">
        <f t="shared" si="57"/>
        <v>5537.64</v>
      </c>
      <c r="AR102" s="282">
        <f t="shared" si="58"/>
        <v>0</v>
      </c>
      <c r="AS102" s="282">
        <f t="shared" si="59"/>
        <v>0</v>
      </c>
      <c r="AT102" s="282">
        <f t="shared" si="60"/>
        <v>0</v>
      </c>
      <c r="AU102" s="282">
        <f t="shared" si="61"/>
        <v>4477.3</v>
      </c>
      <c r="AV102" s="282">
        <f t="shared" si="62"/>
        <v>0</v>
      </c>
      <c r="AW102" s="318">
        <f t="shared" si="63"/>
        <v>20115.419999999998</v>
      </c>
    </row>
    <row r="103" spans="1:49" x14ac:dyDescent="0.2">
      <c r="A103" s="1" t="s">
        <v>757</v>
      </c>
      <c r="B103" s="7"/>
      <c r="C103" s="7"/>
      <c r="D103" s="2">
        <f>(B103+C103)*0.124+0.01</f>
        <v>0.01</v>
      </c>
      <c r="E103" s="2">
        <f t="shared" si="69"/>
        <v>0</v>
      </c>
      <c r="F103" s="2">
        <f t="shared" si="70"/>
        <v>0</v>
      </c>
      <c r="G103" s="2">
        <f>+AW103</f>
        <v>0</v>
      </c>
      <c r="H103" s="2">
        <f>(B103+C103)*0.0098</f>
        <v>0</v>
      </c>
      <c r="I103" s="2">
        <f>(AB103)*0.0084484</f>
        <v>0</v>
      </c>
      <c r="J103" s="380">
        <f>SUM(D103:I103)</f>
        <v>0.01</v>
      </c>
      <c r="K103" s="1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>
        <f>SUM(L103:AC103)</f>
        <v>0</v>
      </c>
      <c r="AE103" s="7"/>
      <c r="AF103" s="282">
        <f>+M103*$AF$12</f>
        <v>0</v>
      </c>
      <c r="AG103" s="282">
        <f>+N103*$AG$12</f>
        <v>0</v>
      </c>
      <c r="AH103" s="282">
        <f>+O103*$AH$12</f>
        <v>0</v>
      </c>
      <c r="AI103" s="282">
        <f>+P103*$AI$12</f>
        <v>0</v>
      </c>
      <c r="AJ103" s="282">
        <f>+Q103*$AJ$12</f>
        <v>0</v>
      </c>
      <c r="AK103" s="282">
        <f>+R103*$AK$12</f>
        <v>0</v>
      </c>
      <c r="AL103" s="282">
        <f>+S103*$AL$12</f>
        <v>0</v>
      </c>
      <c r="AM103" s="282">
        <f>+T103*$AM$12</f>
        <v>0</v>
      </c>
      <c r="AN103" s="282">
        <f>+U103*$AN$12</f>
        <v>0</v>
      </c>
      <c r="AO103" s="282">
        <f>+V103*$AO$12</f>
        <v>0</v>
      </c>
      <c r="AP103" s="282">
        <f>+W103*$AP$12</f>
        <v>0</v>
      </c>
      <c r="AQ103" s="282">
        <f>+X103*$AQ$12</f>
        <v>0</v>
      </c>
      <c r="AR103" s="282">
        <f>+Y103*$AR$12</f>
        <v>0</v>
      </c>
      <c r="AS103" s="282">
        <f>+Z103*$AS$12</f>
        <v>0</v>
      </c>
      <c r="AT103" s="282">
        <f>+AA103*$AT$12</f>
        <v>0</v>
      </c>
      <c r="AU103" s="282">
        <f>+AB103*$AU$12</f>
        <v>0</v>
      </c>
      <c r="AV103" s="282">
        <f>+AC103*$AV$12</f>
        <v>0</v>
      </c>
      <c r="AW103" s="318">
        <f>SUM(AF103:AV103)</f>
        <v>0</v>
      </c>
    </row>
    <row r="104" spans="1:49" s="89" customFormat="1" x14ac:dyDescent="0.2">
      <c r="A104" s="18" t="s">
        <v>69</v>
      </c>
      <c r="B104" s="242">
        <v>223819</v>
      </c>
      <c r="C104" s="242">
        <v>0</v>
      </c>
      <c r="D104" s="2">
        <f>(B104+C104)*0.124-0.01</f>
        <v>27753.55</v>
      </c>
      <c r="E104" s="78">
        <f t="shared" si="69"/>
        <v>10967.13</v>
      </c>
      <c r="F104" s="78">
        <f t="shared" si="70"/>
        <v>11728.12</v>
      </c>
      <c r="G104" s="2">
        <f t="shared" si="44"/>
        <v>19714.759999999998</v>
      </c>
      <c r="H104" s="2">
        <f>(B104+C104)*0.0098-0.01</f>
        <v>2193.42</v>
      </c>
      <c r="I104" s="2">
        <f t="shared" si="45"/>
        <v>1886.42</v>
      </c>
      <c r="J104" s="380">
        <f t="shared" si="42"/>
        <v>74243.399999999994</v>
      </c>
      <c r="K104" s="18"/>
      <c r="L104" s="242"/>
      <c r="M104" s="242"/>
      <c r="N104" s="242"/>
      <c r="O104" s="242"/>
      <c r="P104" s="242">
        <v>532</v>
      </c>
      <c r="Q104" s="242"/>
      <c r="R104" s="242"/>
      <c r="S104" s="242"/>
      <c r="T104" s="242"/>
      <c r="U104" s="242"/>
      <c r="V104" s="242"/>
      <c r="W104" s="242"/>
      <c r="X104" s="242"/>
      <c r="Y104" s="242"/>
      <c r="Z104" s="242"/>
      <c r="AA104" s="242"/>
      <c r="AB104" s="242">
        <v>223287</v>
      </c>
      <c r="AC104" s="242"/>
      <c r="AD104" s="242">
        <f t="shared" si="71"/>
        <v>223819</v>
      </c>
      <c r="AE104" s="91"/>
      <c r="AF104" s="282">
        <f t="shared" si="46"/>
        <v>0</v>
      </c>
      <c r="AG104" s="282">
        <f t="shared" si="47"/>
        <v>0</v>
      </c>
      <c r="AH104" s="282">
        <f t="shared" si="48"/>
        <v>0</v>
      </c>
      <c r="AI104" s="282">
        <f t="shared" si="49"/>
        <v>20.85</v>
      </c>
      <c r="AJ104" s="282">
        <f t="shared" si="50"/>
        <v>0</v>
      </c>
      <c r="AK104" s="282">
        <f t="shared" si="51"/>
        <v>0</v>
      </c>
      <c r="AL104" s="282">
        <f t="shared" si="52"/>
        <v>0</v>
      </c>
      <c r="AM104" s="282">
        <f t="shared" si="53"/>
        <v>0</v>
      </c>
      <c r="AN104" s="282">
        <f t="shared" si="54"/>
        <v>0</v>
      </c>
      <c r="AO104" s="282">
        <f t="shared" si="55"/>
        <v>0</v>
      </c>
      <c r="AP104" s="282">
        <f t="shared" si="56"/>
        <v>0</v>
      </c>
      <c r="AQ104" s="282">
        <f t="shared" si="57"/>
        <v>0</v>
      </c>
      <c r="AR104" s="282">
        <f t="shared" si="58"/>
        <v>0</v>
      </c>
      <c r="AS104" s="282">
        <f t="shared" si="59"/>
        <v>0</v>
      </c>
      <c r="AT104" s="282">
        <f t="shared" si="60"/>
        <v>0</v>
      </c>
      <c r="AU104" s="282">
        <f t="shared" si="61"/>
        <v>19693.91</v>
      </c>
      <c r="AV104" s="282">
        <f t="shared" si="62"/>
        <v>0</v>
      </c>
      <c r="AW104" s="318">
        <f t="shared" si="63"/>
        <v>19714.759999999998</v>
      </c>
    </row>
    <row r="105" spans="1:49" x14ac:dyDescent="0.2">
      <c r="A105" s="1" t="s">
        <v>570</v>
      </c>
      <c r="B105" s="7">
        <v>381523</v>
      </c>
      <c r="C105" s="7">
        <v>6659976</v>
      </c>
      <c r="D105" s="2">
        <f>(B105+C105)*0.124-0.01</f>
        <v>873145.87</v>
      </c>
      <c r="E105" s="2">
        <f t="shared" si="69"/>
        <v>345033.45</v>
      </c>
      <c r="F105" s="2">
        <f t="shared" si="70"/>
        <v>368974.55</v>
      </c>
      <c r="G105" s="2">
        <f t="shared" si="44"/>
        <v>613983.25</v>
      </c>
      <c r="H105" s="2">
        <f t="shared" si="65"/>
        <v>69006.69</v>
      </c>
      <c r="I105" s="2">
        <f t="shared" si="45"/>
        <v>13970.98</v>
      </c>
      <c r="J105" s="380">
        <f t="shared" si="42"/>
        <v>2284114.79</v>
      </c>
      <c r="K105" s="1"/>
      <c r="L105" s="7"/>
      <c r="M105" s="7">
        <v>212068</v>
      </c>
      <c r="N105" s="7"/>
      <c r="O105" s="7">
        <v>4962197</v>
      </c>
      <c r="P105" s="7">
        <v>144428</v>
      </c>
      <c r="Q105" s="7"/>
      <c r="R105" s="7"/>
      <c r="S105" s="7"/>
      <c r="T105" s="7"/>
      <c r="U105" s="7"/>
      <c r="V105" s="7"/>
      <c r="W105" s="7">
        <v>69123</v>
      </c>
      <c r="X105" s="7"/>
      <c r="Y105" s="7"/>
      <c r="Z105" s="7"/>
      <c r="AA105" s="7"/>
      <c r="AB105" s="7">
        <v>1653683</v>
      </c>
      <c r="AC105" s="7"/>
      <c r="AD105" s="7">
        <f>SUM(L105:AC105)</f>
        <v>7041499</v>
      </c>
      <c r="AE105" s="7"/>
      <c r="AF105" s="282">
        <f t="shared" si="46"/>
        <v>18704.400000000001</v>
      </c>
      <c r="AG105" s="282">
        <f t="shared" si="47"/>
        <v>0</v>
      </c>
      <c r="AH105" s="282">
        <f t="shared" si="48"/>
        <v>437665.78</v>
      </c>
      <c r="AI105" s="282">
        <f t="shared" si="49"/>
        <v>5661.58</v>
      </c>
      <c r="AJ105" s="282">
        <f t="shared" si="50"/>
        <v>0</v>
      </c>
      <c r="AK105" s="282">
        <f t="shared" si="51"/>
        <v>0</v>
      </c>
      <c r="AL105" s="282">
        <f t="shared" si="52"/>
        <v>0</v>
      </c>
      <c r="AM105" s="282">
        <f t="shared" si="53"/>
        <v>0</v>
      </c>
      <c r="AN105" s="282">
        <f t="shared" si="54"/>
        <v>0</v>
      </c>
      <c r="AO105" s="282">
        <f t="shared" si="55"/>
        <v>0</v>
      </c>
      <c r="AP105" s="282">
        <f t="shared" si="56"/>
        <v>6096.65</v>
      </c>
      <c r="AQ105" s="282">
        <f t="shared" si="57"/>
        <v>0</v>
      </c>
      <c r="AR105" s="282">
        <f t="shared" si="58"/>
        <v>0</v>
      </c>
      <c r="AS105" s="282">
        <f t="shared" si="59"/>
        <v>0</v>
      </c>
      <c r="AT105" s="282">
        <f t="shared" si="60"/>
        <v>0</v>
      </c>
      <c r="AU105" s="282">
        <f t="shared" si="61"/>
        <v>145854.84</v>
      </c>
      <c r="AV105" s="282">
        <f t="shared" si="62"/>
        <v>0</v>
      </c>
      <c r="AW105" s="318">
        <f t="shared" si="63"/>
        <v>613983.25</v>
      </c>
    </row>
    <row r="106" spans="1:49" ht="12.75" customHeight="1" x14ac:dyDescent="0.2">
      <c r="A106" s="1" t="s">
        <v>714</v>
      </c>
      <c r="B106" s="7">
        <v>20058</v>
      </c>
      <c r="C106" s="7">
        <v>0</v>
      </c>
      <c r="D106" s="2">
        <f>(B106+C106)*0.124</f>
        <v>2487.19</v>
      </c>
      <c r="E106" s="2">
        <f t="shared" si="69"/>
        <v>982.84</v>
      </c>
      <c r="F106" s="2">
        <f t="shared" si="70"/>
        <v>1051.04</v>
      </c>
      <c r="G106" s="2">
        <f>+AW106</f>
        <v>1769.12</v>
      </c>
      <c r="H106" s="2">
        <f>(B106+C106)*0.0098</f>
        <v>196.57</v>
      </c>
      <c r="I106" s="2">
        <f>(AB106)*0.0084484</f>
        <v>0</v>
      </c>
      <c r="J106" s="380">
        <f>SUM(D106:I106)</f>
        <v>6486.76</v>
      </c>
      <c r="K106" s="1"/>
      <c r="L106" s="7"/>
      <c r="M106" s="7"/>
      <c r="N106" s="7"/>
      <c r="O106" s="7">
        <v>20058</v>
      </c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>
        <f>SUM(L106:AC106)</f>
        <v>20058</v>
      </c>
      <c r="AF106" s="282">
        <f>+M106*$AF$12</f>
        <v>0</v>
      </c>
      <c r="AG106" s="282">
        <f>+N106*$AG$12</f>
        <v>0</v>
      </c>
      <c r="AH106" s="282">
        <f>+O106*$AH$12</f>
        <v>1769.12</v>
      </c>
      <c r="AI106" s="282">
        <f>+P106*$AI$12</f>
        <v>0</v>
      </c>
      <c r="AJ106" s="282">
        <f>+Q106*$AJ$12</f>
        <v>0</v>
      </c>
      <c r="AK106" s="282">
        <f>+R106*$AK$12</f>
        <v>0</v>
      </c>
      <c r="AL106" s="282">
        <f>+S106*$AL$12</f>
        <v>0</v>
      </c>
      <c r="AM106" s="282">
        <f>+T106*$AM$12</f>
        <v>0</v>
      </c>
      <c r="AN106" s="282">
        <f>+U106*$AN$12</f>
        <v>0</v>
      </c>
      <c r="AO106" s="282">
        <f>+V106*$AO$12</f>
        <v>0</v>
      </c>
      <c r="AP106" s="282">
        <f>+W106*$AP$12</f>
        <v>0</v>
      </c>
      <c r="AQ106" s="282">
        <f>+X106*$AQ$12</f>
        <v>0</v>
      </c>
      <c r="AR106" s="282">
        <f>+Y106*$AR$12</f>
        <v>0</v>
      </c>
      <c r="AS106" s="282">
        <f>+Z106*$AS$12</f>
        <v>0</v>
      </c>
      <c r="AT106" s="282">
        <f>+AA106*$AT$12</f>
        <v>0</v>
      </c>
      <c r="AU106" s="282">
        <f>+AB106*$AU$12</f>
        <v>0</v>
      </c>
      <c r="AV106" s="282">
        <f>+AC106*$AV$12</f>
        <v>0</v>
      </c>
      <c r="AW106" s="318">
        <f>SUM(AF106:AV106)</f>
        <v>1769.12</v>
      </c>
    </row>
    <row r="107" spans="1:49" x14ac:dyDescent="0.2">
      <c r="A107" s="1" t="s">
        <v>443</v>
      </c>
      <c r="B107" s="7">
        <v>79839</v>
      </c>
      <c r="C107" s="7">
        <v>0</v>
      </c>
      <c r="D107" s="2">
        <f t="shared" si="67"/>
        <v>9900.0400000000009</v>
      </c>
      <c r="E107" s="2">
        <f t="shared" ref="E107:E112" si="72">(B107+C107)*0.049</f>
        <v>3912.11</v>
      </c>
      <c r="F107" s="2">
        <f t="shared" ref="F107:F112" si="73">(B107+C107)*0.0524</f>
        <v>4183.5600000000004</v>
      </c>
      <c r="G107" s="2">
        <f t="shared" si="44"/>
        <v>7041.8</v>
      </c>
      <c r="H107" s="2">
        <f t="shared" si="65"/>
        <v>782.42</v>
      </c>
      <c r="I107" s="2">
        <f t="shared" si="45"/>
        <v>89.43</v>
      </c>
      <c r="J107" s="380">
        <f t="shared" si="42"/>
        <v>25909.360000000001</v>
      </c>
      <c r="K107" s="1"/>
      <c r="L107" s="7"/>
      <c r="M107" s="7"/>
      <c r="N107" s="7"/>
      <c r="O107" s="7">
        <v>69254</v>
      </c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>
        <v>10585</v>
      </c>
      <c r="AC107" s="7"/>
      <c r="AD107" s="7">
        <f t="shared" si="71"/>
        <v>79839</v>
      </c>
      <c r="AF107" s="282">
        <f t="shared" si="46"/>
        <v>0</v>
      </c>
      <c r="AG107" s="282">
        <f t="shared" si="47"/>
        <v>0</v>
      </c>
      <c r="AH107" s="282">
        <f t="shared" si="48"/>
        <v>6108.2</v>
      </c>
      <c r="AI107" s="282">
        <f t="shared" si="49"/>
        <v>0</v>
      </c>
      <c r="AJ107" s="282">
        <f t="shared" si="50"/>
        <v>0</v>
      </c>
      <c r="AK107" s="282">
        <f t="shared" si="51"/>
        <v>0</v>
      </c>
      <c r="AL107" s="282">
        <f t="shared" si="52"/>
        <v>0</v>
      </c>
      <c r="AM107" s="282">
        <f t="shared" si="53"/>
        <v>0</v>
      </c>
      <c r="AN107" s="282">
        <f t="shared" si="54"/>
        <v>0</v>
      </c>
      <c r="AO107" s="282">
        <f t="shared" si="55"/>
        <v>0</v>
      </c>
      <c r="AP107" s="282">
        <f t="shared" si="56"/>
        <v>0</v>
      </c>
      <c r="AQ107" s="282">
        <f t="shared" si="57"/>
        <v>0</v>
      </c>
      <c r="AR107" s="282">
        <f t="shared" si="58"/>
        <v>0</v>
      </c>
      <c r="AS107" s="282">
        <f t="shared" si="59"/>
        <v>0</v>
      </c>
      <c r="AT107" s="282">
        <f t="shared" si="60"/>
        <v>0</v>
      </c>
      <c r="AU107" s="282">
        <f t="shared" si="61"/>
        <v>933.6</v>
      </c>
      <c r="AV107" s="282">
        <f t="shared" si="62"/>
        <v>0</v>
      </c>
      <c r="AW107" s="318">
        <f t="shared" si="63"/>
        <v>7041.8</v>
      </c>
    </row>
    <row r="108" spans="1:49" x14ac:dyDescent="0.2">
      <c r="A108" s="1" t="s">
        <v>489</v>
      </c>
      <c r="B108" s="7">
        <v>202</v>
      </c>
      <c r="C108" s="7">
        <v>0</v>
      </c>
      <c r="D108" s="2">
        <f t="shared" si="67"/>
        <v>25.05</v>
      </c>
      <c r="E108" s="2">
        <f>(B108+C108)*0.049</f>
        <v>9.9</v>
      </c>
      <c r="F108" s="2">
        <f>(B108+C108)*0.0524</f>
        <v>10.58</v>
      </c>
      <c r="G108" s="2">
        <f t="shared" si="44"/>
        <v>17.82</v>
      </c>
      <c r="H108" s="2">
        <f t="shared" si="65"/>
        <v>1.98</v>
      </c>
      <c r="I108" s="2">
        <f t="shared" si="45"/>
        <v>0</v>
      </c>
      <c r="J108" s="380">
        <f t="shared" si="42"/>
        <v>65.33</v>
      </c>
      <c r="K108" s="1"/>
      <c r="L108" s="7"/>
      <c r="M108" s="7"/>
      <c r="N108" s="7"/>
      <c r="O108" s="7">
        <v>202</v>
      </c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>
        <f>SUM(L108:AC108)</f>
        <v>202</v>
      </c>
      <c r="AF108" s="282">
        <f t="shared" si="46"/>
        <v>0</v>
      </c>
      <c r="AG108" s="282">
        <f t="shared" si="47"/>
        <v>0</v>
      </c>
      <c r="AH108" s="282">
        <f t="shared" si="48"/>
        <v>17.82</v>
      </c>
      <c r="AI108" s="282">
        <f t="shared" si="49"/>
        <v>0</v>
      </c>
      <c r="AJ108" s="282">
        <f t="shared" si="50"/>
        <v>0</v>
      </c>
      <c r="AK108" s="282">
        <f t="shared" si="51"/>
        <v>0</v>
      </c>
      <c r="AL108" s="282">
        <f t="shared" si="52"/>
        <v>0</v>
      </c>
      <c r="AM108" s="282">
        <f t="shared" si="53"/>
        <v>0</v>
      </c>
      <c r="AN108" s="282">
        <f t="shared" si="54"/>
        <v>0</v>
      </c>
      <c r="AO108" s="282">
        <f t="shared" si="55"/>
        <v>0</v>
      </c>
      <c r="AP108" s="282">
        <f t="shared" si="56"/>
        <v>0</v>
      </c>
      <c r="AQ108" s="282">
        <f t="shared" si="57"/>
        <v>0</v>
      </c>
      <c r="AR108" s="282">
        <f t="shared" si="58"/>
        <v>0</v>
      </c>
      <c r="AS108" s="282">
        <f t="shared" si="59"/>
        <v>0</v>
      </c>
      <c r="AT108" s="282">
        <f t="shared" si="60"/>
        <v>0</v>
      </c>
      <c r="AU108" s="282">
        <f t="shared" si="61"/>
        <v>0</v>
      </c>
      <c r="AV108" s="282">
        <f t="shared" si="62"/>
        <v>0</v>
      </c>
      <c r="AW108" s="318">
        <f t="shared" si="63"/>
        <v>17.82</v>
      </c>
    </row>
    <row r="109" spans="1:49" x14ac:dyDescent="0.2">
      <c r="A109" s="1" t="s">
        <v>84</v>
      </c>
      <c r="B109" s="7">
        <v>2669</v>
      </c>
      <c r="C109" s="7">
        <v>7301</v>
      </c>
      <c r="D109" s="2">
        <f t="shared" si="67"/>
        <v>1236.28</v>
      </c>
      <c r="E109" s="2">
        <f t="shared" si="72"/>
        <v>488.53</v>
      </c>
      <c r="F109" s="2">
        <f t="shared" si="73"/>
        <v>522.42999999999995</v>
      </c>
      <c r="G109" s="2">
        <f t="shared" si="44"/>
        <v>748.57</v>
      </c>
      <c r="H109" s="2">
        <f t="shared" si="65"/>
        <v>97.71</v>
      </c>
      <c r="I109" s="2">
        <f t="shared" si="45"/>
        <v>0</v>
      </c>
      <c r="J109" s="380">
        <f t="shared" si="42"/>
        <v>3093.52</v>
      </c>
      <c r="K109" s="1"/>
      <c r="L109" s="7"/>
      <c r="M109" s="7"/>
      <c r="N109" s="7"/>
      <c r="O109" s="7"/>
      <c r="P109" s="7"/>
      <c r="Q109" s="7">
        <v>2669</v>
      </c>
      <c r="R109" s="7"/>
      <c r="S109" s="7"/>
      <c r="T109" s="7">
        <v>7301</v>
      </c>
      <c r="U109" s="7"/>
      <c r="V109" s="7"/>
      <c r="W109" s="7"/>
      <c r="X109" s="7"/>
      <c r="Y109" s="7"/>
      <c r="Z109" s="7"/>
      <c r="AA109" s="7"/>
      <c r="AB109" s="7"/>
      <c r="AC109" s="7"/>
      <c r="AD109" s="7">
        <f t="shared" si="71"/>
        <v>9970</v>
      </c>
      <c r="AF109" s="282">
        <f t="shared" si="46"/>
        <v>0</v>
      </c>
      <c r="AG109" s="282">
        <f t="shared" si="47"/>
        <v>0</v>
      </c>
      <c r="AH109" s="282">
        <f t="shared" si="48"/>
        <v>0</v>
      </c>
      <c r="AI109" s="282">
        <f t="shared" si="49"/>
        <v>0</v>
      </c>
      <c r="AJ109" s="282">
        <f t="shared" si="50"/>
        <v>104.62</v>
      </c>
      <c r="AK109" s="282">
        <f t="shared" si="51"/>
        <v>0</v>
      </c>
      <c r="AL109" s="282">
        <f t="shared" si="52"/>
        <v>0</v>
      </c>
      <c r="AM109" s="282">
        <f t="shared" si="53"/>
        <v>643.95000000000005</v>
      </c>
      <c r="AN109" s="282">
        <f t="shared" si="54"/>
        <v>0</v>
      </c>
      <c r="AO109" s="282">
        <f t="shared" si="55"/>
        <v>0</v>
      </c>
      <c r="AP109" s="282">
        <f t="shared" si="56"/>
        <v>0</v>
      </c>
      <c r="AQ109" s="282">
        <f t="shared" si="57"/>
        <v>0</v>
      </c>
      <c r="AR109" s="282">
        <f t="shared" si="58"/>
        <v>0</v>
      </c>
      <c r="AS109" s="282">
        <f t="shared" si="59"/>
        <v>0</v>
      </c>
      <c r="AT109" s="282">
        <f t="shared" si="60"/>
        <v>0</v>
      </c>
      <c r="AU109" s="282">
        <f t="shared" si="61"/>
        <v>0</v>
      </c>
      <c r="AV109" s="282">
        <f t="shared" si="62"/>
        <v>0</v>
      </c>
      <c r="AW109" s="318">
        <f t="shared" si="63"/>
        <v>748.57</v>
      </c>
    </row>
    <row r="110" spans="1:49" x14ac:dyDescent="0.2">
      <c r="A110" s="18" t="s">
        <v>571</v>
      </c>
      <c r="B110" s="242">
        <v>81705</v>
      </c>
      <c r="C110" s="242">
        <v>60095</v>
      </c>
      <c r="D110" s="2">
        <f t="shared" si="67"/>
        <v>17583.2</v>
      </c>
      <c r="E110" s="78">
        <f>(B110+C110)*0.049</f>
        <v>6948.2</v>
      </c>
      <c r="F110" s="78">
        <f>(B110+C110)*0.0524</f>
        <v>7430.32</v>
      </c>
      <c r="G110" s="2">
        <f t="shared" si="44"/>
        <v>12506.76</v>
      </c>
      <c r="H110" s="2">
        <f t="shared" si="65"/>
        <v>1389.64</v>
      </c>
      <c r="I110" s="2">
        <f t="shared" si="45"/>
        <v>690.28</v>
      </c>
      <c r="J110" s="380">
        <f t="shared" si="42"/>
        <v>46548.4</v>
      </c>
      <c r="K110" s="18"/>
      <c r="L110" s="242"/>
      <c r="M110" s="242"/>
      <c r="N110" s="242"/>
      <c r="O110" s="242">
        <v>60095</v>
      </c>
      <c r="P110" s="242"/>
      <c r="Q110" s="242"/>
      <c r="R110" s="242"/>
      <c r="S110" s="242"/>
      <c r="T110" s="242"/>
      <c r="U110" s="242"/>
      <c r="V110" s="242"/>
      <c r="W110" s="242"/>
      <c r="X110" s="242"/>
      <c r="Y110" s="242"/>
      <c r="Z110" s="242"/>
      <c r="AA110" s="242"/>
      <c r="AB110" s="242">
        <v>81705</v>
      </c>
      <c r="AC110" s="242"/>
      <c r="AD110" s="242">
        <f>SUM(L110:AC110)</f>
        <v>141800</v>
      </c>
      <c r="AF110" s="282">
        <f t="shared" si="46"/>
        <v>0</v>
      </c>
      <c r="AG110" s="282">
        <f t="shared" si="47"/>
        <v>0</v>
      </c>
      <c r="AH110" s="282">
        <f t="shared" si="48"/>
        <v>5300.38</v>
      </c>
      <c r="AI110" s="282">
        <f t="shared" si="49"/>
        <v>0</v>
      </c>
      <c r="AJ110" s="282">
        <f t="shared" si="50"/>
        <v>0</v>
      </c>
      <c r="AK110" s="282">
        <f t="shared" si="51"/>
        <v>0</v>
      </c>
      <c r="AL110" s="282">
        <f t="shared" si="52"/>
        <v>0</v>
      </c>
      <c r="AM110" s="282">
        <f t="shared" si="53"/>
        <v>0</v>
      </c>
      <c r="AN110" s="282">
        <f t="shared" si="54"/>
        <v>0</v>
      </c>
      <c r="AO110" s="282">
        <f t="shared" si="55"/>
        <v>0</v>
      </c>
      <c r="AP110" s="282">
        <f t="shared" si="56"/>
        <v>0</v>
      </c>
      <c r="AQ110" s="282">
        <f t="shared" si="57"/>
        <v>0</v>
      </c>
      <c r="AR110" s="282">
        <f t="shared" si="58"/>
        <v>0</v>
      </c>
      <c r="AS110" s="282">
        <f t="shared" si="59"/>
        <v>0</v>
      </c>
      <c r="AT110" s="282">
        <f t="shared" si="60"/>
        <v>0</v>
      </c>
      <c r="AU110" s="282">
        <f t="shared" si="61"/>
        <v>7206.38</v>
      </c>
      <c r="AV110" s="282">
        <f t="shared" si="62"/>
        <v>0</v>
      </c>
      <c r="AW110" s="318">
        <f t="shared" si="63"/>
        <v>12506.76</v>
      </c>
    </row>
    <row r="111" spans="1:49" x14ac:dyDescent="0.2">
      <c r="A111" s="18" t="s">
        <v>70</v>
      </c>
      <c r="B111" s="242">
        <v>220593</v>
      </c>
      <c r="C111" s="242">
        <v>0</v>
      </c>
      <c r="D111" s="2">
        <f t="shared" si="67"/>
        <v>27353.53</v>
      </c>
      <c r="E111" s="78">
        <f t="shared" si="72"/>
        <v>10809.06</v>
      </c>
      <c r="F111" s="78">
        <f t="shared" si="73"/>
        <v>11559.07</v>
      </c>
      <c r="G111" s="2">
        <f t="shared" si="44"/>
        <v>19456.3</v>
      </c>
      <c r="H111" s="2">
        <f t="shared" si="65"/>
        <v>2161.81</v>
      </c>
      <c r="I111" s="2">
        <f t="shared" si="45"/>
        <v>1863.66</v>
      </c>
      <c r="J111" s="380">
        <f>SUM(D111:I111)</f>
        <v>73203.429999999993</v>
      </c>
      <c r="K111" s="18"/>
      <c r="L111" s="242"/>
      <c r="M111" s="242"/>
      <c r="N111" s="242"/>
      <c r="O111" s="242"/>
      <c r="P111" s="242"/>
      <c r="Q111" s="242"/>
      <c r="R111" s="242"/>
      <c r="S111" s="242"/>
      <c r="T111" s="242"/>
      <c r="U111" s="242"/>
      <c r="V111" s="242"/>
      <c r="W111" s="242"/>
      <c r="X111" s="242"/>
      <c r="Y111" s="242"/>
      <c r="Z111" s="242"/>
      <c r="AA111" s="242"/>
      <c r="AB111" s="7">
        <v>220593</v>
      </c>
      <c r="AC111" s="242"/>
      <c r="AD111" s="242">
        <f t="shared" si="71"/>
        <v>220593</v>
      </c>
      <c r="AF111" s="282">
        <f t="shared" si="46"/>
        <v>0</v>
      </c>
      <c r="AG111" s="282">
        <f t="shared" si="47"/>
        <v>0</v>
      </c>
      <c r="AH111" s="282">
        <f t="shared" si="48"/>
        <v>0</v>
      </c>
      <c r="AI111" s="282">
        <f t="shared" si="49"/>
        <v>0</v>
      </c>
      <c r="AJ111" s="282">
        <f t="shared" si="50"/>
        <v>0</v>
      </c>
      <c r="AK111" s="282">
        <f t="shared" si="51"/>
        <v>0</v>
      </c>
      <c r="AL111" s="282">
        <f t="shared" si="52"/>
        <v>0</v>
      </c>
      <c r="AM111" s="282">
        <f t="shared" si="53"/>
        <v>0</v>
      </c>
      <c r="AN111" s="282">
        <f t="shared" si="54"/>
        <v>0</v>
      </c>
      <c r="AO111" s="282">
        <f t="shared" si="55"/>
        <v>0</v>
      </c>
      <c r="AP111" s="282">
        <f t="shared" si="56"/>
        <v>0</v>
      </c>
      <c r="AQ111" s="282">
        <f t="shared" si="57"/>
        <v>0</v>
      </c>
      <c r="AR111" s="282">
        <f t="shared" si="58"/>
        <v>0</v>
      </c>
      <c r="AS111" s="282">
        <f t="shared" si="59"/>
        <v>0</v>
      </c>
      <c r="AT111" s="282">
        <f t="shared" si="60"/>
        <v>0</v>
      </c>
      <c r="AU111" s="282">
        <f t="shared" si="61"/>
        <v>19456.3</v>
      </c>
      <c r="AV111" s="282">
        <f t="shared" si="62"/>
        <v>0</v>
      </c>
      <c r="AW111" s="318">
        <f t="shared" si="63"/>
        <v>19456.3</v>
      </c>
    </row>
    <row r="112" spans="1:49" x14ac:dyDescent="0.2">
      <c r="A112" s="1" t="s">
        <v>71</v>
      </c>
      <c r="B112" s="7">
        <v>62725</v>
      </c>
      <c r="C112" s="7">
        <v>0</v>
      </c>
      <c r="D112" s="2">
        <f t="shared" si="67"/>
        <v>7777.9</v>
      </c>
      <c r="E112" s="2">
        <f t="shared" si="72"/>
        <v>3073.53</v>
      </c>
      <c r="F112" s="2">
        <f t="shared" si="73"/>
        <v>3286.79</v>
      </c>
      <c r="G112" s="2">
        <f t="shared" si="44"/>
        <v>5482.95</v>
      </c>
      <c r="H112" s="2">
        <f t="shared" si="65"/>
        <v>614.71</v>
      </c>
      <c r="I112" s="2">
        <f t="shared" si="45"/>
        <v>0</v>
      </c>
      <c r="J112" s="380">
        <f>SUM(D112:I112)</f>
        <v>20235.88</v>
      </c>
      <c r="K112" s="1"/>
      <c r="L112" s="7"/>
      <c r="M112" s="7"/>
      <c r="N112" s="7"/>
      <c r="O112" s="7"/>
      <c r="P112" s="7"/>
      <c r="Q112" s="7"/>
      <c r="R112" s="7">
        <v>1008</v>
      </c>
      <c r="S112" s="7"/>
      <c r="T112" s="7"/>
      <c r="U112" s="7"/>
      <c r="V112" s="7"/>
      <c r="W112" s="7"/>
      <c r="X112" s="7">
        <v>61717</v>
      </c>
      <c r="Y112" s="7"/>
      <c r="Z112" s="7"/>
      <c r="AA112" s="7"/>
      <c r="AB112" s="7"/>
      <c r="AC112" s="7"/>
      <c r="AD112" s="7">
        <f t="shared" si="71"/>
        <v>62725</v>
      </c>
      <c r="AF112" s="282">
        <f t="shared" si="46"/>
        <v>0</v>
      </c>
      <c r="AG112" s="282">
        <f t="shared" si="47"/>
        <v>0</v>
      </c>
      <c r="AH112" s="282">
        <f t="shared" si="48"/>
        <v>0</v>
      </c>
      <c r="AI112" s="282">
        <f t="shared" si="49"/>
        <v>0</v>
      </c>
      <c r="AJ112" s="282">
        <f t="shared" si="50"/>
        <v>0</v>
      </c>
      <c r="AK112" s="282">
        <f t="shared" si="51"/>
        <v>39.51</v>
      </c>
      <c r="AL112" s="282">
        <f t="shared" si="52"/>
        <v>0</v>
      </c>
      <c r="AM112" s="282">
        <f t="shared" si="53"/>
        <v>0</v>
      </c>
      <c r="AN112" s="282">
        <f t="shared" si="54"/>
        <v>0</v>
      </c>
      <c r="AO112" s="282">
        <f t="shared" si="55"/>
        <v>0</v>
      </c>
      <c r="AP112" s="282">
        <f t="shared" si="56"/>
        <v>0</v>
      </c>
      <c r="AQ112" s="282">
        <f t="shared" si="57"/>
        <v>5443.44</v>
      </c>
      <c r="AR112" s="282">
        <f t="shared" si="58"/>
        <v>0</v>
      </c>
      <c r="AS112" s="282">
        <f t="shared" si="59"/>
        <v>0</v>
      </c>
      <c r="AT112" s="282">
        <f t="shared" si="60"/>
        <v>0</v>
      </c>
      <c r="AU112" s="282">
        <f t="shared" si="61"/>
        <v>0</v>
      </c>
      <c r="AV112" s="282">
        <f t="shared" si="62"/>
        <v>0</v>
      </c>
      <c r="AW112" s="318">
        <f t="shared" si="63"/>
        <v>5482.95</v>
      </c>
    </row>
    <row r="113" spans="1:49" x14ac:dyDescent="0.2">
      <c r="A113" s="1" t="s">
        <v>367</v>
      </c>
      <c r="B113" s="7">
        <v>101160</v>
      </c>
      <c r="C113" s="7">
        <v>0</v>
      </c>
      <c r="D113" s="2">
        <f>(B113+C113)*0.124</f>
        <v>12543.84</v>
      </c>
      <c r="E113" s="2">
        <f>(B113+C113)*0.049</f>
        <v>4956.84</v>
      </c>
      <c r="F113" s="2">
        <f>(B113+C113)*0.0524</f>
        <v>5300.78</v>
      </c>
      <c r="G113" s="2">
        <f t="shared" si="44"/>
        <v>8922.31</v>
      </c>
      <c r="H113" s="2">
        <f t="shared" si="65"/>
        <v>991.37</v>
      </c>
      <c r="I113" s="2">
        <f t="shared" si="45"/>
        <v>0</v>
      </c>
      <c r="J113" s="380">
        <f>SUM(D113:I113)</f>
        <v>32715.14</v>
      </c>
      <c r="K113" s="1"/>
      <c r="L113" s="7"/>
      <c r="M113" s="7"/>
      <c r="N113" s="7"/>
      <c r="O113" s="7">
        <v>101160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>
        <f>SUM(L113:AC113)</f>
        <v>101160</v>
      </c>
      <c r="AF113" s="282">
        <f t="shared" si="46"/>
        <v>0</v>
      </c>
      <c r="AG113" s="282">
        <f t="shared" si="47"/>
        <v>0</v>
      </c>
      <c r="AH113" s="282">
        <f t="shared" si="48"/>
        <v>8922.31</v>
      </c>
      <c r="AI113" s="282">
        <f t="shared" si="49"/>
        <v>0</v>
      </c>
      <c r="AJ113" s="282">
        <f t="shared" si="50"/>
        <v>0</v>
      </c>
      <c r="AK113" s="282">
        <f t="shared" si="51"/>
        <v>0</v>
      </c>
      <c r="AL113" s="282">
        <f t="shared" si="52"/>
        <v>0</v>
      </c>
      <c r="AM113" s="282">
        <f t="shared" si="53"/>
        <v>0</v>
      </c>
      <c r="AN113" s="282">
        <f t="shared" si="54"/>
        <v>0</v>
      </c>
      <c r="AO113" s="282">
        <f t="shared" si="55"/>
        <v>0</v>
      </c>
      <c r="AP113" s="282">
        <f t="shared" si="56"/>
        <v>0</v>
      </c>
      <c r="AQ113" s="282">
        <f t="shared" si="57"/>
        <v>0</v>
      </c>
      <c r="AR113" s="282">
        <f t="shared" si="58"/>
        <v>0</v>
      </c>
      <c r="AS113" s="282">
        <f t="shared" si="59"/>
        <v>0</v>
      </c>
      <c r="AT113" s="282">
        <f t="shared" si="60"/>
        <v>0</v>
      </c>
      <c r="AU113" s="282">
        <f t="shared" si="61"/>
        <v>0</v>
      </c>
      <c r="AV113" s="282">
        <f t="shared" si="62"/>
        <v>0</v>
      </c>
      <c r="AW113" s="318">
        <f t="shared" si="63"/>
        <v>8922.31</v>
      </c>
    </row>
    <row r="114" spans="1:49" x14ac:dyDescent="0.2">
      <c r="A114" s="10"/>
      <c r="B114" s="32"/>
      <c r="C114" s="32"/>
      <c r="D114" s="33"/>
      <c r="E114" s="33"/>
      <c r="F114" s="33"/>
      <c r="G114" s="33"/>
      <c r="H114" s="33"/>
      <c r="I114" s="33"/>
      <c r="J114" s="381"/>
      <c r="K114" s="90"/>
      <c r="L114" s="90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W114" s="318"/>
    </row>
    <row r="115" spans="1:49" ht="13.5" thickBot="1" x14ac:dyDescent="0.25">
      <c r="A115" s="128" t="s">
        <v>72</v>
      </c>
      <c r="B115" s="7">
        <f t="shared" ref="B115:J115" si="74">SUM(B12:B114)</f>
        <v>23611766</v>
      </c>
      <c r="C115" s="7">
        <f t="shared" si="74"/>
        <v>68027389</v>
      </c>
      <c r="D115" s="2">
        <f t="shared" si="74"/>
        <v>11356050.460000001</v>
      </c>
      <c r="E115" s="2">
        <f t="shared" si="74"/>
        <v>4487480.63</v>
      </c>
      <c r="F115" s="2">
        <f t="shared" si="74"/>
        <v>4798880.7300000004</v>
      </c>
      <c r="G115" s="2">
        <f t="shared" si="74"/>
        <v>7749787.2400000002</v>
      </c>
      <c r="H115" s="2">
        <f t="shared" si="74"/>
        <v>895248.14</v>
      </c>
      <c r="I115" s="2">
        <f t="shared" si="74"/>
        <v>134721.79</v>
      </c>
      <c r="J115" s="382">
        <f t="shared" si="74"/>
        <v>29422168.989999998</v>
      </c>
      <c r="K115" s="7"/>
      <c r="L115" s="115" t="s">
        <v>73</v>
      </c>
      <c r="M115" s="37">
        <f t="shared" ref="M115:AD115" si="75">SUM(M12:M114)</f>
        <v>3047942</v>
      </c>
      <c r="N115" s="37">
        <f t="shared" si="75"/>
        <v>707781</v>
      </c>
      <c r="O115" s="37">
        <f t="shared" si="75"/>
        <v>61833117</v>
      </c>
      <c r="P115" s="37">
        <f t="shared" si="75"/>
        <v>2092743</v>
      </c>
      <c r="Q115" s="37">
        <f t="shared" si="75"/>
        <v>2179142</v>
      </c>
      <c r="R115" s="37">
        <f t="shared" si="75"/>
        <v>11970</v>
      </c>
      <c r="S115" s="37">
        <f t="shared" si="75"/>
        <v>113095</v>
      </c>
      <c r="T115" s="37">
        <f t="shared" si="75"/>
        <v>702180</v>
      </c>
      <c r="U115" s="37">
        <f t="shared" si="75"/>
        <v>209046</v>
      </c>
      <c r="V115" s="37">
        <f t="shared" si="75"/>
        <v>220970</v>
      </c>
      <c r="W115" s="37">
        <f t="shared" si="75"/>
        <v>1484575</v>
      </c>
      <c r="X115" s="37">
        <f t="shared" si="75"/>
        <v>237485</v>
      </c>
      <c r="Y115" s="37">
        <f t="shared" si="75"/>
        <v>1736346</v>
      </c>
      <c r="Z115" s="37">
        <f t="shared" si="75"/>
        <v>161443</v>
      </c>
      <c r="AA115" s="37">
        <f t="shared" si="75"/>
        <v>29404</v>
      </c>
      <c r="AB115" s="37">
        <f t="shared" si="75"/>
        <v>15951653</v>
      </c>
      <c r="AC115" s="37">
        <f t="shared" si="75"/>
        <v>731021</v>
      </c>
      <c r="AD115" s="37">
        <f t="shared" si="75"/>
        <v>91449913</v>
      </c>
      <c r="AF115" s="319">
        <f t="shared" ref="AF115:AW115" si="76">SUM(AF14:AF114)</f>
        <v>268828.48</v>
      </c>
      <c r="AG115" s="319">
        <f t="shared" si="76"/>
        <v>62426.28</v>
      </c>
      <c r="AH115" s="319">
        <f t="shared" si="76"/>
        <v>5452988.3600000003</v>
      </c>
      <c r="AI115" s="319">
        <f t="shared" si="76"/>
        <v>82035.53</v>
      </c>
      <c r="AJ115" s="319">
        <f t="shared" si="76"/>
        <v>84326.34</v>
      </c>
      <c r="AK115" s="319">
        <f t="shared" si="76"/>
        <v>469.22</v>
      </c>
      <c r="AL115" s="319">
        <f t="shared" si="76"/>
        <v>4433.32</v>
      </c>
      <c r="AM115" s="319">
        <f t="shared" si="76"/>
        <v>61932.27</v>
      </c>
      <c r="AN115" s="319">
        <f t="shared" si="76"/>
        <v>18437.86</v>
      </c>
      <c r="AO115" s="319">
        <f t="shared" si="76"/>
        <v>8662.02</v>
      </c>
      <c r="AP115" s="319">
        <f t="shared" si="76"/>
        <v>130939.54</v>
      </c>
      <c r="AQ115" s="319">
        <f t="shared" si="76"/>
        <v>20946.18</v>
      </c>
      <c r="AR115" s="319">
        <f t="shared" si="76"/>
        <v>68064.759999999995</v>
      </c>
      <c r="AS115" s="319">
        <f t="shared" si="76"/>
        <v>14239.26</v>
      </c>
      <c r="AT115" s="319">
        <f t="shared" si="76"/>
        <v>1152.6400000000001</v>
      </c>
      <c r="AU115" s="319">
        <f t="shared" si="76"/>
        <v>1406476.9</v>
      </c>
      <c r="AV115" s="319">
        <f t="shared" si="76"/>
        <v>63018.5</v>
      </c>
      <c r="AW115" s="319">
        <f t="shared" si="76"/>
        <v>7749377.46</v>
      </c>
    </row>
    <row r="116" spans="1:49" x14ac:dyDescent="0.2">
      <c r="A116" s="128" t="s">
        <v>74</v>
      </c>
      <c r="B116" s="7">
        <f>C115</f>
        <v>68027389</v>
      </c>
      <c r="C116" s="7"/>
      <c r="D116" s="2"/>
      <c r="E116" s="2"/>
      <c r="F116" s="2"/>
      <c r="G116" s="2"/>
      <c r="H116" s="2"/>
      <c r="I116" s="2"/>
      <c r="J116" s="382"/>
      <c r="K116" s="1"/>
      <c r="L116" s="7"/>
      <c r="M116" s="7"/>
      <c r="N116" s="7"/>
      <c r="O116" s="7"/>
      <c r="P116" s="7"/>
      <c r="Q116" s="7"/>
      <c r="R116" s="7"/>
      <c r="S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W116" s="318"/>
    </row>
    <row r="117" spans="1:49" ht="13.5" thickBot="1" x14ac:dyDescent="0.25">
      <c r="A117" s="129" t="s">
        <v>12</v>
      </c>
      <c r="B117" s="34">
        <f>B115+B116</f>
        <v>91639155</v>
      </c>
      <c r="C117" s="35"/>
      <c r="D117" s="36">
        <f t="shared" ref="D117:J117" si="77">D115</f>
        <v>11356050.460000001</v>
      </c>
      <c r="E117" s="36">
        <f t="shared" si="77"/>
        <v>4487480.63</v>
      </c>
      <c r="F117" s="36">
        <f t="shared" si="77"/>
        <v>4798880.7300000004</v>
      </c>
      <c r="G117" s="36">
        <f t="shared" si="77"/>
        <v>7749787.2400000002</v>
      </c>
      <c r="H117" s="36">
        <f t="shared" si="77"/>
        <v>895248.14</v>
      </c>
      <c r="I117" s="36">
        <f t="shared" si="77"/>
        <v>134721.79</v>
      </c>
      <c r="J117" s="383">
        <f t="shared" si="77"/>
        <v>29422168.989999998</v>
      </c>
      <c r="K117" s="1"/>
      <c r="L117" s="23" t="s">
        <v>75</v>
      </c>
      <c r="M117" s="8">
        <f>M115*0.0882</f>
        <v>268828.48</v>
      </c>
      <c r="N117" s="8">
        <f>N115*0.0882</f>
        <v>62426.28</v>
      </c>
      <c r="O117" s="8">
        <f>O115*0.0882</f>
        <v>5453680.9199999999</v>
      </c>
      <c r="P117" s="8">
        <f>P115*0.0392</f>
        <v>82035.53</v>
      </c>
      <c r="Q117" s="8">
        <f>Q115*0.0392</f>
        <v>85422.37</v>
      </c>
      <c r="R117" s="8">
        <f>R115*0.0392</f>
        <v>469.22</v>
      </c>
      <c r="S117" s="8">
        <f>S115*0.0392</f>
        <v>4433.32</v>
      </c>
      <c r="T117" s="8">
        <f>T115*0.0882</f>
        <v>61932.28</v>
      </c>
      <c r="U117" s="8">
        <f>U115*0.0882</f>
        <v>18437.86</v>
      </c>
      <c r="V117" s="8">
        <f>V115*0.0392</f>
        <v>8662.02</v>
      </c>
      <c r="W117" s="8">
        <f>W115*0.0882</f>
        <v>130939.52</v>
      </c>
      <c r="X117" s="8">
        <f>X115*0.0882</f>
        <v>20946.18</v>
      </c>
      <c r="Y117" s="8">
        <f>Y115*0.0392</f>
        <v>68064.759999999995</v>
      </c>
      <c r="Z117" s="8">
        <f>Z115*0.0882</f>
        <v>14239.27</v>
      </c>
      <c r="AA117" s="8">
        <f>AA115*0.0392</f>
        <v>1152.6400000000001</v>
      </c>
      <c r="AB117" s="8">
        <f>AB115*0.0882</f>
        <v>1406935.79</v>
      </c>
      <c r="AC117" s="8">
        <f>AC115*0.0882</f>
        <v>64476.05</v>
      </c>
      <c r="AW117" s="318"/>
    </row>
    <row r="118" spans="1:49" hidden="1" x14ac:dyDescent="0.2">
      <c r="A118" s="1"/>
      <c r="B118" s="7" t="s">
        <v>494</v>
      </c>
      <c r="C118" s="1"/>
      <c r="D118" s="1"/>
      <c r="E118" s="1"/>
      <c r="F118" s="1"/>
      <c r="G118" s="1"/>
      <c r="H118" s="1"/>
      <c r="I118" s="1"/>
      <c r="J118" s="1"/>
      <c r="K118" s="1"/>
      <c r="L118" s="22" t="s">
        <v>76</v>
      </c>
      <c r="M118" s="8">
        <f t="shared" ref="M118:V118" si="78">M115*0.0098</f>
        <v>29869.83</v>
      </c>
      <c r="N118" s="8">
        <f t="shared" si="78"/>
        <v>6936.25</v>
      </c>
      <c r="O118" s="8">
        <f t="shared" si="78"/>
        <v>605964.55000000005</v>
      </c>
      <c r="P118" s="8">
        <f t="shared" si="78"/>
        <v>20508.88</v>
      </c>
      <c r="Q118" s="8">
        <f t="shared" si="78"/>
        <v>21355.59</v>
      </c>
      <c r="R118" s="8">
        <f t="shared" si="78"/>
        <v>117.31</v>
      </c>
      <c r="S118" s="8">
        <f t="shared" si="78"/>
        <v>1108.33</v>
      </c>
      <c r="T118" s="8">
        <f t="shared" si="78"/>
        <v>6881.36</v>
      </c>
      <c r="U118" s="8">
        <f t="shared" si="78"/>
        <v>2048.65</v>
      </c>
      <c r="V118" s="8">
        <f t="shared" si="78"/>
        <v>2165.5100000000002</v>
      </c>
      <c r="W118" s="8">
        <f t="shared" ref="W118:AC118" si="79">W115*0.0098</f>
        <v>14548.84</v>
      </c>
      <c r="X118" s="8">
        <f t="shared" si="79"/>
        <v>2327.35</v>
      </c>
      <c r="Y118" s="8">
        <f t="shared" si="79"/>
        <v>17016.189999999999</v>
      </c>
      <c r="Z118" s="8">
        <f t="shared" si="79"/>
        <v>1582.14</v>
      </c>
      <c r="AA118" s="8">
        <f t="shared" si="79"/>
        <v>288.16000000000003</v>
      </c>
      <c r="AB118" s="8">
        <f t="shared" si="79"/>
        <v>156326.20000000001</v>
      </c>
      <c r="AC118" s="8">
        <f t="shared" si="79"/>
        <v>7164.01</v>
      </c>
      <c r="AW118" s="318"/>
    </row>
    <row r="119" spans="1:49" hidden="1" x14ac:dyDescent="0.2">
      <c r="A119" s="1"/>
      <c r="B119" s="1"/>
      <c r="C119" s="1"/>
      <c r="D119" s="1"/>
      <c r="E119" s="1"/>
      <c r="F119" s="1"/>
      <c r="G119" s="24" t="s">
        <v>77</v>
      </c>
      <c r="H119" s="2">
        <v>0</v>
      </c>
      <c r="I119" s="2"/>
      <c r="J119" s="2">
        <f>'s6, s6a'!L28</f>
        <v>5067.59</v>
      </c>
      <c r="K119" s="2"/>
      <c r="L119" s="310" t="s">
        <v>646</v>
      </c>
      <c r="M119" s="311"/>
      <c r="N119" s="311"/>
      <c r="O119" s="311"/>
      <c r="P119" s="311"/>
      <c r="Q119" s="311"/>
      <c r="R119" s="311"/>
      <c r="S119" s="311"/>
      <c r="T119" s="311"/>
      <c r="U119" s="311"/>
      <c r="V119" s="311"/>
      <c r="W119" s="311"/>
      <c r="X119" s="311"/>
      <c r="Y119" s="311"/>
      <c r="Z119" s="311"/>
      <c r="AA119" s="311"/>
      <c r="AB119" s="8">
        <f>AB115*0.0041219</f>
        <v>65751.12</v>
      </c>
      <c r="AC119" s="311"/>
    </row>
    <row r="120" spans="1:49" hidden="1" x14ac:dyDescent="0.2">
      <c r="A120" s="1"/>
      <c r="B120" s="1"/>
      <c r="C120" s="1"/>
      <c r="D120" s="1"/>
      <c r="E120" s="1"/>
      <c r="F120" s="2"/>
      <c r="H120" s="1"/>
      <c r="I120" s="1"/>
      <c r="J120" s="2"/>
      <c r="K120" s="1"/>
    </row>
    <row r="121" spans="1:49" hidden="1" x14ac:dyDescent="0.2">
      <c r="A121" s="1"/>
      <c r="B121" s="1"/>
      <c r="C121" s="1"/>
      <c r="D121" s="1"/>
      <c r="E121" s="1"/>
      <c r="F121" s="1"/>
      <c r="G121" s="5" t="s">
        <v>78</v>
      </c>
      <c r="H121" s="1"/>
      <c r="I121" s="1"/>
      <c r="J121" s="278">
        <f>20642411.82+8779757.17</f>
        <v>29422168.989999998</v>
      </c>
      <c r="K121" s="1"/>
      <c r="L121" t="s">
        <v>568</v>
      </c>
      <c r="M121" s="8">
        <v>298698.32</v>
      </c>
      <c r="N121" s="8">
        <v>69362.539999999994</v>
      </c>
      <c r="O121" s="277">
        <v>6058938.54</v>
      </c>
      <c r="P121" s="8">
        <v>102544.4</v>
      </c>
      <c r="Q121" s="8">
        <v>105357.97</v>
      </c>
      <c r="R121" s="8">
        <v>586.52</v>
      </c>
      <c r="S121" s="8">
        <v>5541.65</v>
      </c>
      <c r="T121" s="8">
        <v>68813.649999999994</v>
      </c>
      <c r="U121" s="8">
        <v>20486.509999999998</v>
      </c>
      <c r="V121" s="8">
        <v>10827.53</v>
      </c>
      <c r="W121" s="8">
        <v>145488.38</v>
      </c>
      <c r="X121" s="8">
        <v>23273.54</v>
      </c>
      <c r="Y121" s="277">
        <v>85080.98</v>
      </c>
      <c r="Z121" s="8">
        <v>15821.4</v>
      </c>
      <c r="AA121" s="8">
        <v>1440.8</v>
      </c>
      <c r="AB121" s="8">
        <v>1562752.11</v>
      </c>
      <c r="AC121" s="8">
        <v>70020.539999999994</v>
      </c>
      <c r="AD121" s="8"/>
      <c r="AE121" s="8"/>
    </row>
    <row r="122" spans="1:49" hidden="1" x14ac:dyDescent="0.2">
      <c r="A122" s="1"/>
      <c r="B122" s="1"/>
      <c r="C122" s="1"/>
      <c r="D122" s="1"/>
      <c r="E122" s="1"/>
      <c r="F122" s="1"/>
      <c r="H122" s="1"/>
      <c r="I122" s="1"/>
      <c r="J122" s="2"/>
      <c r="K122" s="1"/>
      <c r="M122" s="311"/>
      <c r="N122" s="311"/>
      <c r="O122" s="311"/>
      <c r="P122" s="311"/>
      <c r="Q122" s="311"/>
      <c r="R122" s="311"/>
      <c r="S122" s="311"/>
      <c r="T122" s="311"/>
      <c r="U122" s="311"/>
      <c r="V122" s="311"/>
      <c r="W122" s="311"/>
      <c r="X122" s="311"/>
      <c r="Y122" s="311"/>
      <c r="Z122" s="311"/>
      <c r="AA122" s="314" t="s">
        <v>651</v>
      </c>
      <c r="AB122" s="8">
        <v>134721.79</v>
      </c>
      <c r="AC122" s="311"/>
    </row>
    <row r="123" spans="1:49" hidden="1" x14ac:dyDescent="0.2">
      <c r="A123" s="1"/>
      <c r="B123" s="1"/>
      <c r="C123" s="1"/>
      <c r="D123" s="1"/>
      <c r="E123" s="1">
        <f>ST12.65+_ST5+ST5.35</f>
        <v>20642411.82</v>
      </c>
      <c r="F123" s="1"/>
      <c r="G123" s="5" t="s">
        <v>79</v>
      </c>
      <c r="H123" s="1"/>
      <c r="I123" s="1"/>
      <c r="J123" s="2">
        <f>+J117+J119-J121</f>
        <v>5067.59</v>
      </c>
      <c r="K123" s="1"/>
      <c r="L123" s="7" t="s">
        <v>316</v>
      </c>
      <c r="M123" s="8">
        <f>M117+M118-M121</f>
        <v>-0.01</v>
      </c>
      <c r="N123" s="8">
        <f t="shared" ref="N123:AC123" si="80">N117+N118-N121</f>
        <v>-0.01</v>
      </c>
      <c r="O123" s="8">
        <f t="shared" si="80"/>
        <v>706.93</v>
      </c>
      <c r="P123" s="8">
        <f t="shared" si="80"/>
        <v>0.01</v>
      </c>
      <c r="Q123" s="8">
        <f t="shared" si="80"/>
        <v>1419.99</v>
      </c>
      <c r="R123" s="8">
        <f t="shared" si="80"/>
        <v>0.01</v>
      </c>
      <c r="S123" s="8">
        <f t="shared" si="80"/>
        <v>0</v>
      </c>
      <c r="T123" s="8">
        <f t="shared" si="80"/>
        <v>-0.01</v>
      </c>
      <c r="U123" s="8">
        <f t="shared" si="80"/>
        <v>0</v>
      </c>
      <c r="V123" s="8">
        <f t="shared" si="80"/>
        <v>0</v>
      </c>
      <c r="W123" s="8">
        <f t="shared" si="80"/>
        <v>-0.02</v>
      </c>
      <c r="X123" s="8">
        <f t="shared" si="80"/>
        <v>-0.01</v>
      </c>
      <c r="Y123" s="8">
        <f t="shared" si="80"/>
        <v>-0.03</v>
      </c>
      <c r="Z123" s="8">
        <f t="shared" si="80"/>
        <v>0.01</v>
      </c>
      <c r="AA123" s="8">
        <f t="shared" si="80"/>
        <v>0</v>
      </c>
      <c r="AB123" s="8">
        <f t="shared" si="80"/>
        <v>509.88</v>
      </c>
      <c r="AC123" s="8">
        <f t="shared" si="80"/>
        <v>1619.52</v>
      </c>
    </row>
    <row r="124" spans="1:49" hidden="1" x14ac:dyDescent="0.2">
      <c r="A124" s="1"/>
      <c r="B124" s="1"/>
      <c r="C124" s="1"/>
      <c r="D124" s="1" t="s">
        <v>493</v>
      </c>
      <c r="E124" s="1">
        <v>20642411.82</v>
      </c>
      <c r="F124" s="1"/>
      <c r="G124" s="1"/>
      <c r="H124" s="1"/>
      <c r="I124" s="1"/>
      <c r="J124" s="1"/>
      <c r="K124" s="1"/>
      <c r="L124" s="7"/>
      <c r="AA124" s="313" t="s">
        <v>650</v>
      </c>
      <c r="AB124" s="8">
        <f>+AB119-AB122</f>
        <v>-68970.67</v>
      </c>
    </row>
    <row r="125" spans="1:49" hidden="1" x14ac:dyDescent="0.2">
      <c r="E125" s="220">
        <f>E123-E124</f>
        <v>0</v>
      </c>
      <c r="G125" s="11"/>
      <c r="H125" s="11"/>
      <c r="I125" s="11"/>
      <c r="O125" s="263" t="s">
        <v>715</v>
      </c>
    </row>
    <row r="126" spans="1:49" hidden="1" x14ac:dyDescent="0.2">
      <c r="G126" s="11"/>
      <c r="O126" s="263" t="s">
        <v>716</v>
      </c>
      <c r="X126" s="263" t="s">
        <v>735</v>
      </c>
      <c r="Z126" s="263" t="s">
        <v>730</v>
      </c>
      <c r="AA126" s="263"/>
      <c r="AB126">
        <v>4.2059999999999997E-3</v>
      </c>
      <c r="AC126" t="s">
        <v>647</v>
      </c>
    </row>
    <row r="127" spans="1:49" hidden="1" x14ac:dyDescent="0.2">
      <c r="X127" s="263" t="s">
        <v>736</v>
      </c>
      <c r="Z127" s="263" t="s">
        <v>723</v>
      </c>
      <c r="AA127" s="263"/>
      <c r="AB127">
        <f>0.004206*2%</f>
        <v>8.4120000000000001E-5</v>
      </c>
      <c r="AC127" t="s">
        <v>648</v>
      </c>
    </row>
    <row r="128" spans="1:49" hidden="1" x14ac:dyDescent="0.2">
      <c r="X128" s="263" t="s">
        <v>737</v>
      </c>
      <c r="AB128" s="312">
        <f>+AB126-AB127</f>
        <v>4.1219000000000004E-3</v>
      </c>
      <c r="AC128" t="s">
        <v>649</v>
      </c>
    </row>
    <row r="129" spans="7:11" hidden="1" x14ac:dyDescent="0.2"/>
    <row r="130" spans="7:11" hidden="1" x14ac:dyDescent="0.2">
      <c r="G130" t="s">
        <v>82</v>
      </c>
    </row>
    <row r="131" spans="7:11" hidden="1" x14ac:dyDescent="0.2">
      <c r="H131" s="11"/>
      <c r="I131" s="11"/>
      <c r="K131" s="1" t="s">
        <v>80</v>
      </c>
    </row>
    <row r="132" spans="7:11" hidden="1" x14ac:dyDescent="0.2"/>
    <row r="133" spans="7:11" hidden="1" x14ac:dyDescent="0.2">
      <c r="H133" s="11"/>
      <c r="I133" s="11"/>
    </row>
    <row r="134" spans="7:11" hidden="1" x14ac:dyDescent="0.2"/>
    <row r="135" spans="7:11" hidden="1" x14ac:dyDescent="0.2"/>
    <row r="136" spans="7:11" hidden="1" x14ac:dyDescent="0.2"/>
    <row r="137" spans="7:11" hidden="1" x14ac:dyDescent="0.2"/>
    <row r="138" spans="7:11" hidden="1" x14ac:dyDescent="0.2"/>
    <row r="139" spans="7:11" hidden="1" x14ac:dyDescent="0.2"/>
    <row r="140" spans="7:11" hidden="1" x14ac:dyDescent="0.2"/>
    <row r="141" spans="7:11" hidden="1" x14ac:dyDescent="0.2"/>
    <row r="142" spans="7:11" hidden="1" x14ac:dyDescent="0.2"/>
    <row r="143" spans="7:11" hidden="1" x14ac:dyDescent="0.2"/>
    <row r="144" spans="7:11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</sheetData>
  <mergeCells count="1">
    <mergeCell ref="AF10:AV10"/>
  </mergeCells>
  <phoneticPr fontId="0" type="noConversion"/>
  <printOptions horizontalCentered="1"/>
  <pageMargins left="0.25" right="0.25" top="0.5" bottom="0.5" header="0.25" footer="0.25"/>
  <pageSetup scale="70" fitToHeight="3" orientation="landscape" r:id="rId1"/>
  <headerFooter alignWithMargins="0">
    <oddFooter>&amp;CPage &amp;P&amp;R&amp;D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40"/>
  <sheetViews>
    <sheetView workbookViewId="0">
      <pane xSplit="1" ySplit="9" topLeftCell="B19" activePane="bottomRight" state="frozen"/>
      <selection pane="topRight" activeCell="B1" sqref="B1"/>
      <selection pane="bottomLeft" activeCell="A10" sqref="A10"/>
      <selection pane="bottomRight" activeCell="F35" sqref="F35"/>
    </sheetView>
  </sheetViews>
  <sheetFormatPr defaultRowHeight="12.75" x14ac:dyDescent="0.2"/>
  <cols>
    <col min="1" max="1" width="30.7109375" customWidth="1"/>
    <col min="2" max="3" width="15.28515625" customWidth="1"/>
    <col min="4" max="4" width="15.42578125" customWidth="1"/>
    <col min="5" max="6" width="15.28515625" customWidth="1"/>
  </cols>
  <sheetData>
    <row r="1" spans="1:6" ht="15.75" x14ac:dyDescent="0.25">
      <c r="A1" s="63" t="s">
        <v>208</v>
      </c>
    </row>
    <row r="2" spans="1:6" ht="15.75" x14ac:dyDescent="0.25">
      <c r="A2" s="113" t="str">
        <f>ReportMonth</f>
        <v>DECEMBER 2004</v>
      </c>
      <c r="B2" s="1"/>
      <c r="C2" s="1"/>
      <c r="D2" s="1"/>
      <c r="E2" s="1"/>
    </row>
    <row r="3" spans="1:6" s="85" customFormat="1" ht="15.75" x14ac:dyDescent="0.25">
      <c r="A3" s="66" t="s">
        <v>209</v>
      </c>
      <c r="B3" s="66"/>
      <c r="C3" s="43"/>
      <c r="D3" s="42"/>
      <c r="E3" s="43"/>
      <c r="F3" s="43"/>
    </row>
    <row r="4" spans="1:6" ht="15.75" x14ac:dyDescent="0.25">
      <c r="A4" s="42" t="s">
        <v>210</v>
      </c>
      <c r="B4" s="67"/>
      <c r="C4" s="43"/>
      <c r="D4" s="43"/>
      <c r="E4" s="43"/>
      <c r="F4" s="43"/>
    </row>
    <row r="6" spans="1:6" x14ac:dyDescent="0.2">
      <c r="A6" s="1"/>
      <c r="B6" s="1"/>
      <c r="C6" s="1"/>
      <c r="D6" s="1"/>
      <c r="E6" s="120" t="s">
        <v>211</v>
      </c>
    </row>
    <row r="7" spans="1:6" x14ac:dyDescent="0.2">
      <c r="A7" s="1"/>
      <c r="B7" s="1"/>
      <c r="C7" s="120" t="s">
        <v>170</v>
      </c>
      <c r="D7" s="120" t="s">
        <v>211</v>
      </c>
      <c r="E7" s="120" t="s">
        <v>170</v>
      </c>
      <c r="F7" s="130" t="s">
        <v>212</v>
      </c>
    </row>
    <row r="8" spans="1:6" x14ac:dyDescent="0.2">
      <c r="A8" s="110" t="s">
        <v>13</v>
      </c>
      <c r="B8" s="98" t="s">
        <v>213</v>
      </c>
      <c r="C8" s="98" t="s">
        <v>133</v>
      </c>
      <c r="D8" s="98" t="s">
        <v>213</v>
      </c>
      <c r="E8" s="98" t="s">
        <v>214</v>
      </c>
      <c r="F8" s="61" t="s">
        <v>73</v>
      </c>
    </row>
    <row r="9" spans="1:6" x14ac:dyDescent="0.2">
      <c r="A9" s="1"/>
      <c r="B9" s="39"/>
      <c r="C9" s="39"/>
      <c r="D9" s="39"/>
      <c r="E9" s="39"/>
    </row>
    <row r="10" spans="1:6" ht="13.5" customHeight="1" x14ac:dyDescent="0.2">
      <c r="A10" s="1" t="s">
        <v>215</v>
      </c>
      <c r="B10" s="7">
        <v>249422</v>
      </c>
      <c r="C10" s="2">
        <f>B10*0.0098+0.01</f>
        <v>2444.35</v>
      </c>
      <c r="D10" s="7">
        <v>238001</v>
      </c>
      <c r="E10" s="2">
        <f>D10*0.02-0.01</f>
        <v>4760.01</v>
      </c>
      <c r="F10" s="11">
        <f t="shared" ref="F10:F27" si="0">C10+E10</f>
        <v>7204.36</v>
      </c>
    </row>
    <row r="11" spans="1:6" x14ac:dyDescent="0.2">
      <c r="A11" s="1" t="s">
        <v>216</v>
      </c>
      <c r="B11" s="7">
        <v>6780866</v>
      </c>
      <c r="C11" s="2">
        <f t="shared" ref="C11:C33" si="1">B11*0.0098</f>
        <v>66452.490000000005</v>
      </c>
      <c r="D11" s="7">
        <v>6563092</v>
      </c>
      <c r="E11" s="2">
        <f t="shared" ref="E11:E29" si="2">D11*0.02</f>
        <v>131261.84</v>
      </c>
      <c r="F11" s="11">
        <f t="shared" si="0"/>
        <v>197714.33</v>
      </c>
    </row>
    <row r="12" spans="1:6" x14ac:dyDescent="0.2">
      <c r="A12" s="1" t="s">
        <v>607</v>
      </c>
      <c r="B12" s="7">
        <v>1770594</v>
      </c>
      <c r="C12" s="2">
        <f>B12*0.0098</f>
        <v>17351.82</v>
      </c>
      <c r="D12" s="7">
        <v>1513428</v>
      </c>
      <c r="E12" s="2">
        <f>D12*0.02</f>
        <v>30268.560000000001</v>
      </c>
      <c r="F12" s="11">
        <f t="shared" si="0"/>
        <v>47620.38</v>
      </c>
    </row>
    <row r="13" spans="1:6" x14ac:dyDescent="0.2">
      <c r="A13" s="1" t="s">
        <v>217</v>
      </c>
      <c r="B13" s="7">
        <v>384477</v>
      </c>
      <c r="C13" s="2">
        <f>B13*0.0098+0.02</f>
        <v>3767.89</v>
      </c>
      <c r="D13" s="7">
        <v>234893</v>
      </c>
      <c r="E13" s="2">
        <f t="shared" si="2"/>
        <v>4697.8599999999997</v>
      </c>
      <c r="F13" s="11">
        <f t="shared" si="0"/>
        <v>8465.75</v>
      </c>
    </row>
    <row r="14" spans="1:6" s="20" customFormat="1" x14ac:dyDescent="0.2">
      <c r="A14" s="18" t="s">
        <v>455</v>
      </c>
      <c r="B14" s="242">
        <v>2195218</v>
      </c>
      <c r="C14" s="2">
        <f t="shared" si="1"/>
        <v>21513.14</v>
      </c>
      <c r="D14" s="7">
        <v>2195218</v>
      </c>
      <c r="E14" s="78">
        <f t="shared" si="2"/>
        <v>43904.36</v>
      </c>
      <c r="F14" s="243">
        <f t="shared" si="0"/>
        <v>65417.5</v>
      </c>
    </row>
    <row r="15" spans="1:6" x14ac:dyDescent="0.2">
      <c r="A15" s="1" t="s">
        <v>218</v>
      </c>
      <c r="B15" s="7">
        <v>4641438</v>
      </c>
      <c r="C15" s="2">
        <f>B15*0.0098+0.01</f>
        <v>45486.1</v>
      </c>
      <c r="D15" s="7">
        <v>3913011</v>
      </c>
      <c r="E15" s="2">
        <f t="shared" si="2"/>
        <v>78260.22</v>
      </c>
      <c r="F15" s="11">
        <f t="shared" si="0"/>
        <v>123746.32</v>
      </c>
    </row>
    <row r="16" spans="1:6" x14ac:dyDescent="0.2">
      <c r="A16" s="1" t="s">
        <v>603</v>
      </c>
      <c r="B16" s="7">
        <v>640959</v>
      </c>
      <c r="C16" s="2">
        <f t="shared" si="1"/>
        <v>6281.4</v>
      </c>
      <c r="D16" s="7">
        <v>640959</v>
      </c>
      <c r="E16" s="2">
        <f t="shared" si="2"/>
        <v>12819.18</v>
      </c>
      <c r="F16" s="11">
        <f t="shared" si="0"/>
        <v>19100.580000000002</v>
      </c>
    </row>
    <row r="17" spans="1:6" x14ac:dyDescent="0.2">
      <c r="A17" s="1" t="s">
        <v>219</v>
      </c>
      <c r="B17" s="7">
        <v>1789032</v>
      </c>
      <c r="C17" s="2">
        <f t="shared" si="1"/>
        <v>17532.509999999998</v>
      </c>
      <c r="D17" s="7">
        <v>1696632</v>
      </c>
      <c r="E17" s="2">
        <f t="shared" si="2"/>
        <v>33932.639999999999</v>
      </c>
      <c r="F17" s="11">
        <f t="shared" si="0"/>
        <v>51465.15</v>
      </c>
    </row>
    <row r="18" spans="1:6" x14ac:dyDescent="0.2">
      <c r="A18" s="1" t="s">
        <v>220</v>
      </c>
      <c r="B18" s="7">
        <v>3693732</v>
      </c>
      <c r="C18" s="2">
        <f t="shared" si="1"/>
        <v>36198.57</v>
      </c>
      <c r="D18" s="7">
        <v>3559332</v>
      </c>
      <c r="E18" s="2">
        <f t="shared" si="2"/>
        <v>71186.64</v>
      </c>
      <c r="F18" s="11">
        <f t="shared" si="0"/>
        <v>107385.21</v>
      </c>
    </row>
    <row r="19" spans="1:6" x14ac:dyDescent="0.2">
      <c r="A19" s="1" t="s">
        <v>587</v>
      </c>
      <c r="B19" s="7">
        <v>299505</v>
      </c>
      <c r="C19" s="2">
        <f>B19*0.0098</f>
        <v>2935.15</v>
      </c>
      <c r="D19" s="7">
        <v>228536</v>
      </c>
      <c r="E19" s="2">
        <f>D19*0.02</f>
        <v>4570.72</v>
      </c>
      <c r="F19" s="11">
        <f t="shared" si="0"/>
        <v>7505.87</v>
      </c>
    </row>
    <row r="20" spans="1:6" x14ac:dyDescent="0.2">
      <c r="A20" s="1" t="s">
        <v>358</v>
      </c>
      <c r="B20" s="7">
        <v>16044</v>
      </c>
      <c r="C20" s="2">
        <f t="shared" si="1"/>
        <v>157.22999999999999</v>
      </c>
      <c r="D20" s="7">
        <v>16044</v>
      </c>
      <c r="E20" s="2">
        <f t="shared" si="2"/>
        <v>320.88</v>
      </c>
      <c r="F20" s="11">
        <f t="shared" si="0"/>
        <v>478.11</v>
      </c>
    </row>
    <row r="21" spans="1:6" x14ac:dyDescent="0.2">
      <c r="A21" s="1" t="s">
        <v>463</v>
      </c>
      <c r="B21" s="7">
        <v>128582</v>
      </c>
      <c r="C21" s="2">
        <f>B21*0.0098-0.3</f>
        <v>1259.8</v>
      </c>
      <c r="D21" s="7">
        <v>94060</v>
      </c>
      <c r="E21" s="2">
        <f t="shared" si="2"/>
        <v>1881.2</v>
      </c>
      <c r="F21" s="243">
        <f t="shared" si="0"/>
        <v>3141</v>
      </c>
    </row>
    <row r="22" spans="1:6" x14ac:dyDescent="0.2">
      <c r="A22" s="1" t="s">
        <v>758</v>
      </c>
      <c r="B22" s="7"/>
      <c r="C22" s="2">
        <f>B22*0.0098+0.31</f>
        <v>0.31</v>
      </c>
      <c r="D22" s="7"/>
      <c r="E22" s="2">
        <f t="shared" si="2"/>
        <v>0</v>
      </c>
      <c r="F22" s="11">
        <f t="shared" si="0"/>
        <v>0.31</v>
      </c>
    </row>
    <row r="23" spans="1:6" s="20" customFormat="1" x14ac:dyDescent="0.2">
      <c r="A23" s="18" t="s">
        <v>221</v>
      </c>
      <c r="B23" s="242">
        <v>1760621</v>
      </c>
      <c r="C23" s="2">
        <f t="shared" si="1"/>
        <v>17254.09</v>
      </c>
      <c r="D23" s="7">
        <v>1650564</v>
      </c>
      <c r="E23" s="78">
        <f t="shared" si="2"/>
        <v>33011.279999999999</v>
      </c>
      <c r="F23" s="243">
        <f t="shared" si="0"/>
        <v>50265.37</v>
      </c>
    </row>
    <row r="24" spans="1:6" s="20" customFormat="1" x14ac:dyDescent="0.2">
      <c r="A24" s="18" t="s">
        <v>608</v>
      </c>
      <c r="B24" s="242">
        <v>111608</v>
      </c>
      <c r="C24" s="2">
        <f t="shared" si="1"/>
        <v>1093.76</v>
      </c>
      <c r="D24" s="7">
        <v>111608</v>
      </c>
      <c r="E24" s="78">
        <f t="shared" si="2"/>
        <v>2232.16</v>
      </c>
      <c r="F24" s="243">
        <f t="shared" si="0"/>
        <v>3325.92</v>
      </c>
    </row>
    <row r="25" spans="1:6" s="20" customFormat="1" x14ac:dyDescent="0.2">
      <c r="A25" s="18" t="s">
        <v>222</v>
      </c>
      <c r="B25" s="242">
        <v>320704</v>
      </c>
      <c r="C25" s="2">
        <f t="shared" si="1"/>
        <v>3142.9</v>
      </c>
      <c r="D25" s="7">
        <v>320704</v>
      </c>
      <c r="E25" s="78">
        <f t="shared" si="2"/>
        <v>6414.08</v>
      </c>
      <c r="F25" s="243">
        <f t="shared" si="0"/>
        <v>9556.98</v>
      </c>
    </row>
    <row r="26" spans="1:6" x14ac:dyDescent="0.2">
      <c r="A26" s="1" t="s">
        <v>462</v>
      </c>
      <c r="B26" s="7">
        <v>2306</v>
      </c>
      <c r="C26" s="2">
        <f t="shared" si="1"/>
        <v>22.6</v>
      </c>
      <c r="D26" s="7">
        <v>0</v>
      </c>
      <c r="E26" s="2">
        <f t="shared" si="2"/>
        <v>0</v>
      </c>
      <c r="F26" s="243">
        <f t="shared" si="0"/>
        <v>22.6</v>
      </c>
    </row>
    <row r="27" spans="1:6" x14ac:dyDescent="0.2">
      <c r="A27" s="1" t="s">
        <v>64</v>
      </c>
      <c r="B27" s="7">
        <v>403568</v>
      </c>
      <c r="C27" s="2">
        <f t="shared" si="1"/>
        <v>3954.97</v>
      </c>
      <c r="D27" s="7">
        <v>403568</v>
      </c>
      <c r="E27" s="2">
        <f t="shared" si="2"/>
        <v>8071.36</v>
      </c>
      <c r="F27" s="11">
        <f t="shared" si="0"/>
        <v>12026.33</v>
      </c>
    </row>
    <row r="28" spans="1:6" x14ac:dyDescent="0.2">
      <c r="A28" s="1" t="s">
        <v>359</v>
      </c>
      <c r="B28" s="7">
        <v>9146214</v>
      </c>
      <c r="C28" s="2">
        <f>B28*0.0098-0.01</f>
        <v>89632.89</v>
      </c>
      <c r="D28" s="7">
        <v>8258586</v>
      </c>
      <c r="E28" s="2">
        <f t="shared" si="2"/>
        <v>165171.72</v>
      </c>
      <c r="F28" s="11">
        <f t="shared" ref="F28:F33" si="3">C28+E28</f>
        <v>254804.61</v>
      </c>
    </row>
    <row r="29" spans="1:6" x14ac:dyDescent="0.2">
      <c r="A29" s="1" t="s">
        <v>476</v>
      </c>
      <c r="B29" s="7">
        <v>2373124</v>
      </c>
      <c r="C29" s="2">
        <f t="shared" si="1"/>
        <v>23256.62</v>
      </c>
      <c r="D29" s="7">
        <v>2293324</v>
      </c>
      <c r="E29" s="2">
        <f t="shared" si="2"/>
        <v>45866.48</v>
      </c>
      <c r="F29" s="11">
        <f t="shared" si="3"/>
        <v>69123.100000000006</v>
      </c>
    </row>
    <row r="30" spans="1:6" x14ac:dyDescent="0.2">
      <c r="A30" s="1" t="s">
        <v>490</v>
      </c>
      <c r="B30" s="7">
        <v>2230494</v>
      </c>
      <c r="C30" s="2">
        <f t="shared" si="1"/>
        <v>21858.84</v>
      </c>
      <c r="D30" s="7">
        <v>2101386</v>
      </c>
      <c r="E30" s="2">
        <f>D30*0.02</f>
        <v>42027.72</v>
      </c>
      <c r="F30" s="11">
        <f t="shared" si="3"/>
        <v>63886.559999999998</v>
      </c>
    </row>
    <row r="31" spans="1:6" x14ac:dyDescent="0.2">
      <c r="A31" s="1" t="s">
        <v>729</v>
      </c>
      <c r="B31" s="7">
        <v>504</v>
      </c>
      <c r="C31" s="2">
        <f t="shared" si="1"/>
        <v>4.9400000000000004</v>
      </c>
      <c r="D31" s="7">
        <v>0</v>
      </c>
      <c r="E31" s="2">
        <f>D31*0.02</f>
        <v>0</v>
      </c>
      <c r="F31" s="11">
        <f>C31+E31</f>
        <v>4.9400000000000004</v>
      </c>
    </row>
    <row r="32" spans="1:6" x14ac:dyDescent="0.2">
      <c r="A32" s="1" t="s">
        <v>223</v>
      </c>
      <c r="B32" s="7">
        <v>20536</v>
      </c>
      <c r="C32" s="2">
        <f>B32*0.0098+0.01</f>
        <v>201.26</v>
      </c>
      <c r="D32" s="7">
        <v>10673</v>
      </c>
      <c r="E32" s="2">
        <f>D32*0.02</f>
        <v>213.46</v>
      </c>
      <c r="F32" s="11">
        <f t="shared" si="3"/>
        <v>414.72</v>
      </c>
    </row>
    <row r="33" spans="1:6" x14ac:dyDescent="0.2">
      <c r="A33" s="1" t="s">
        <v>224</v>
      </c>
      <c r="B33" s="7">
        <v>908970</v>
      </c>
      <c r="C33" s="2">
        <f t="shared" si="1"/>
        <v>8907.91</v>
      </c>
      <c r="D33" s="7">
        <v>907268</v>
      </c>
      <c r="E33" s="2">
        <f>D33*0.02</f>
        <v>18145.36</v>
      </c>
      <c r="F33" s="11">
        <f t="shared" si="3"/>
        <v>27053.27</v>
      </c>
    </row>
    <row r="35" spans="1:6" ht="22.5" customHeight="1" thickBot="1" x14ac:dyDescent="0.25">
      <c r="A35" s="1" t="s">
        <v>12</v>
      </c>
      <c r="B35" s="34">
        <f>SUM(B9:B34)</f>
        <v>39868518</v>
      </c>
      <c r="C35" s="132">
        <f>SUM(C9:C34)</f>
        <v>390711.54</v>
      </c>
      <c r="D35" s="34">
        <f>SUM(D9:D34)</f>
        <v>36950887</v>
      </c>
      <c r="E35" s="132">
        <f>SUM(E9:E34)</f>
        <v>739017.73</v>
      </c>
      <c r="F35" s="132">
        <f>SUM(F10:F33)</f>
        <v>1129729.27</v>
      </c>
    </row>
    <row r="36" spans="1:6" ht="28.5" hidden="1" customHeight="1" x14ac:dyDescent="0.2">
      <c r="A36" s="1" t="s">
        <v>225</v>
      </c>
      <c r="B36" s="133">
        <f>SUM(C35+E35)</f>
        <v>1129729.27</v>
      </c>
      <c r="C36" s="1"/>
      <c r="D36" s="1"/>
      <c r="E36" s="1"/>
      <c r="F36" s="1"/>
    </row>
    <row r="37" spans="1:6" ht="21.75" hidden="1" customHeight="1" x14ac:dyDescent="0.2">
      <c r="A37" s="9" t="s">
        <v>226</v>
      </c>
      <c r="B37" s="278">
        <v>1120171.98</v>
      </c>
      <c r="C37" s="1"/>
      <c r="D37" s="1"/>
      <c r="E37" s="1"/>
      <c r="F37" s="1"/>
    </row>
    <row r="38" spans="1:6" hidden="1" x14ac:dyDescent="0.2">
      <c r="A38" s="9" t="s">
        <v>227</v>
      </c>
      <c r="B38" s="2">
        <f>B37-B36</f>
        <v>-9557.2900000000009</v>
      </c>
      <c r="C38" s="1"/>
      <c r="D38" s="1"/>
      <c r="E38" s="1"/>
      <c r="F38" s="1"/>
    </row>
    <row r="39" spans="1:6" hidden="1" x14ac:dyDescent="0.2"/>
    <row r="40" spans="1:6" hidden="1" x14ac:dyDescent="0.2"/>
  </sheetData>
  <phoneticPr fontId="0" type="noConversion"/>
  <printOptions horizontalCentered="1"/>
  <pageMargins left="0.75" right="0.75" top="0.48" bottom="0.45" header="0.3" footer="0.31"/>
  <pageSetup scale="10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2.75" x14ac:dyDescent="0.2"/>
  <cols>
    <col min="1" max="1" width="18.28515625" customWidth="1"/>
    <col min="2" max="2" width="10.28515625" customWidth="1"/>
    <col min="3" max="3" width="11.7109375" hidden="1" customWidth="1"/>
    <col min="4" max="4" width="13" customWidth="1"/>
    <col min="5" max="5" width="11.5703125" customWidth="1"/>
    <col min="6" max="6" width="10" customWidth="1"/>
    <col min="7" max="7" width="10.140625" customWidth="1"/>
    <col min="8" max="8" width="13.28515625" hidden="1" customWidth="1"/>
    <col min="9" max="9" width="12.42578125" hidden="1" customWidth="1"/>
    <col min="10" max="10" width="10.85546875" hidden="1" customWidth="1"/>
    <col min="11" max="12" width="10" hidden="1" customWidth="1"/>
    <col min="13" max="13" width="9.42578125" customWidth="1"/>
    <col min="14" max="14" width="9.28515625" hidden="1" customWidth="1"/>
    <col min="15" max="15" width="10.42578125" hidden="1" customWidth="1"/>
    <col min="16" max="16" width="11.140625" hidden="1" customWidth="1"/>
    <col min="17" max="17" width="10.42578125" hidden="1" customWidth="1"/>
    <col min="18" max="18" width="10.85546875" customWidth="1"/>
    <col min="19" max="19" width="12" hidden="1" customWidth="1"/>
    <col min="20" max="20" width="11.28515625" customWidth="1"/>
    <col min="21" max="21" width="11" customWidth="1"/>
    <col min="22" max="22" width="15.85546875" hidden="1" customWidth="1"/>
    <col min="23" max="23" width="12.140625" customWidth="1"/>
    <col min="24" max="24" width="14.42578125" hidden="1" customWidth="1"/>
    <col min="25" max="25" width="0" hidden="1" customWidth="1"/>
  </cols>
  <sheetData>
    <row r="1" spans="1:25" ht="15.75" x14ac:dyDescent="0.25">
      <c r="A1" s="63" t="s">
        <v>228</v>
      </c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17" t="str">
        <f>ReportMonth</f>
        <v>DECEMBER 2004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x14ac:dyDescent="0.25">
      <c r="A3" s="66" t="s">
        <v>229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5" spans="1:25" x14ac:dyDescent="0.2">
      <c r="A5" s="1"/>
      <c r="B5" s="6" t="s">
        <v>230</v>
      </c>
      <c r="O5" s="6" t="s">
        <v>33</v>
      </c>
      <c r="P5" s="6" t="s">
        <v>34</v>
      </c>
      <c r="Q5" s="6" t="s">
        <v>35</v>
      </c>
      <c r="S5" s="97" t="s">
        <v>231</v>
      </c>
      <c r="T5" s="1"/>
      <c r="U5" s="1"/>
      <c r="V5" s="6" t="s">
        <v>232</v>
      </c>
      <c r="W5" s="1"/>
      <c r="X5" s="1"/>
      <c r="Y5" s="1"/>
    </row>
    <row r="6" spans="1:25" x14ac:dyDescent="0.2">
      <c r="A6" s="1"/>
      <c r="B6" s="6" t="s">
        <v>233</v>
      </c>
      <c r="C6" s="6" t="s">
        <v>22</v>
      </c>
      <c r="D6" s="6" t="s">
        <v>23</v>
      </c>
      <c r="E6" s="6" t="s">
        <v>23</v>
      </c>
      <c r="F6" s="6" t="s">
        <v>24</v>
      </c>
      <c r="G6" s="6" t="s">
        <v>25</v>
      </c>
      <c r="H6" s="6" t="s">
        <v>26</v>
      </c>
      <c r="I6" s="6" t="s">
        <v>27</v>
      </c>
      <c r="J6" s="6" t="s">
        <v>28</v>
      </c>
      <c r="K6" s="6" t="s">
        <v>29</v>
      </c>
      <c r="L6" s="6" t="s">
        <v>30</v>
      </c>
      <c r="M6" s="6" t="s">
        <v>31</v>
      </c>
      <c r="N6" s="6" t="s">
        <v>32</v>
      </c>
      <c r="O6" s="1"/>
      <c r="P6" s="1"/>
      <c r="Q6" s="1"/>
      <c r="R6" s="6" t="s">
        <v>36</v>
      </c>
      <c r="S6" s="97" t="s">
        <v>234</v>
      </c>
      <c r="T6" s="5" t="s">
        <v>12</v>
      </c>
      <c r="U6" s="5" t="s">
        <v>12</v>
      </c>
      <c r="V6" s="6" t="s">
        <v>235</v>
      </c>
      <c r="W6" s="5" t="s">
        <v>236</v>
      </c>
      <c r="X6" s="1"/>
      <c r="Y6" s="1"/>
    </row>
    <row r="7" spans="1:25" x14ac:dyDescent="0.2">
      <c r="A7" s="1"/>
      <c r="B7" s="38" t="s">
        <v>19</v>
      </c>
      <c r="C7" s="38" t="s">
        <v>237</v>
      </c>
      <c r="D7" s="38" t="s">
        <v>19</v>
      </c>
      <c r="E7" s="38" t="s">
        <v>238</v>
      </c>
      <c r="F7" s="38" t="s">
        <v>237</v>
      </c>
      <c r="G7" s="38" t="s">
        <v>237</v>
      </c>
      <c r="H7" s="38" t="s">
        <v>237</v>
      </c>
      <c r="I7" s="38" t="s">
        <v>237</v>
      </c>
      <c r="J7" s="38" t="s">
        <v>237</v>
      </c>
      <c r="K7" s="38" t="s">
        <v>237</v>
      </c>
      <c r="L7" s="38" t="s">
        <v>237</v>
      </c>
      <c r="M7" s="38" t="s">
        <v>237</v>
      </c>
      <c r="N7" s="38" t="s">
        <v>237</v>
      </c>
      <c r="O7" s="38" t="s">
        <v>237</v>
      </c>
      <c r="P7" s="38" t="s">
        <v>237</v>
      </c>
      <c r="Q7" s="38" t="s">
        <v>237</v>
      </c>
      <c r="R7" s="38" t="s">
        <v>237</v>
      </c>
      <c r="S7" s="38" t="s">
        <v>237</v>
      </c>
      <c r="T7" s="98" t="s">
        <v>100</v>
      </c>
      <c r="U7" s="98" t="s">
        <v>239</v>
      </c>
      <c r="V7" s="38" t="s">
        <v>240</v>
      </c>
      <c r="W7" s="40" t="s">
        <v>241</v>
      </c>
      <c r="X7" s="1"/>
      <c r="Y7" s="1"/>
    </row>
    <row r="8" spans="1:25" x14ac:dyDescent="0.2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1"/>
      <c r="Y8" s="1"/>
    </row>
    <row r="9" spans="1:25" ht="15" customHeight="1" x14ac:dyDescent="0.2">
      <c r="A9" s="1" t="s">
        <v>243</v>
      </c>
      <c r="B9" s="266">
        <v>157.44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f t="shared" ref="T9:T27" si="0">SUM(B9+C9+D9+F9+G9+H9+I9+J9+K9+L9+M9+N9+O9+P9+Q9+R9+S9)</f>
        <v>157.44</v>
      </c>
      <c r="U9" s="2">
        <f t="shared" ref="U9:U27" si="1">E9</f>
        <v>0</v>
      </c>
      <c r="V9" s="2">
        <f>F9</f>
        <v>0</v>
      </c>
      <c r="W9" s="2">
        <f>SUM(T9:V9)</f>
        <v>157.44</v>
      </c>
      <c r="X9" s="1"/>
      <c r="Y9" s="1"/>
    </row>
    <row r="10" spans="1:25" x14ac:dyDescent="0.2">
      <c r="A10" s="1" t="s">
        <v>560</v>
      </c>
      <c r="B10" s="2"/>
      <c r="C10" s="26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f t="shared" si="0"/>
        <v>0</v>
      </c>
      <c r="U10" s="2">
        <f t="shared" si="1"/>
        <v>0</v>
      </c>
      <c r="V10" s="2"/>
      <c r="W10" s="2">
        <f t="shared" ref="W10:W27" si="2">SUM(T10:V10)</f>
        <v>0</v>
      </c>
      <c r="X10" s="1"/>
      <c r="Y10" s="1"/>
    </row>
    <row r="11" spans="1:25" x14ac:dyDescent="0.2">
      <c r="A11" s="1" t="s">
        <v>242</v>
      </c>
      <c r="B11" s="2"/>
      <c r="C11" s="2"/>
      <c r="D11" s="266">
        <v>83.45</v>
      </c>
      <c r="E11" s="266">
        <v>170.3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f t="shared" si="0"/>
        <v>83.45</v>
      </c>
      <c r="U11" s="2">
        <f t="shared" si="1"/>
        <v>170.3</v>
      </c>
      <c r="V11" s="2">
        <f>F11</f>
        <v>0</v>
      </c>
      <c r="W11" s="2">
        <f t="shared" si="2"/>
        <v>253.75</v>
      </c>
      <c r="X11" s="1"/>
      <c r="Y11" s="1"/>
    </row>
    <row r="12" spans="1:25" x14ac:dyDescent="0.2">
      <c r="A12" s="1" t="s">
        <v>732</v>
      </c>
      <c r="B12" s="2"/>
      <c r="C12" s="293"/>
      <c r="D12" s="266">
        <v>74.239999999999995</v>
      </c>
      <c r="E12" s="266">
        <v>151.5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f>SUM(B12+C12+D12+F12+G12+H12+I12+J12+K12+L12+M12+N12+O12+P12+Q12+R12+S12)</f>
        <v>74.239999999999995</v>
      </c>
      <c r="U12" s="2">
        <f>E12</f>
        <v>151.5</v>
      </c>
      <c r="V12" s="2"/>
      <c r="W12" s="2">
        <f>SUM(T12:V12)</f>
        <v>225.74</v>
      </c>
      <c r="X12" s="1"/>
      <c r="Y12" s="1"/>
    </row>
    <row r="13" spans="1:25" x14ac:dyDescent="0.2">
      <c r="A13" s="1" t="s">
        <v>731</v>
      </c>
      <c r="B13" s="2"/>
      <c r="C13" s="2"/>
      <c r="D13" s="266">
        <v>173.06</v>
      </c>
      <c r="E13" s="376">
        <v>353.18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f>SUM(B13+C13+D13+F13+G13+H13+I13+J13+K13+L13+M13+N13+O13+P13+Q13+R13+S13)</f>
        <v>173.06</v>
      </c>
      <c r="U13" s="2">
        <f>E13</f>
        <v>353.18</v>
      </c>
      <c r="V13" s="2"/>
      <c r="W13" s="2">
        <f>SUM(T13:V13)</f>
        <v>526.24</v>
      </c>
      <c r="X13" s="1"/>
      <c r="Y13" s="1"/>
    </row>
    <row r="14" spans="1:25" x14ac:dyDescent="0.2">
      <c r="A14" s="1" t="s">
        <v>245</v>
      </c>
      <c r="B14" s="2"/>
      <c r="C14" s="2"/>
      <c r="D14" s="266">
        <v>111.93</v>
      </c>
      <c r="E14" s="40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f t="shared" si="0"/>
        <v>111.93</v>
      </c>
      <c r="U14" s="2">
        <f t="shared" si="1"/>
        <v>0</v>
      </c>
      <c r="V14" s="2"/>
      <c r="W14" s="2">
        <f t="shared" si="2"/>
        <v>111.93</v>
      </c>
      <c r="X14" s="1"/>
      <c r="Y14" s="1"/>
    </row>
    <row r="15" spans="1:25" x14ac:dyDescent="0.2">
      <c r="A15" s="1" t="s">
        <v>246</v>
      </c>
      <c r="B15" s="2"/>
      <c r="C15" s="2"/>
      <c r="D15" s="376">
        <f>14831.59+16626.99+2239.65+1093.76+20593.58+3954.97+2227.72+21513.14+38347.51+16175.53+22474.58+8891.23+64318.3+34881.45+157.23+921.48+80934.14+104.6+3142.9+0.31</f>
        <v>353430.66</v>
      </c>
      <c r="E15" s="376">
        <f>30268.56+33932.64+4570.72+2232.16+42027.72+8071.36+4546.36+43904.36+78260.22+33011.28+45866.48+18145.36+131261.84+71186.64+320.88+1881.2+165171.72+213.46+6414.08</f>
        <v>721287.04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f t="shared" si="0"/>
        <v>353430.66</v>
      </c>
      <c r="U15" s="2">
        <f t="shared" si="1"/>
        <v>721287.04</v>
      </c>
      <c r="V15" s="2">
        <v>0</v>
      </c>
      <c r="W15" s="2">
        <f t="shared" si="2"/>
        <v>1074717.7</v>
      </c>
      <c r="X15" s="1"/>
      <c r="Y15" s="1"/>
    </row>
    <row r="16" spans="1:25" x14ac:dyDescent="0.2">
      <c r="A16" s="1" t="s">
        <v>247</v>
      </c>
      <c r="B16" s="2"/>
      <c r="C16" s="2"/>
      <c r="D16" s="266">
        <v>2046.41</v>
      </c>
      <c r="E16" s="266">
        <v>4176.33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f t="shared" si="0"/>
        <v>2046.41</v>
      </c>
      <c r="U16" s="2">
        <f t="shared" si="1"/>
        <v>4176.33</v>
      </c>
      <c r="V16" s="2"/>
      <c r="W16" s="2">
        <f t="shared" si="2"/>
        <v>6222.74</v>
      </c>
      <c r="X16" s="1"/>
      <c r="Y16" s="1"/>
    </row>
    <row r="17" spans="1:25" x14ac:dyDescent="0.2">
      <c r="A17" s="1" t="s">
        <v>575</v>
      </c>
      <c r="B17" s="2"/>
      <c r="C17" s="2"/>
      <c r="D17" s="266">
        <f>29.5+6281.4</f>
        <v>6310.9</v>
      </c>
      <c r="E17" s="266">
        <f>60.2+12819.18</f>
        <v>12879.38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f t="shared" si="0"/>
        <v>6310.9</v>
      </c>
      <c r="U17" s="2">
        <f t="shared" si="1"/>
        <v>12879.38</v>
      </c>
      <c r="V17" s="2"/>
      <c r="W17" s="2">
        <f t="shared" si="2"/>
        <v>19190.28</v>
      </c>
      <c r="X17" s="1"/>
      <c r="Y17" s="1"/>
    </row>
    <row r="18" spans="1:25" x14ac:dyDescent="0.2">
      <c r="A18" s="1" t="s">
        <v>559</v>
      </c>
      <c r="B18" s="2"/>
      <c r="C18" s="2"/>
      <c r="D18" s="2"/>
      <c r="E18" s="2"/>
      <c r="F18" s="266">
        <f>78.99+17.79</f>
        <v>96.78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f t="shared" si="0"/>
        <v>96.78</v>
      </c>
      <c r="U18" s="2">
        <f t="shared" si="1"/>
        <v>0</v>
      </c>
      <c r="V18" s="2"/>
      <c r="W18" s="2">
        <f t="shared" si="2"/>
        <v>96.78</v>
      </c>
      <c r="X18" s="1"/>
      <c r="Y18" s="1"/>
    </row>
    <row r="19" spans="1:25" x14ac:dyDescent="0.2">
      <c r="A19" s="2" t="s">
        <v>244</v>
      </c>
      <c r="B19" s="2"/>
      <c r="C19" s="2"/>
      <c r="D19" s="2"/>
      <c r="E19" s="2"/>
      <c r="F19" s="2"/>
      <c r="G19" s="266">
        <f>923.89+210.65</f>
        <v>1134.54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f t="shared" si="0"/>
        <v>1134.54</v>
      </c>
      <c r="U19" s="2">
        <f t="shared" si="1"/>
        <v>0</v>
      </c>
      <c r="V19" s="2"/>
      <c r="W19" s="2">
        <f t="shared" si="2"/>
        <v>1134.54</v>
      </c>
      <c r="X19" s="1"/>
      <c r="Y19" s="1"/>
    </row>
    <row r="20" spans="1:25" x14ac:dyDescent="0.2">
      <c r="A20" s="2" t="s">
        <v>572</v>
      </c>
      <c r="B20" s="2"/>
      <c r="C20" s="2"/>
      <c r="D20" s="2"/>
      <c r="E20" s="2"/>
      <c r="F20" s="2"/>
      <c r="G20" s="26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f>SUM(B20+C20+D20+F20+G20+H20+I20+J20+K20+L20+M20+N20+O20+P20+Q20+R20+S20)</f>
        <v>0</v>
      </c>
      <c r="U20" s="2">
        <f>E20</f>
        <v>0</v>
      </c>
      <c r="V20" s="2"/>
      <c r="W20" s="2">
        <f>SUM(T20:V20)</f>
        <v>0</v>
      </c>
      <c r="X20" s="1"/>
      <c r="Y20" s="1"/>
    </row>
    <row r="21" spans="1:25" x14ac:dyDescent="0.2">
      <c r="A21" s="2" t="s">
        <v>561</v>
      </c>
      <c r="B21" s="2"/>
      <c r="C21" s="2"/>
      <c r="D21" s="2"/>
      <c r="E21" s="2"/>
      <c r="F21" s="2"/>
      <c r="G21" s="2"/>
      <c r="H21" s="2"/>
      <c r="I21" s="2"/>
      <c r="J21" s="266"/>
      <c r="K21" s="2"/>
      <c r="L21" s="2"/>
      <c r="M21" s="2"/>
      <c r="N21" s="2"/>
      <c r="O21" s="2"/>
      <c r="P21" s="2"/>
      <c r="Q21" s="2"/>
      <c r="R21" s="2"/>
      <c r="S21" s="2"/>
      <c r="T21" s="2">
        <f t="shared" si="0"/>
        <v>0</v>
      </c>
      <c r="U21" s="2">
        <f t="shared" si="1"/>
        <v>0</v>
      </c>
      <c r="V21" s="2"/>
      <c r="W21" s="2">
        <f t="shared" si="2"/>
        <v>0</v>
      </c>
      <c r="X21" s="1"/>
      <c r="Y21" s="1"/>
    </row>
    <row r="22" spans="1:25" x14ac:dyDescent="0.2">
      <c r="A22" s="1" t="s">
        <v>562</v>
      </c>
      <c r="B22" s="2"/>
      <c r="C22" s="2"/>
      <c r="D22" s="2"/>
      <c r="E22" s="2"/>
      <c r="F22" s="2"/>
      <c r="G22" s="2"/>
      <c r="H22" s="2"/>
      <c r="I22" s="2"/>
      <c r="J22" s="2"/>
      <c r="K22" s="266"/>
      <c r="L22" s="2"/>
      <c r="M22" s="2"/>
      <c r="N22" s="2"/>
      <c r="O22" s="2"/>
      <c r="P22" s="2"/>
      <c r="Q22" s="2"/>
      <c r="R22" s="2"/>
      <c r="S22" s="2"/>
      <c r="T22" s="2">
        <f t="shared" si="0"/>
        <v>0</v>
      </c>
      <c r="U22" s="2">
        <f t="shared" si="1"/>
        <v>0</v>
      </c>
      <c r="V22" s="2"/>
      <c r="W22" s="2">
        <f t="shared" si="2"/>
        <v>0</v>
      </c>
      <c r="X22" s="1"/>
      <c r="Y22" s="1"/>
    </row>
    <row r="23" spans="1:25" x14ac:dyDescent="0.2">
      <c r="A23" s="1" t="s">
        <v>574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66">
        <v>22.6</v>
      </c>
      <c r="N23" s="2"/>
      <c r="O23" s="2"/>
      <c r="P23" s="2"/>
      <c r="Q23" s="2"/>
      <c r="R23" s="2"/>
      <c r="S23" s="2"/>
      <c r="T23" s="2">
        <f t="shared" si="0"/>
        <v>22.6</v>
      </c>
      <c r="U23" s="2">
        <f t="shared" si="1"/>
        <v>0</v>
      </c>
      <c r="V23" s="2"/>
      <c r="W23" s="2">
        <f t="shared" si="2"/>
        <v>22.6</v>
      </c>
      <c r="X23" s="1"/>
      <c r="Y23" s="1"/>
    </row>
    <row r="24" spans="1:25" x14ac:dyDescent="0.2">
      <c r="A24" s="1" t="s">
        <v>563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6"/>
      <c r="P24" s="2"/>
      <c r="Q24" s="2"/>
      <c r="R24" s="2"/>
      <c r="S24" s="2"/>
      <c r="T24" s="2">
        <f t="shared" si="0"/>
        <v>0</v>
      </c>
      <c r="U24" s="2">
        <f t="shared" si="1"/>
        <v>0</v>
      </c>
      <c r="V24" s="2"/>
      <c r="W24" s="2">
        <f t="shared" si="2"/>
        <v>0</v>
      </c>
      <c r="X24" s="1"/>
      <c r="Y24" s="1"/>
    </row>
    <row r="25" spans="1:25" x14ac:dyDescent="0.2">
      <c r="A25" s="1" t="s">
        <v>249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66">
        <f>2520.23+905.52+695.5+1265.26+463.05+6770.5+1078.56+782.04+16.68+2134.19+1317.12+338.32+8698.75</f>
        <v>26985.72</v>
      </c>
      <c r="S25" s="2"/>
      <c r="T25" s="2">
        <f t="shared" si="0"/>
        <v>26985.72</v>
      </c>
      <c r="U25" s="2">
        <f t="shared" si="1"/>
        <v>0</v>
      </c>
      <c r="V25" s="2"/>
      <c r="W25" s="2">
        <f t="shared" si="2"/>
        <v>26985.72</v>
      </c>
      <c r="X25" s="1"/>
      <c r="Y25" s="1"/>
    </row>
    <row r="26" spans="1:25" x14ac:dyDescent="0.2">
      <c r="A26" s="1" t="s">
        <v>248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66">
        <v>78.87</v>
      </c>
      <c r="S26" s="2"/>
      <c r="T26" s="2">
        <f t="shared" si="0"/>
        <v>78.87</v>
      </c>
      <c r="U26" s="2">
        <f t="shared" si="1"/>
        <v>0</v>
      </c>
      <c r="V26" s="2"/>
      <c r="W26" s="2">
        <f t="shared" si="2"/>
        <v>78.87</v>
      </c>
      <c r="X26" s="1"/>
      <c r="Y26" s="1"/>
    </row>
    <row r="27" spans="1:25" x14ac:dyDescent="0.2">
      <c r="A27" s="1" t="s">
        <v>564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66">
        <v>4.9400000000000004</v>
      </c>
      <c r="S27" s="2"/>
      <c r="T27" s="2">
        <f t="shared" si="0"/>
        <v>4.9400000000000004</v>
      </c>
      <c r="U27" s="2">
        <f t="shared" si="1"/>
        <v>0</v>
      </c>
      <c r="V27" s="2"/>
      <c r="W27" s="2">
        <f t="shared" si="2"/>
        <v>4.9400000000000004</v>
      </c>
      <c r="X27" s="1"/>
      <c r="Y27" s="1"/>
    </row>
    <row r="28" spans="1:25" x14ac:dyDescent="0.2">
      <c r="X28" s="1"/>
      <c r="Y28" s="1"/>
    </row>
    <row r="29" spans="1:25" ht="25.5" customHeight="1" thickBot="1" x14ac:dyDescent="0.25">
      <c r="A29" s="21" t="s">
        <v>250</v>
      </c>
      <c r="B29" s="36">
        <f t="shared" ref="B29:W29" si="3">SUM(B8:B28)</f>
        <v>157.44</v>
      </c>
      <c r="C29" s="36">
        <f t="shared" si="3"/>
        <v>0</v>
      </c>
      <c r="D29" s="36">
        <f t="shared" si="3"/>
        <v>362230.65</v>
      </c>
      <c r="E29" s="36">
        <f t="shared" si="3"/>
        <v>739017.73</v>
      </c>
      <c r="F29" s="36">
        <f t="shared" si="3"/>
        <v>96.78</v>
      </c>
      <c r="G29" s="36">
        <f t="shared" si="3"/>
        <v>1134.54</v>
      </c>
      <c r="H29" s="36">
        <f t="shared" si="3"/>
        <v>0</v>
      </c>
      <c r="I29" s="36">
        <f t="shared" si="3"/>
        <v>0</v>
      </c>
      <c r="J29" s="36">
        <f t="shared" si="3"/>
        <v>0</v>
      </c>
      <c r="K29" s="36">
        <f t="shared" si="3"/>
        <v>0</v>
      </c>
      <c r="L29" s="36">
        <f t="shared" si="3"/>
        <v>0</v>
      </c>
      <c r="M29" s="36">
        <f t="shared" si="3"/>
        <v>22.6</v>
      </c>
      <c r="N29" s="36">
        <f t="shared" si="3"/>
        <v>0</v>
      </c>
      <c r="O29" s="36">
        <f t="shared" si="3"/>
        <v>0</v>
      </c>
      <c r="P29" s="36">
        <f t="shared" si="3"/>
        <v>0</v>
      </c>
      <c r="Q29" s="36">
        <f t="shared" si="3"/>
        <v>0</v>
      </c>
      <c r="R29" s="36">
        <f t="shared" si="3"/>
        <v>27069.53</v>
      </c>
      <c r="S29" s="36">
        <f t="shared" si="3"/>
        <v>0</v>
      </c>
      <c r="T29" s="36">
        <f t="shared" si="3"/>
        <v>390711.54</v>
      </c>
      <c r="U29" s="36">
        <f t="shared" si="3"/>
        <v>739017.73</v>
      </c>
      <c r="V29" s="36">
        <f t="shared" si="3"/>
        <v>0</v>
      </c>
      <c r="W29" s="36">
        <f t="shared" si="3"/>
        <v>1129729.27</v>
      </c>
      <c r="X29" s="2">
        <f>SUM(B29:S29)</f>
        <v>1129729.27</v>
      </c>
      <c r="Y29" s="1"/>
    </row>
    <row r="30" spans="1:25" hidden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33">
        <f>'s5'!F35</f>
        <v>1129729.27</v>
      </c>
      <c r="Y30" s="1"/>
    </row>
    <row r="31" spans="1:25" hidden="1" x14ac:dyDescent="0.2">
      <c r="A31" s="1"/>
      <c r="B31" s="7"/>
      <c r="C31" s="1"/>
      <c r="D31" s="253"/>
      <c r="E31" s="9"/>
      <c r="F31" s="9"/>
      <c r="G31" s="9"/>
      <c r="H31" s="1"/>
      <c r="I31" s="1"/>
      <c r="J31" s="14"/>
      <c r="K31" s="9"/>
      <c r="L31" s="9"/>
      <c r="M31" s="9"/>
      <c r="N31" s="9"/>
      <c r="O31" s="9"/>
      <c r="P31" s="14"/>
      <c r="Q31" s="9"/>
      <c r="R31" s="2"/>
      <c r="S31" s="1"/>
      <c r="T31" s="2"/>
      <c r="U31" s="2"/>
      <c r="V31" s="1"/>
      <c r="W31" s="2">
        <f>W29-X29</f>
        <v>0</v>
      </c>
      <c r="X31" s="133">
        <f>X29-X30</f>
        <v>0</v>
      </c>
      <c r="Y31" s="1"/>
    </row>
    <row r="32" spans="1:25" hidden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idden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</row>
  </sheetData>
  <phoneticPr fontId="0" type="noConversion"/>
  <printOptions horizontalCentered="1"/>
  <pageMargins left="0.2" right="0.19" top="0.82" bottom="1" header="0.5" footer="0.5"/>
  <pageSetup scale="7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I238"/>
  <sheetViews>
    <sheetView workbookViewId="0">
      <selection activeCell="T25" sqref="T25"/>
    </sheetView>
  </sheetViews>
  <sheetFormatPr defaultRowHeight="12.75" x14ac:dyDescent="0.2"/>
  <cols>
    <col min="1" max="1" width="18.42578125" customWidth="1"/>
    <col min="2" max="2" width="10.7109375" customWidth="1"/>
    <col min="3" max="3" width="9.7109375" customWidth="1"/>
    <col min="4" max="6" width="11.7109375" customWidth="1"/>
    <col min="7" max="7" width="11.7109375" hidden="1" customWidth="1"/>
    <col min="8" max="8" width="15.7109375" hidden="1" customWidth="1"/>
    <col min="9" max="9" width="12" hidden="1" customWidth="1"/>
    <col min="10" max="10" width="12" customWidth="1"/>
    <col min="11" max="11" width="11.85546875" hidden="1" customWidth="1"/>
    <col min="12" max="12" width="12.5703125" customWidth="1"/>
    <col min="14" max="14" width="18.7109375" customWidth="1"/>
    <col min="15" max="15" width="15.7109375" customWidth="1"/>
    <col min="16" max="16" width="12.7109375" customWidth="1"/>
    <col min="17" max="17" width="18.42578125" customWidth="1"/>
    <col min="18" max="18" width="14.85546875" customWidth="1"/>
    <col min="19" max="19" width="15.7109375" customWidth="1"/>
    <col min="20" max="22" width="16.28515625" customWidth="1"/>
    <col min="23" max="23" width="14.7109375" hidden="1" customWidth="1"/>
    <col min="24" max="24" width="12.42578125" customWidth="1"/>
    <col min="25" max="26" width="10.7109375" customWidth="1"/>
    <col min="31" max="31" width="10" customWidth="1"/>
    <col min="32" max="32" width="11.7109375" customWidth="1"/>
    <col min="33" max="34" width="12.5703125" customWidth="1"/>
    <col min="35" max="35" width="11.5703125" customWidth="1"/>
  </cols>
  <sheetData>
    <row r="1" spans="1:35" ht="15.75" x14ac:dyDescent="0.25">
      <c r="A1" s="111" t="s">
        <v>251</v>
      </c>
      <c r="B1" s="68"/>
      <c r="N1" s="68" t="s">
        <v>360</v>
      </c>
      <c r="O1" s="68"/>
      <c r="AD1" s="16"/>
      <c r="AE1" s="5"/>
      <c r="AF1" s="5"/>
      <c r="AG1" s="5"/>
      <c r="AH1" s="5"/>
    </row>
    <row r="2" spans="1:35" ht="15.75" x14ac:dyDescent="0.25">
      <c r="A2" s="122" t="str">
        <f>ReportMonth</f>
        <v>DECEMBER 2004</v>
      </c>
      <c r="B2" s="68" t="s">
        <v>86</v>
      </c>
      <c r="N2" s="123" t="str">
        <f>ReportMonth</f>
        <v>DECEMBER 2004</v>
      </c>
      <c r="O2" s="68" t="s">
        <v>86</v>
      </c>
      <c r="AD2" s="16"/>
      <c r="AE2" s="5"/>
      <c r="AF2" s="5"/>
      <c r="AG2" s="5"/>
      <c r="AH2" s="5"/>
    </row>
    <row r="3" spans="1:35" ht="21.75" customHeight="1" x14ac:dyDescent="0.25">
      <c r="A3" s="66" t="s">
        <v>252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N3" s="96" t="s">
        <v>253</v>
      </c>
      <c r="O3" s="43"/>
      <c r="P3" s="43"/>
      <c r="Q3" s="43"/>
      <c r="R3" s="43"/>
      <c r="S3" s="43"/>
      <c r="T3" s="43"/>
      <c r="U3" s="43"/>
      <c r="V3" s="43"/>
      <c r="AD3" s="16"/>
      <c r="AE3" s="5"/>
      <c r="AF3" s="5"/>
      <c r="AG3" s="5"/>
      <c r="AH3" s="5"/>
      <c r="AI3" s="24"/>
    </row>
    <row r="4" spans="1:35" ht="27" customHeight="1" x14ac:dyDescent="0.2">
      <c r="S4" s="24" t="s">
        <v>346</v>
      </c>
      <c r="T4" s="121"/>
      <c r="U4" s="121"/>
      <c r="V4" s="406" t="s">
        <v>255</v>
      </c>
      <c r="AD4" s="16"/>
      <c r="AE4" s="5"/>
      <c r="AF4" s="5"/>
      <c r="AG4" s="5"/>
      <c r="AH4" s="5"/>
      <c r="AI4" s="24"/>
    </row>
    <row r="5" spans="1:35" x14ac:dyDescent="0.2">
      <c r="B5" s="6" t="s">
        <v>257</v>
      </c>
      <c r="C5" s="29"/>
      <c r="D5" s="29"/>
      <c r="E5" s="29"/>
      <c r="F5" s="29"/>
      <c r="G5" s="29" t="s">
        <v>498</v>
      </c>
      <c r="H5" s="29"/>
      <c r="I5" s="29"/>
      <c r="J5" s="29"/>
      <c r="L5" s="29" t="s">
        <v>12</v>
      </c>
      <c r="M5" s="29"/>
      <c r="N5" s="29"/>
      <c r="O5" s="124" t="s">
        <v>258</v>
      </c>
      <c r="Q5" s="120" t="s">
        <v>259</v>
      </c>
      <c r="R5" s="6"/>
      <c r="S5" s="5" t="s">
        <v>260</v>
      </c>
      <c r="T5" s="5" t="s">
        <v>260</v>
      </c>
      <c r="U5" s="5" t="s">
        <v>347</v>
      </c>
      <c r="V5" s="6" t="s">
        <v>496</v>
      </c>
      <c r="W5" s="24" t="s">
        <v>254</v>
      </c>
      <c r="X5" s="16"/>
    </row>
    <row r="6" spans="1:35" ht="12" customHeight="1" x14ac:dyDescent="0.2">
      <c r="B6" s="39" t="s">
        <v>261</v>
      </c>
      <c r="C6" s="39" t="s">
        <v>262</v>
      </c>
      <c r="D6" s="39" t="s">
        <v>263</v>
      </c>
      <c r="E6" s="39" t="s">
        <v>609</v>
      </c>
      <c r="F6" s="39" t="s">
        <v>588</v>
      </c>
      <c r="G6" s="39" t="s">
        <v>499</v>
      </c>
      <c r="H6" s="39" t="s">
        <v>264</v>
      </c>
      <c r="I6" s="39" t="s">
        <v>576</v>
      </c>
      <c r="J6" s="39" t="s">
        <v>371</v>
      </c>
      <c r="K6" s="6" t="s">
        <v>573</v>
      </c>
      <c r="L6" s="93" t="s">
        <v>5</v>
      </c>
      <c r="M6" s="29"/>
      <c r="N6" s="29"/>
      <c r="O6" s="125" t="s">
        <v>214</v>
      </c>
      <c r="P6" s="6" t="s">
        <v>153</v>
      </c>
      <c r="Q6" s="125" t="s">
        <v>266</v>
      </c>
      <c r="R6" s="125" t="s">
        <v>267</v>
      </c>
      <c r="S6" s="138" t="s">
        <v>268</v>
      </c>
      <c r="T6" s="138" t="s">
        <v>8</v>
      </c>
      <c r="U6" s="138" t="s">
        <v>348</v>
      </c>
      <c r="V6" s="404" t="s">
        <v>269</v>
      </c>
      <c r="W6" s="61" t="s">
        <v>256</v>
      </c>
      <c r="AH6" s="24"/>
    </row>
    <row r="7" spans="1:35" x14ac:dyDescent="0.2">
      <c r="B7" s="38" t="s">
        <v>270</v>
      </c>
      <c r="C7" s="38" t="s">
        <v>270</v>
      </c>
      <c r="D7" s="38" t="s">
        <v>271</v>
      </c>
      <c r="E7" s="38" t="s">
        <v>464</v>
      </c>
      <c r="F7" s="38" t="s">
        <v>272</v>
      </c>
      <c r="G7" s="38" t="s">
        <v>270</v>
      </c>
      <c r="H7" s="38" t="s">
        <v>272</v>
      </c>
      <c r="I7" s="38" t="s">
        <v>577</v>
      </c>
      <c r="J7" s="38" t="s">
        <v>372</v>
      </c>
      <c r="K7" s="39" t="s">
        <v>273</v>
      </c>
      <c r="L7" s="38" t="s">
        <v>12</v>
      </c>
      <c r="M7" s="29"/>
      <c r="N7" s="29"/>
      <c r="O7" s="139" t="s">
        <v>274</v>
      </c>
      <c r="P7" s="140" t="s">
        <v>265</v>
      </c>
      <c r="Q7" s="139" t="s">
        <v>345</v>
      </c>
      <c r="R7" s="139" t="s">
        <v>275</v>
      </c>
      <c r="S7" s="141" t="s">
        <v>155</v>
      </c>
      <c r="T7" s="141" t="s">
        <v>10</v>
      </c>
      <c r="U7" s="141" t="s">
        <v>155</v>
      </c>
      <c r="V7" s="405" t="s">
        <v>276</v>
      </c>
      <c r="X7" s="6"/>
      <c r="Y7" s="6"/>
      <c r="Z7" s="6"/>
      <c r="AB7" s="5"/>
    </row>
    <row r="8" spans="1:35" ht="30" customHeight="1" x14ac:dyDescent="0.2">
      <c r="A8" s="16" t="s">
        <v>136</v>
      </c>
      <c r="B8" s="7"/>
      <c r="C8" s="7"/>
      <c r="D8" s="7">
        <v>8042</v>
      </c>
      <c r="E8" s="7"/>
      <c r="F8" s="7"/>
      <c r="G8" s="7"/>
      <c r="H8" s="7"/>
      <c r="I8" s="7"/>
      <c r="J8" s="7"/>
      <c r="K8" s="7"/>
      <c r="L8" s="7">
        <f t="shared" ref="L8:L22" si="0">SUM(B8:J8)</f>
        <v>8042</v>
      </c>
      <c r="N8" s="16" t="s">
        <v>136</v>
      </c>
      <c r="O8" s="2">
        <f>SUM(AvCaGals*0.0196)</f>
        <v>157.62</v>
      </c>
      <c r="P8" s="15"/>
      <c r="Q8" s="31">
        <f>AvCaBase/AVGAS10.5</f>
        <v>4.6168000000000001E-2</v>
      </c>
      <c r="R8" s="101">
        <f>CAP*AvCaPer</f>
        <v>157.62</v>
      </c>
      <c r="S8" s="2">
        <f>AvCaBase-AvCaDed</f>
        <v>0</v>
      </c>
      <c r="T8" s="101"/>
      <c r="U8" s="101">
        <f t="shared" ref="U8:U24" si="1">S8+T8</f>
        <v>0</v>
      </c>
      <c r="V8" s="101"/>
      <c r="X8" s="2"/>
      <c r="Y8" s="2"/>
      <c r="Z8" s="2"/>
      <c r="AB8" s="1"/>
      <c r="AC8" s="2"/>
      <c r="AD8" s="2"/>
      <c r="AE8" s="2"/>
      <c r="AF8" s="11"/>
      <c r="AG8" s="2"/>
      <c r="AH8" s="2"/>
    </row>
    <row r="9" spans="1:35" x14ac:dyDescent="0.2">
      <c r="A9" s="16" t="s">
        <v>137</v>
      </c>
      <c r="B9" s="7"/>
      <c r="C9" s="7"/>
      <c r="D9" s="7"/>
      <c r="E9" s="7"/>
      <c r="F9" s="7"/>
      <c r="G9" s="7"/>
      <c r="H9" s="7"/>
      <c r="I9" s="7"/>
      <c r="J9" s="7"/>
      <c r="K9" s="7"/>
      <c r="L9" s="7">
        <f t="shared" si="0"/>
        <v>0</v>
      </c>
      <c r="N9" s="16" t="s">
        <v>137</v>
      </c>
      <c r="O9" s="2">
        <f>SUM(AvChGals*0.0196)</f>
        <v>0</v>
      </c>
      <c r="P9" s="15"/>
      <c r="Q9" s="31">
        <f>AvChBase/AVGAS10.5</f>
        <v>0</v>
      </c>
      <c r="R9" s="101">
        <f>CAP*AvChPer</f>
        <v>0</v>
      </c>
      <c r="S9" s="2">
        <f>AvChBase-AvChDed</f>
        <v>0</v>
      </c>
      <c r="T9" s="101"/>
      <c r="U9" s="101">
        <f t="shared" si="1"/>
        <v>0</v>
      </c>
      <c r="V9" s="101"/>
      <c r="X9" s="2"/>
      <c r="Y9" s="2"/>
      <c r="Z9" s="2"/>
      <c r="AB9" s="1"/>
      <c r="AC9" s="2"/>
      <c r="AD9" s="2"/>
      <c r="AE9" s="2"/>
      <c r="AF9" s="11"/>
      <c r="AG9" s="2"/>
      <c r="AH9" s="2"/>
    </row>
    <row r="10" spans="1:35" x14ac:dyDescent="0.2">
      <c r="A10" s="16" t="s">
        <v>138</v>
      </c>
      <c r="B10" s="7">
        <v>114339</v>
      </c>
      <c r="C10" s="7"/>
      <c r="D10" s="7"/>
      <c r="E10" s="7">
        <v>4630</v>
      </c>
      <c r="F10" s="7"/>
      <c r="G10" s="7"/>
      <c r="H10" s="7"/>
      <c r="I10" s="7"/>
      <c r="J10" s="7">
        <v>5308</v>
      </c>
      <c r="K10" s="7"/>
      <c r="L10" s="7">
        <f t="shared" si="0"/>
        <v>124277</v>
      </c>
      <c r="N10" s="16" t="s">
        <v>138</v>
      </c>
      <c r="O10" s="2">
        <f>SUM(AvClGals*0.0196)</f>
        <v>2435.83</v>
      </c>
      <c r="P10" s="15"/>
      <c r="Q10" s="31">
        <f>AvClBase/AVGAS10.5</f>
        <v>0.71346799999999999</v>
      </c>
      <c r="R10" s="101">
        <f>CAP*AvClPer</f>
        <v>2435.83</v>
      </c>
      <c r="S10" s="2">
        <f>AvClBase-AvClDed</f>
        <v>0</v>
      </c>
      <c r="T10" s="101"/>
      <c r="U10" s="101">
        <f t="shared" si="1"/>
        <v>0</v>
      </c>
      <c r="V10" s="101"/>
      <c r="X10" s="2"/>
      <c r="Y10" s="2"/>
      <c r="Z10" s="2"/>
      <c r="AB10" s="1"/>
      <c r="AC10" s="2"/>
      <c r="AD10" s="2"/>
      <c r="AE10" s="2"/>
      <c r="AF10" s="11"/>
      <c r="AG10" s="2"/>
      <c r="AH10" s="2"/>
    </row>
    <row r="11" spans="1:35" x14ac:dyDescent="0.2">
      <c r="A11" s="16" t="s">
        <v>139</v>
      </c>
      <c r="B11" s="7"/>
      <c r="C11" s="7">
        <v>8504</v>
      </c>
      <c r="D11" s="7"/>
      <c r="E11" s="7"/>
      <c r="F11" s="7"/>
      <c r="G11" s="7"/>
      <c r="H11" s="7"/>
      <c r="I11" s="7"/>
      <c r="J11" s="7"/>
      <c r="K11" s="7"/>
      <c r="L11" s="7">
        <f t="shared" si="0"/>
        <v>8504</v>
      </c>
      <c r="N11" s="16" t="s">
        <v>139</v>
      </c>
      <c r="O11" s="78">
        <f>SUM(AvDoGals*0.0196)</f>
        <v>166.68</v>
      </c>
      <c r="P11" s="15">
        <v>0</v>
      </c>
      <c r="Q11" s="31">
        <f>AvDoBase/AVGAS10.5</f>
        <v>4.8821000000000003E-2</v>
      </c>
      <c r="R11" s="101">
        <f>CAP*AvDoPer</f>
        <v>166.68</v>
      </c>
      <c r="S11" s="2">
        <f>AvDoBase-AvDoDed</f>
        <v>0</v>
      </c>
      <c r="T11" s="101">
        <v>680.32</v>
      </c>
      <c r="U11" s="101">
        <f t="shared" si="1"/>
        <v>680.32</v>
      </c>
      <c r="V11" s="101">
        <f>1975.52+680.32</f>
        <v>2655.84</v>
      </c>
      <c r="X11" s="2"/>
      <c r="Y11" s="2"/>
      <c r="Z11" s="2"/>
      <c r="AB11" s="1"/>
      <c r="AC11" s="2"/>
      <c r="AD11" s="2"/>
      <c r="AE11" s="2"/>
      <c r="AF11" s="11"/>
      <c r="AG11" s="2"/>
      <c r="AH11" s="2"/>
    </row>
    <row r="12" spans="1:35" x14ac:dyDescent="0.2">
      <c r="A12" s="16" t="s">
        <v>140</v>
      </c>
      <c r="B12" s="7"/>
      <c r="C12" s="7"/>
      <c r="D12" s="7">
        <v>8104</v>
      </c>
      <c r="E12" s="7"/>
      <c r="F12" s="7"/>
      <c r="G12" s="7"/>
      <c r="H12" s="7"/>
      <c r="I12" s="7"/>
      <c r="J12" s="7"/>
      <c r="K12" s="7"/>
      <c r="L12" s="7">
        <f t="shared" si="0"/>
        <v>8104</v>
      </c>
      <c r="N12" s="16" t="s">
        <v>140</v>
      </c>
      <c r="O12" s="2">
        <f>SUM(AvElGals*0.0196)</f>
        <v>158.84</v>
      </c>
      <c r="P12" s="15"/>
      <c r="Q12" s="31">
        <f>AvElBase/AVGAS10.5</f>
        <v>4.6524999999999997E-2</v>
      </c>
      <c r="R12" s="101">
        <f>CAP*AvElPer</f>
        <v>158.84</v>
      </c>
      <c r="S12" s="2">
        <f>AvElBase-AvElDed</f>
        <v>0</v>
      </c>
      <c r="T12" s="101">
        <f>AvElGals*0.08</f>
        <v>648.32000000000005</v>
      </c>
      <c r="U12" s="101">
        <f t="shared" si="1"/>
        <v>648.32000000000005</v>
      </c>
      <c r="V12" s="101">
        <f>648.32</f>
        <v>648.32000000000005</v>
      </c>
      <c r="X12" s="2"/>
      <c r="Y12" s="2"/>
      <c r="Z12" s="2"/>
      <c r="AB12" s="1"/>
      <c r="AC12" s="2"/>
      <c r="AD12" s="2"/>
      <c r="AE12" s="2"/>
      <c r="AF12" s="11"/>
      <c r="AG12" s="2"/>
      <c r="AH12" s="2"/>
    </row>
    <row r="13" spans="1:35" x14ac:dyDescent="0.2">
      <c r="A13" s="16" t="s">
        <v>141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>
        <f t="shared" si="0"/>
        <v>0</v>
      </c>
      <c r="N13" s="16" t="s">
        <v>141</v>
      </c>
      <c r="O13" s="2">
        <f>SUM(AvEsGals*0.0196)</f>
        <v>0</v>
      </c>
      <c r="P13" s="15"/>
      <c r="Q13" s="31">
        <f>AvEsBase/AVGAS10.5</f>
        <v>0</v>
      </c>
      <c r="R13" s="101">
        <f>CAP*AvEsPer</f>
        <v>0</v>
      </c>
      <c r="S13" s="2">
        <f>AvEsBase-AvEsDed</f>
        <v>0</v>
      </c>
      <c r="T13" s="101"/>
      <c r="U13" s="101">
        <f t="shared" si="1"/>
        <v>0</v>
      </c>
      <c r="V13" s="101"/>
      <c r="X13" s="2"/>
      <c r="Y13" s="2"/>
      <c r="Z13" s="2"/>
      <c r="AB13" s="1"/>
      <c r="AC13" s="2"/>
      <c r="AD13" s="2"/>
      <c r="AE13" s="2"/>
      <c r="AF13" s="11"/>
      <c r="AG13" s="2"/>
      <c r="AH13" s="2"/>
    </row>
    <row r="14" spans="1:35" x14ac:dyDescent="0.2">
      <c r="A14" s="16" t="s">
        <v>142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>
        <f t="shared" si="0"/>
        <v>0</v>
      </c>
      <c r="N14" s="16" t="s">
        <v>142</v>
      </c>
      <c r="O14" s="2">
        <f>SUM(AvEuGals*0.0196)</f>
        <v>0</v>
      </c>
      <c r="P14" s="15"/>
      <c r="Q14" s="31">
        <f>AvEuBase/AVGAS10.5</f>
        <v>0</v>
      </c>
      <c r="R14" s="101">
        <f>CAP*AvEuPer</f>
        <v>0</v>
      </c>
      <c r="S14" s="2">
        <f>AvEuBase-AvEuDed</f>
        <v>0</v>
      </c>
      <c r="T14" s="101"/>
      <c r="U14" s="101">
        <f t="shared" si="1"/>
        <v>0</v>
      </c>
      <c r="V14" s="101"/>
      <c r="X14" s="2"/>
      <c r="Y14" s="2"/>
      <c r="Z14" s="2"/>
      <c r="AB14" s="1"/>
      <c r="AC14" s="2"/>
      <c r="AD14" s="2"/>
      <c r="AE14" s="2"/>
      <c r="AF14" s="11"/>
      <c r="AG14" s="2"/>
      <c r="AH14" s="2"/>
    </row>
    <row r="15" spans="1:35" x14ac:dyDescent="0.2">
      <c r="A15" s="16" t="s">
        <v>143</v>
      </c>
      <c r="B15" s="7"/>
      <c r="C15" s="7">
        <v>4061</v>
      </c>
      <c r="D15" s="7"/>
      <c r="E15" s="7"/>
      <c r="F15" s="7"/>
      <c r="G15" s="7"/>
      <c r="H15" s="7"/>
      <c r="I15" s="7"/>
      <c r="J15" s="7"/>
      <c r="K15" s="7"/>
      <c r="L15" s="7">
        <f t="shared" si="0"/>
        <v>4061</v>
      </c>
      <c r="N15" s="16" t="s">
        <v>143</v>
      </c>
      <c r="O15" s="2">
        <f>SUM(AvHuGals*0.0196)</f>
        <v>79.599999999999994</v>
      </c>
      <c r="P15" s="15"/>
      <c r="Q15" s="31">
        <f>AvHuBase/AVGAS10.5</f>
        <v>2.3314999999999999E-2</v>
      </c>
      <c r="R15" s="101">
        <f>CAP*AvHuPer</f>
        <v>79.599999999999994</v>
      </c>
      <c r="S15" s="2">
        <f>AvHuBase-AvHuDed</f>
        <v>0</v>
      </c>
      <c r="T15" s="101">
        <f>AvHuGals*0.08</f>
        <v>324.88</v>
      </c>
      <c r="U15" s="101">
        <f t="shared" si="1"/>
        <v>324.88</v>
      </c>
      <c r="V15" s="101">
        <f>557.44+323.04+324.88</f>
        <v>1205.3599999999999</v>
      </c>
      <c r="X15" s="2"/>
      <c r="Y15" s="2"/>
      <c r="Z15" s="2"/>
      <c r="AB15" s="1"/>
      <c r="AC15" s="2"/>
      <c r="AD15" s="2"/>
      <c r="AE15" s="2"/>
      <c r="AF15" s="11"/>
      <c r="AG15" s="2"/>
      <c r="AH15" s="2"/>
    </row>
    <row r="16" spans="1:35" x14ac:dyDescent="0.2">
      <c r="A16" s="16" t="s">
        <v>144</v>
      </c>
      <c r="B16" s="7"/>
      <c r="C16" s="7">
        <v>4059</v>
      </c>
      <c r="D16" s="7"/>
      <c r="E16" s="7"/>
      <c r="F16" s="7"/>
      <c r="G16" s="7"/>
      <c r="H16" s="7"/>
      <c r="I16" s="7"/>
      <c r="J16" s="7"/>
      <c r="K16" s="7"/>
      <c r="L16" s="7">
        <f t="shared" si="0"/>
        <v>4059</v>
      </c>
      <c r="N16" s="16" t="s">
        <v>144</v>
      </c>
      <c r="O16" s="2">
        <f>SUM(AvLaGals*0.0196)</f>
        <v>79.56</v>
      </c>
      <c r="P16" s="15"/>
      <c r="Q16" s="31">
        <f>AvLaBase/AVGAS10.5</f>
        <v>2.3303999999999998E-2</v>
      </c>
      <c r="R16" s="101">
        <f>CAP*AvLaPer</f>
        <v>79.56</v>
      </c>
      <c r="S16" s="2">
        <f>AvLaBase-AvLaDed</f>
        <v>0</v>
      </c>
      <c r="T16" s="101"/>
      <c r="U16" s="101">
        <f t="shared" si="1"/>
        <v>0</v>
      </c>
      <c r="V16" s="101"/>
      <c r="X16" s="2"/>
      <c r="Y16" s="2"/>
      <c r="Z16" s="2"/>
      <c r="AB16" s="1"/>
      <c r="AC16" s="2"/>
      <c r="AD16" s="2"/>
      <c r="AE16" s="2"/>
      <c r="AF16" s="11"/>
      <c r="AG16" s="2"/>
      <c r="AH16" s="2"/>
    </row>
    <row r="17" spans="1:35" x14ac:dyDescent="0.2">
      <c r="A17" s="16" t="s">
        <v>145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>
        <f t="shared" si="0"/>
        <v>0</v>
      </c>
      <c r="N17" s="16" t="s">
        <v>145</v>
      </c>
      <c r="O17" s="2">
        <f>SUM(AvLiGals*0.0196)</f>
        <v>0</v>
      </c>
      <c r="P17" s="15"/>
      <c r="Q17" s="31">
        <f>AvLiBase/AVGAS10.5</f>
        <v>0</v>
      </c>
      <c r="R17" s="101">
        <f>CAP*AvLiPer</f>
        <v>0</v>
      </c>
      <c r="S17" s="2">
        <f>AvLiBase-AvLiDed</f>
        <v>0</v>
      </c>
      <c r="T17" s="101"/>
      <c r="U17" s="101">
        <f t="shared" si="1"/>
        <v>0</v>
      </c>
      <c r="V17" s="101"/>
      <c r="X17" s="2"/>
      <c r="Y17" s="2"/>
      <c r="Z17" s="2"/>
      <c r="AB17" s="1"/>
      <c r="AC17" s="2"/>
      <c r="AD17" s="2"/>
      <c r="AE17" s="2"/>
      <c r="AF17" s="11"/>
      <c r="AG17" s="2"/>
      <c r="AH17" s="2"/>
    </row>
    <row r="18" spans="1:35" x14ac:dyDescent="0.2">
      <c r="A18" s="16" t="s">
        <v>146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>
        <f t="shared" si="0"/>
        <v>0</v>
      </c>
      <c r="N18" s="16" t="s">
        <v>146</v>
      </c>
      <c r="O18" s="2">
        <f>SUM(AvLyGals*0.0196)</f>
        <v>0</v>
      </c>
      <c r="P18" s="15"/>
      <c r="Q18" s="31">
        <f>AvLyBase/AVGAS10.5</f>
        <v>0</v>
      </c>
      <c r="R18" s="101">
        <f>CAP*AvLyPer</f>
        <v>0</v>
      </c>
      <c r="S18" s="2">
        <f>AvLyBase-AvLyDed</f>
        <v>0</v>
      </c>
      <c r="T18" s="101"/>
      <c r="U18" s="101">
        <f t="shared" si="1"/>
        <v>0</v>
      </c>
      <c r="V18" s="101"/>
      <c r="X18" s="2"/>
      <c r="Y18" s="2"/>
      <c r="Z18" s="2"/>
      <c r="AB18" s="1"/>
      <c r="AC18" s="2"/>
      <c r="AD18" s="2"/>
      <c r="AE18" s="2"/>
      <c r="AF18" s="11"/>
      <c r="AG18" s="2"/>
      <c r="AH18" s="2"/>
    </row>
    <row r="19" spans="1:35" x14ac:dyDescent="0.2">
      <c r="A19" s="16" t="s">
        <v>147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>
        <f t="shared" si="0"/>
        <v>0</v>
      </c>
      <c r="N19" s="16" t="s">
        <v>147</v>
      </c>
      <c r="O19" s="2">
        <f>SUM(AvMiGals*0.0196)</f>
        <v>0</v>
      </c>
      <c r="P19" s="15"/>
      <c r="Q19" s="31">
        <f>AvMiBase/AVGAS10.5</f>
        <v>0</v>
      </c>
      <c r="R19" s="101">
        <f>CAP*AvMiPer</f>
        <v>0</v>
      </c>
      <c r="S19" s="2">
        <f>AvMiBase-AvMiDed</f>
        <v>0</v>
      </c>
      <c r="T19" s="101"/>
      <c r="U19" s="101">
        <f t="shared" si="1"/>
        <v>0</v>
      </c>
      <c r="V19" s="101"/>
      <c r="X19" s="2"/>
      <c r="Y19" s="2"/>
      <c r="Z19" s="2"/>
      <c r="AB19" s="1"/>
      <c r="AC19" s="2"/>
      <c r="AD19" s="2"/>
      <c r="AE19" s="2"/>
      <c r="AF19" s="11"/>
      <c r="AG19" s="2"/>
      <c r="AH19" s="2"/>
    </row>
    <row r="20" spans="1:35" x14ac:dyDescent="0.2">
      <c r="A20" s="16" t="s">
        <v>148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>
        <f t="shared" si="0"/>
        <v>0</v>
      </c>
      <c r="N20" s="16" t="s">
        <v>148</v>
      </c>
      <c r="O20" s="2">
        <f>SUM(AvNyGals*0.0196)</f>
        <v>0</v>
      </c>
      <c r="P20" s="15"/>
      <c r="Q20" s="31">
        <f>AvNyBase/AVGAS10.5</f>
        <v>0</v>
      </c>
      <c r="R20" s="101">
        <f>CAP*AvNyPer</f>
        <v>0</v>
      </c>
      <c r="S20" s="2">
        <f>AvNyBase-AvNyDed</f>
        <v>0</v>
      </c>
      <c r="T20" s="101"/>
      <c r="U20" s="101">
        <f t="shared" si="1"/>
        <v>0</v>
      </c>
      <c r="V20" s="101"/>
      <c r="X20" s="2"/>
      <c r="Y20" s="2"/>
      <c r="Z20" s="2"/>
      <c r="AB20" s="1"/>
      <c r="AC20" s="2"/>
      <c r="AD20" s="2"/>
      <c r="AE20" s="2"/>
      <c r="AF20" s="11"/>
      <c r="AG20" s="2"/>
      <c r="AH20" s="2"/>
    </row>
    <row r="21" spans="1:35" x14ac:dyDescent="0.2">
      <c r="A21" s="16" t="s">
        <v>149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>
        <f t="shared" si="0"/>
        <v>0</v>
      </c>
      <c r="N21" s="16" t="s">
        <v>149</v>
      </c>
      <c r="O21" s="2">
        <f>SUM(AvPeGals*0.0196)</f>
        <v>0</v>
      </c>
      <c r="P21" s="15"/>
      <c r="Q21" s="31">
        <f>AvPeBase/AVGAS10.5</f>
        <v>0</v>
      </c>
      <c r="R21" s="101">
        <f>CAP*AvPePer</f>
        <v>0</v>
      </c>
      <c r="S21" s="2">
        <f>AvPeBase-AvPeDed</f>
        <v>0</v>
      </c>
      <c r="T21" s="101"/>
      <c r="U21" s="101">
        <f t="shared" si="1"/>
        <v>0</v>
      </c>
      <c r="V21" s="101"/>
      <c r="X21" s="2"/>
      <c r="Y21" s="2"/>
      <c r="Z21" s="2"/>
      <c r="AB21" s="1"/>
      <c r="AC21" s="2"/>
      <c r="AD21" s="2"/>
      <c r="AE21" s="2"/>
      <c r="AF21" s="11"/>
      <c r="AG21" s="2"/>
      <c r="AH21" s="2"/>
    </row>
    <row r="22" spans="1:35" x14ac:dyDescent="0.2">
      <c r="A22" s="16" t="s">
        <v>150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>
        <f t="shared" si="0"/>
        <v>0</v>
      </c>
      <c r="N22" s="16" t="s">
        <v>150</v>
      </c>
      <c r="O22" s="2">
        <f>SUM(AvStGals*0.0196)</f>
        <v>0</v>
      </c>
      <c r="P22" s="15"/>
      <c r="Q22" s="31">
        <f>AvStBase/AVGAS10.5</f>
        <v>0</v>
      </c>
      <c r="R22" s="101">
        <f>CAP*AvStPer</f>
        <v>0</v>
      </c>
      <c r="S22" s="2">
        <f>AvStBase-AvStDed</f>
        <v>0</v>
      </c>
      <c r="T22" s="101"/>
      <c r="U22" s="101">
        <f t="shared" si="1"/>
        <v>0</v>
      </c>
      <c r="V22" s="101"/>
      <c r="X22" s="2"/>
      <c r="Y22" s="2"/>
      <c r="Z22" s="2"/>
      <c r="AB22" s="1"/>
      <c r="AC22" s="2"/>
      <c r="AD22" s="2"/>
      <c r="AE22" s="2"/>
      <c r="AF22" s="11"/>
      <c r="AG22" s="2"/>
      <c r="AH22" s="2"/>
    </row>
    <row r="23" spans="1:35" x14ac:dyDescent="0.2">
      <c r="A23" s="16" t="s">
        <v>151</v>
      </c>
      <c r="B23" s="7"/>
      <c r="C23" s="7">
        <v>8021</v>
      </c>
      <c r="D23" s="7"/>
      <c r="E23" s="7"/>
      <c r="F23" s="7">
        <v>9119</v>
      </c>
      <c r="G23" s="7"/>
      <c r="H23" s="7"/>
      <c r="I23" s="7"/>
      <c r="J23" s="7"/>
      <c r="K23" s="7"/>
      <c r="L23" s="7">
        <f>SUM(B23:K23)</f>
        <v>17140</v>
      </c>
      <c r="N23" s="16" t="s">
        <v>151</v>
      </c>
      <c r="O23" s="2">
        <f>SUM(AvWaGals*0.0196)</f>
        <v>335.94</v>
      </c>
      <c r="P23" s="15"/>
      <c r="Q23" s="31">
        <f>AvWaBase/AVGAS10.5</f>
        <v>9.8399E-2</v>
      </c>
      <c r="R23" s="101">
        <f>CAP*AvWaPer</f>
        <v>335.94</v>
      </c>
      <c r="S23" s="2">
        <f>AvWaBase-AvWaDed</f>
        <v>0</v>
      </c>
      <c r="T23" s="101"/>
      <c r="U23" s="101">
        <f t="shared" si="1"/>
        <v>0</v>
      </c>
      <c r="V23" s="101"/>
      <c r="X23" s="2"/>
      <c r="Y23" s="2"/>
      <c r="Z23" s="2"/>
      <c r="AB23" s="1"/>
      <c r="AC23" s="2"/>
      <c r="AD23" s="2"/>
      <c r="AE23" s="2"/>
      <c r="AF23" s="11"/>
      <c r="AG23" s="2"/>
      <c r="AH23" s="2"/>
    </row>
    <row r="24" spans="1:35" x14ac:dyDescent="0.2">
      <c r="A24" s="16" t="s">
        <v>152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>
        <f>SUM(B24:J24)</f>
        <v>0</v>
      </c>
      <c r="N24" s="16" t="s">
        <v>152</v>
      </c>
      <c r="O24" s="33">
        <f>SUM(AvWhGals*0.0196)</f>
        <v>0</v>
      </c>
      <c r="P24" s="48"/>
      <c r="Q24" s="49">
        <f>AvWhBase/AVGAS10.5</f>
        <v>0</v>
      </c>
      <c r="R24" s="102">
        <f>CAP*AvWhPer</f>
        <v>0</v>
      </c>
      <c r="S24" s="33">
        <f>AvWhBase-AvWhDed</f>
        <v>0</v>
      </c>
      <c r="T24" s="102"/>
      <c r="U24" s="102">
        <f t="shared" si="1"/>
        <v>0</v>
      </c>
      <c r="V24" s="102"/>
      <c r="W24" s="95"/>
      <c r="X24" s="2"/>
      <c r="Y24" s="2"/>
      <c r="Z24" s="2"/>
      <c r="AB24" s="1"/>
      <c r="AC24" s="2"/>
      <c r="AD24" s="2"/>
      <c r="AE24" s="33"/>
      <c r="AF24" s="95"/>
      <c r="AG24" s="33"/>
      <c r="AH24" s="2"/>
    </row>
    <row r="25" spans="1:35" ht="24" customHeight="1" thickBot="1" x14ac:dyDescent="0.25">
      <c r="A25" s="94" t="s">
        <v>12</v>
      </c>
      <c r="B25" s="34">
        <f>SUM(B8:B24)</f>
        <v>114339</v>
      </c>
      <c r="C25" s="34">
        <f>SUM(C8:C24)</f>
        <v>24645</v>
      </c>
      <c r="D25" s="34">
        <f t="shared" ref="D25:K25" si="2">SUM(D8:D24)</f>
        <v>16146</v>
      </c>
      <c r="E25" s="34">
        <f t="shared" si="2"/>
        <v>4630</v>
      </c>
      <c r="F25" s="34">
        <f t="shared" si="2"/>
        <v>9119</v>
      </c>
      <c r="G25" s="34">
        <f t="shared" si="2"/>
        <v>0</v>
      </c>
      <c r="H25" s="34">
        <f t="shared" si="2"/>
        <v>0</v>
      </c>
      <c r="I25" s="34">
        <f t="shared" si="2"/>
        <v>0</v>
      </c>
      <c r="J25" s="34">
        <f t="shared" si="2"/>
        <v>5308</v>
      </c>
      <c r="K25" s="34">
        <f t="shared" si="2"/>
        <v>0</v>
      </c>
      <c r="L25" s="34">
        <f>SUM(L8:L24)</f>
        <v>174187</v>
      </c>
      <c r="M25" s="7"/>
      <c r="N25" s="16" t="s">
        <v>12</v>
      </c>
      <c r="O25" s="134">
        <f>SUM(AvCaBase:AvWhBase)</f>
        <v>3414.07</v>
      </c>
      <c r="P25" s="135">
        <f>'s4'!E11</f>
        <v>3414.07</v>
      </c>
      <c r="Q25" s="47">
        <f>SUM(Q8:Q24)</f>
        <v>1</v>
      </c>
      <c r="R25" s="136">
        <f>SUM(AvCaDed:AvWhDed)</f>
        <v>3414.07</v>
      </c>
      <c r="S25" s="134">
        <f>SUM(S8:S24)</f>
        <v>0</v>
      </c>
      <c r="T25" s="46">
        <f>SUM(T8:T24)</f>
        <v>1653.52</v>
      </c>
      <c r="U25" s="46">
        <f>SUM(U8:U24)</f>
        <v>1653.52</v>
      </c>
      <c r="V25" s="46">
        <f>SUM(V8:V24)</f>
        <v>4509.5200000000004</v>
      </c>
      <c r="W25" s="81">
        <f>AVGAS10.5-CAP+AV_OPT</f>
        <v>1653.52</v>
      </c>
      <c r="AB25" s="2"/>
      <c r="AC25" s="14"/>
      <c r="AD25" s="2"/>
      <c r="AE25" s="2"/>
      <c r="AF25" s="2"/>
      <c r="AG25" s="2"/>
      <c r="AH25" s="2"/>
      <c r="AI25" s="11"/>
    </row>
    <row r="26" spans="1:35" ht="13.5" hidden="1" customHeight="1" x14ac:dyDescent="0.2">
      <c r="D26" s="7"/>
      <c r="E26" s="7"/>
      <c r="F26" s="7"/>
      <c r="G26" s="7"/>
    </row>
    <row r="27" spans="1:35" hidden="1" x14ac:dyDescent="0.2">
      <c r="L27" s="7"/>
      <c r="S27" s="100"/>
      <c r="T27" s="100"/>
      <c r="U27" s="100"/>
      <c r="V27" s="100">
        <f>AH25</f>
        <v>0</v>
      </c>
      <c r="X27" s="4"/>
      <c r="Y27" s="4"/>
      <c r="Z27" s="4"/>
    </row>
    <row r="28" spans="1:35" hidden="1" x14ac:dyDescent="0.2">
      <c r="A28" t="s">
        <v>277</v>
      </c>
      <c r="B28" s="44">
        <v>2241.04</v>
      </c>
      <c r="C28" s="44">
        <f>1005.2+483.05</f>
        <v>1488.25</v>
      </c>
      <c r="D28" s="44">
        <f>648.32+316.46</f>
        <v>964.78</v>
      </c>
      <c r="E28" s="44">
        <v>90.75</v>
      </c>
      <c r="F28" s="44">
        <v>178.73</v>
      </c>
      <c r="G28" s="44">
        <v>0</v>
      </c>
      <c r="H28" s="44">
        <v>0</v>
      </c>
      <c r="I28" s="44">
        <v>0</v>
      </c>
      <c r="J28" s="44">
        <v>104.04</v>
      </c>
      <c r="K28" s="44">
        <v>0</v>
      </c>
      <c r="L28" s="45">
        <f>SUM(B28:K28)</f>
        <v>5067.59</v>
      </c>
      <c r="N28" s="279">
        <v>0</v>
      </c>
      <c r="Q28">
        <f>CAP+AV_OPT</f>
        <v>5067.59</v>
      </c>
      <c r="X28" s="9"/>
      <c r="Y28" s="9"/>
      <c r="Z28" s="9"/>
      <c r="AB28" s="2"/>
    </row>
    <row r="29" spans="1:35" hidden="1" x14ac:dyDescent="0.2">
      <c r="Q29" s="25"/>
      <c r="R29" s="17">
        <f>AvDeduct-CAP</f>
        <v>0</v>
      </c>
    </row>
    <row r="30" spans="1:35" hidden="1" x14ac:dyDescent="0.2">
      <c r="T30" s="11"/>
      <c r="U30" s="11"/>
      <c r="V30" s="11">
        <f>AH25</f>
        <v>0</v>
      </c>
    </row>
    <row r="31" spans="1:35" hidden="1" x14ac:dyDescent="0.2"/>
    <row r="32" spans="1:35" hidden="1" x14ac:dyDescent="0.2">
      <c r="P32">
        <f>AVGAS10.5+AV_OPT</f>
        <v>5067.59</v>
      </c>
    </row>
    <row r="33" spans="14:15" hidden="1" x14ac:dyDescent="0.2">
      <c r="N33" s="401">
        <v>5067.59</v>
      </c>
    </row>
    <row r="34" spans="14:15" hidden="1" x14ac:dyDescent="0.2"/>
    <row r="35" spans="14:15" hidden="1" x14ac:dyDescent="0.2">
      <c r="N35" s="276">
        <f>Q28-N33</f>
        <v>0</v>
      </c>
      <c r="O35" s="2"/>
    </row>
    <row r="36" spans="14:15" hidden="1" x14ac:dyDescent="0.2"/>
    <row r="37" spans="14:15" hidden="1" x14ac:dyDescent="0.2"/>
    <row r="38" spans="14:15" hidden="1" x14ac:dyDescent="0.2"/>
    <row r="39" spans="14:15" hidden="1" x14ac:dyDescent="0.2"/>
    <row r="40" spans="14:15" hidden="1" x14ac:dyDescent="0.2"/>
    <row r="41" spans="14:15" hidden="1" x14ac:dyDescent="0.2"/>
    <row r="42" spans="14:15" hidden="1" x14ac:dyDescent="0.2"/>
    <row r="43" spans="14:15" hidden="1" x14ac:dyDescent="0.2"/>
    <row r="44" spans="14:15" hidden="1" x14ac:dyDescent="0.2"/>
    <row r="45" spans="14:15" hidden="1" x14ac:dyDescent="0.2"/>
    <row r="46" spans="14:15" hidden="1" x14ac:dyDescent="0.2"/>
    <row r="47" spans="14:15" hidden="1" x14ac:dyDescent="0.2"/>
    <row r="48" spans="14:15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</sheetData>
  <phoneticPr fontId="0" type="noConversion"/>
  <printOptions horizontalCentered="1"/>
  <pageMargins left="0.75" right="0.75" top="1" bottom="1" header="0.5" footer="0.5"/>
  <pageSetup scale="8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W103"/>
  <sheetViews>
    <sheetView topLeftCell="A61" workbookViewId="0">
      <selection activeCell="C88" sqref="C88"/>
    </sheetView>
  </sheetViews>
  <sheetFormatPr defaultRowHeight="12.75" x14ac:dyDescent="0.2"/>
  <cols>
    <col min="1" max="1" width="28.7109375" customWidth="1"/>
    <col min="2" max="2" width="12.140625" customWidth="1"/>
    <col min="3" max="3" width="12.28515625" customWidth="1"/>
    <col min="4" max="4" width="13.28515625" customWidth="1"/>
    <col min="5" max="5" width="12.28515625" customWidth="1"/>
    <col min="6" max="6" width="12" customWidth="1"/>
    <col min="7" max="7" width="11.42578125" customWidth="1"/>
    <col min="8" max="8" width="10.28515625" customWidth="1"/>
    <col min="9" max="9" width="10.85546875" customWidth="1"/>
    <col min="10" max="10" width="10.5703125" customWidth="1"/>
    <col min="11" max="11" width="10.85546875" customWidth="1"/>
    <col min="12" max="12" width="12.140625" customWidth="1"/>
    <col min="13" max="13" width="11.42578125" customWidth="1"/>
    <col min="14" max="14" width="13.28515625" customWidth="1"/>
    <col min="15" max="15" width="10.85546875" customWidth="1"/>
    <col min="16" max="16" width="11.85546875" customWidth="1"/>
    <col min="17" max="17" width="10.85546875" customWidth="1"/>
    <col min="19" max="19" width="13.140625" customWidth="1"/>
    <col min="20" max="20" width="13.28515625" hidden="1" customWidth="1"/>
    <col min="21" max="21" width="0" hidden="1" customWidth="1"/>
    <col min="22" max="22" width="11.5703125" hidden="1" customWidth="1"/>
    <col min="23" max="23" width="0" hidden="1" customWidth="1"/>
  </cols>
  <sheetData>
    <row r="1" spans="1:20" ht="15.75" x14ac:dyDescent="0.25">
      <c r="A1" s="63" t="s">
        <v>278</v>
      </c>
      <c r="B1" s="1"/>
      <c r="C1" s="1"/>
      <c r="D1" s="1"/>
      <c r="E1" s="1"/>
      <c r="F1" s="62"/>
      <c r="H1" s="62"/>
      <c r="I1" s="62"/>
      <c r="J1" s="6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x14ac:dyDescent="0.25">
      <c r="A2" s="117" t="str">
        <f>ReportMonth</f>
        <v>DECEMBER 2004</v>
      </c>
      <c r="B2" s="1"/>
      <c r="C2" s="1"/>
      <c r="D2" s="1"/>
      <c r="E2" s="1"/>
      <c r="G2" s="69"/>
      <c r="H2" s="62"/>
      <c r="I2" s="62"/>
      <c r="J2" s="62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x14ac:dyDescent="0.2">
      <c r="A3" s="87" t="s">
        <v>3</v>
      </c>
      <c r="B3" s="42"/>
      <c r="C3" s="42"/>
      <c r="D3" s="42"/>
      <c r="E3" s="42"/>
      <c r="F3" s="87"/>
      <c r="G3" s="65"/>
      <c r="H3" s="87"/>
      <c r="I3" s="87"/>
      <c r="J3" s="87"/>
      <c r="K3" s="42"/>
      <c r="L3" s="42"/>
      <c r="M3" s="42"/>
      <c r="N3" s="42"/>
      <c r="O3" s="42"/>
      <c r="P3" s="42"/>
      <c r="Q3" s="42"/>
      <c r="R3" s="42"/>
      <c r="S3" s="42"/>
      <c r="T3" s="1"/>
    </row>
    <row r="4" spans="1:20" ht="15" x14ac:dyDescent="0.2">
      <c r="A4" s="87" t="s">
        <v>444</v>
      </c>
      <c r="B4" s="42"/>
      <c r="C4" s="42"/>
      <c r="D4" s="42"/>
      <c r="E4" s="42"/>
      <c r="F4" s="87"/>
      <c r="G4" s="65"/>
      <c r="H4" s="87"/>
      <c r="I4" s="87"/>
      <c r="J4" s="87"/>
      <c r="K4" s="42"/>
      <c r="L4" s="42"/>
      <c r="M4" s="42"/>
      <c r="N4" s="42"/>
      <c r="O4" s="42"/>
      <c r="P4" s="42"/>
      <c r="Q4" s="42"/>
      <c r="R4" s="42"/>
      <c r="S4" s="42"/>
      <c r="T4" s="1"/>
    </row>
    <row r="5" spans="1:20" ht="15" x14ac:dyDescent="0.2">
      <c r="A5" s="87" t="s">
        <v>279</v>
      </c>
      <c r="B5" s="42"/>
      <c r="C5" s="42"/>
      <c r="D5" s="42"/>
      <c r="E5" s="42"/>
      <c r="F5" s="43"/>
      <c r="G5" s="87"/>
      <c r="H5" s="87"/>
      <c r="I5" s="87"/>
      <c r="J5" s="87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0" ht="15" x14ac:dyDescent="0.2">
      <c r="A6" s="87" t="s">
        <v>280</v>
      </c>
      <c r="B6" s="42"/>
      <c r="C6" s="42"/>
      <c r="D6" s="42"/>
      <c r="E6" s="42"/>
      <c r="F6" s="43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1"/>
    </row>
    <row r="7" spans="1:20" ht="29.25" customHeight="1" x14ac:dyDescent="0.25">
      <c r="A7" s="126" t="str">
        <f>CONCATENATE("FEES COLLECTED IN ",ReportMonth," FOR ",ActivityMonth," TRANSACTIONS")</f>
        <v>FEES COLLECTED IN DECEMBER 2004 FOR DECEMBER 2004 TRANSACTIONS</v>
      </c>
      <c r="B7" s="43"/>
      <c r="C7" s="43"/>
      <c r="D7" s="43"/>
      <c r="E7" s="43"/>
      <c r="F7" s="43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1"/>
    </row>
    <row r="8" spans="1:20" ht="18" customHeight="1" x14ac:dyDescent="0.2">
      <c r="A8" s="84"/>
      <c r="B8" s="43"/>
      <c r="C8" s="43"/>
      <c r="D8" s="43"/>
      <c r="E8" s="43"/>
      <c r="F8" s="43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1"/>
    </row>
    <row r="9" spans="1:20" ht="12.75" customHeight="1" x14ac:dyDescent="0.2">
      <c r="A9" s="1"/>
      <c r="B9" s="6" t="s">
        <v>281</v>
      </c>
      <c r="C9" s="50" t="s">
        <v>282</v>
      </c>
      <c r="D9" s="52" t="s">
        <v>283</v>
      </c>
      <c r="E9" s="52"/>
      <c r="F9" s="52" t="s">
        <v>284</v>
      </c>
      <c r="G9" s="52"/>
      <c r="H9" s="52" t="s">
        <v>285</v>
      </c>
      <c r="I9" s="52"/>
      <c r="J9" s="52" t="s">
        <v>286</v>
      </c>
      <c r="K9" s="52"/>
      <c r="L9" s="52" t="s">
        <v>287</v>
      </c>
      <c r="M9" s="52"/>
      <c r="N9" s="52" t="s">
        <v>288</v>
      </c>
      <c r="O9" s="52"/>
      <c r="P9" s="52" t="s">
        <v>289</v>
      </c>
      <c r="Q9" s="52"/>
      <c r="R9" s="50" t="s">
        <v>290</v>
      </c>
      <c r="S9" s="57" t="s">
        <v>291</v>
      </c>
      <c r="T9" s="5" t="s">
        <v>114</v>
      </c>
    </row>
    <row r="10" spans="1:20" x14ac:dyDescent="0.2">
      <c r="A10" s="1"/>
      <c r="B10" s="6" t="s">
        <v>292</v>
      </c>
      <c r="C10" s="50" t="s">
        <v>292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2" t="s">
        <v>5</v>
      </c>
      <c r="O10" s="52"/>
      <c r="P10" s="53"/>
      <c r="Q10" s="53"/>
      <c r="R10" s="53"/>
      <c r="S10" s="57" t="s">
        <v>12</v>
      </c>
      <c r="T10" s="5" t="s">
        <v>293</v>
      </c>
    </row>
    <row r="11" spans="1:20" x14ac:dyDescent="0.2">
      <c r="A11" s="110" t="s">
        <v>13</v>
      </c>
      <c r="B11" s="38" t="s">
        <v>294</v>
      </c>
      <c r="C11" s="51" t="s">
        <v>295</v>
      </c>
      <c r="D11" s="54" t="s">
        <v>296</v>
      </c>
      <c r="E11" s="55" t="s">
        <v>297</v>
      </c>
      <c r="F11" s="54" t="s">
        <v>296</v>
      </c>
      <c r="G11" s="56" t="s">
        <v>297</v>
      </c>
      <c r="H11" s="56" t="s">
        <v>296</v>
      </c>
      <c r="I11" s="56" t="s">
        <v>297</v>
      </c>
      <c r="J11" s="54" t="s">
        <v>296</v>
      </c>
      <c r="K11" s="56" t="s">
        <v>297</v>
      </c>
      <c r="L11" s="54" t="s">
        <v>296</v>
      </c>
      <c r="M11" s="55" t="s">
        <v>297</v>
      </c>
      <c r="N11" s="54" t="s">
        <v>296</v>
      </c>
      <c r="O11" s="56" t="s">
        <v>297</v>
      </c>
      <c r="P11" s="54" t="s">
        <v>296</v>
      </c>
      <c r="Q11" s="56" t="s">
        <v>297</v>
      </c>
      <c r="R11" s="56"/>
      <c r="S11" s="58" t="s">
        <v>5</v>
      </c>
      <c r="T11" s="5" t="s">
        <v>298</v>
      </c>
    </row>
    <row r="12" spans="1:20" x14ac:dyDescent="0.2">
      <c r="A12" s="1"/>
      <c r="B12" s="7"/>
      <c r="C12" s="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59"/>
      <c r="T12" s="1"/>
    </row>
    <row r="13" spans="1:20" x14ac:dyDescent="0.2">
      <c r="A13" s="1" t="s">
        <v>101</v>
      </c>
      <c r="B13" s="2">
        <v>9067.17</v>
      </c>
      <c r="C13" s="78">
        <v>92.54</v>
      </c>
      <c r="D13" s="7">
        <v>168250</v>
      </c>
      <c r="E13" s="7"/>
      <c r="F13" s="7"/>
      <c r="G13" s="7"/>
      <c r="H13" s="7"/>
      <c r="I13" s="7"/>
      <c r="J13" s="7"/>
      <c r="K13" s="7"/>
      <c r="L13" s="7">
        <v>1040706</v>
      </c>
      <c r="M13" s="7"/>
      <c r="N13" s="7"/>
      <c r="O13" s="7"/>
      <c r="P13" s="7"/>
      <c r="Q13" s="7"/>
      <c r="R13" s="7"/>
      <c r="S13" s="60">
        <f t="shared" ref="S13:S20" si="0">SUM((D13+F13+H13+J13+L13+N13+P13+R13)-(E13+G13+I13+K13+M13+O13+Q13))</f>
        <v>1208956</v>
      </c>
      <c r="T13" s="1">
        <f t="shared" ref="T13:T20" si="1">S13-J13</f>
        <v>1208956</v>
      </c>
    </row>
    <row r="14" spans="1:20" s="20" customFormat="1" x14ac:dyDescent="0.2">
      <c r="A14" s="18" t="s">
        <v>299</v>
      </c>
      <c r="B14" s="78">
        <v>-967.76</v>
      </c>
      <c r="C14" s="78">
        <v>0</v>
      </c>
      <c r="D14" s="242"/>
      <c r="E14" s="242"/>
      <c r="F14" s="242"/>
      <c r="G14" s="242">
        <v>129035</v>
      </c>
      <c r="H14" s="242"/>
      <c r="I14" s="242"/>
      <c r="J14" s="242"/>
      <c r="K14" s="242"/>
      <c r="L14" s="242"/>
      <c r="M14" s="242"/>
      <c r="N14" s="242"/>
      <c r="O14" s="242"/>
      <c r="P14" s="242"/>
      <c r="Q14" s="242"/>
      <c r="R14" s="242"/>
      <c r="S14" s="244">
        <f t="shared" si="0"/>
        <v>-129035</v>
      </c>
      <c r="T14" s="18">
        <f t="shared" si="1"/>
        <v>-129035</v>
      </c>
    </row>
    <row r="15" spans="1:20" s="20" customFormat="1" x14ac:dyDescent="0.2">
      <c r="A15" s="18" t="s">
        <v>300</v>
      </c>
      <c r="B15" s="78">
        <v>184.84</v>
      </c>
      <c r="C15" s="78">
        <v>13.55</v>
      </c>
      <c r="D15" s="242"/>
      <c r="E15" s="242"/>
      <c r="F15" s="242"/>
      <c r="G15" s="242"/>
      <c r="H15" s="242">
        <v>24645</v>
      </c>
      <c r="I15" s="242"/>
      <c r="J15" s="242"/>
      <c r="K15" s="242"/>
      <c r="L15" s="242"/>
      <c r="M15" s="242"/>
      <c r="N15" s="242"/>
      <c r="O15" s="242"/>
      <c r="P15" s="242"/>
      <c r="Q15" s="242"/>
      <c r="R15" s="242"/>
      <c r="S15" s="244">
        <f>SUM((D15+F15+H15+J15+L15+N15+P15+R15)-(E15+G15+I15+K15+M15+O15+Q15))</f>
        <v>24645</v>
      </c>
      <c r="T15" s="18">
        <f>S15-J15</f>
        <v>24645</v>
      </c>
    </row>
    <row r="16" spans="1:20" x14ac:dyDescent="0.2">
      <c r="A16" s="1" t="s">
        <v>432</v>
      </c>
      <c r="B16" s="2">
        <v>-1940.53</v>
      </c>
      <c r="C16" s="78"/>
      <c r="D16" s="7"/>
      <c r="E16" s="7"/>
      <c r="F16" s="7"/>
      <c r="G16" s="7"/>
      <c r="H16" s="7"/>
      <c r="I16" s="7"/>
      <c r="J16" s="7"/>
      <c r="K16" s="7"/>
      <c r="L16" s="7"/>
      <c r="M16" s="7">
        <v>258737</v>
      </c>
      <c r="N16" s="7"/>
      <c r="O16" s="7"/>
      <c r="P16" s="7"/>
      <c r="Q16" s="7"/>
      <c r="R16" s="7"/>
      <c r="S16" s="60">
        <f>SUM((D16+F16+H16+J16+L16+N16+P16+R16)-(E16+G16+I16+K16+M16+O16+Q16))</f>
        <v>-258737</v>
      </c>
      <c r="T16" s="1">
        <f>S16-J16</f>
        <v>-258737</v>
      </c>
    </row>
    <row r="17" spans="1:20" x14ac:dyDescent="0.2">
      <c r="A17" s="1" t="s">
        <v>351</v>
      </c>
      <c r="B17" s="2">
        <v>100468.75</v>
      </c>
      <c r="C17" s="78">
        <v>3218.8</v>
      </c>
      <c r="D17" s="7">
        <v>5802058</v>
      </c>
      <c r="E17" s="7"/>
      <c r="F17" s="7"/>
      <c r="G17" s="7"/>
      <c r="H17" s="7"/>
      <c r="I17" s="7"/>
      <c r="J17" s="7">
        <v>50306</v>
      </c>
      <c r="K17" s="7"/>
      <c r="L17" s="7">
        <v>7324475</v>
      </c>
      <c r="M17" s="7">
        <v>129386</v>
      </c>
      <c r="N17" s="7"/>
      <c r="O17" s="7"/>
      <c r="P17" s="7">
        <v>398686</v>
      </c>
      <c r="Q17" s="7"/>
      <c r="R17" s="7"/>
      <c r="S17" s="60">
        <f t="shared" si="0"/>
        <v>13446139</v>
      </c>
      <c r="T17" s="1">
        <f t="shared" si="1"/>
        <v>13395833</v>
      </c>
    </row>
    <row r="18" spans="1:20" x14ac:dyDescent="0.2">
      <c r="A18" s="1" t="s">
        <v>452</v>
      </c>
      <c r="B18" s="2">
        <v>113351.82</v>
      </c>
      <c r="C18" s="78">
        <v>7699.75</v>
      </c>
      <c r="D18" s="7">
        <v>13987428</v>
      </c>
      <c r="E18" s="7">
        <v>1169393</v>
      </c>
      <c r="F18" s="7">
        <v>12119</v>
      </c>
      <c r="G18" s="7">
        <v>17248</v>
      </c>
      <c r="H18" s="7"/>
      <c r="I18" s="7"/>
      <c r="J18" s="7"/>
      <c r="K18" s="7"/>
      <c r="L18" s="7">
        <v>1073310</v>
      </c>
      <c r="M18" s="7">
        <v>21323</v>
      </c>
      <c r="N18" s="7"/>
      <c r="O18" s="7"/>
      <c r="P18" s="7">
        <v>1248683</v>
      </c>
      <c r="Q18" s="7"/>
      <c r="R18" s="7"/>
      <c r="S18" s="60">
        <f t="shared" si="0"/>
        <v>15113576</v>
      </c>
      <c r="T18" s="1">
        <f t="shared" si="1"/>
        <v>15113576</v>
      </c>
    </row>
    <row r="19" spans="1:20" x14ac:dyDescent="0.2">
      <c r="A19" s="1" t="s">
        <v>453</v>
      </c>
      <c r="B19" s="2">
        <v>-245.56</v>
      </c>
      <c r="C19" s="78">
        <v>6.6</v>
      </c>
      <c r="D19" s="7">
        <v>12004</v>
      </c>
      <c r="E19" s="7">
        <v>44745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60">
        <f t="shared" si="0"/>
        <v>-32741</v>
      </c>
      <c r="T19" s="1">
        <f t="shared" si="1"/>
        <v>-32741</v>
      </c>
    </row>
    <row r="20" spans="1:20" x14ac:dyDescent="0.2">
      <c r="A20" s="1" t="s">
        <v>91</v>
      </c>
      <c r="B20" s="2">
        <v>439.67</v>
      </c>
      <c r="C20" s="78">
        <v>25.67</v>
      </c>
      <c r="D20" s="7">
        <v>46675</v>
      </c>
      <c r="E20" s="7"/>
      <c r="F20" s="7"/>
      <c r="G20" s="7"/>
      <c r="H20" s="7"/>
      <c r="I20" s="7"/>
      <c r="J20" s="7"/>
      <c r="K20" s="7"/>
      <c r="L20" s="7">
        <v>11947</v>
      </c>
      <c r="M20" s="7"/>
      <c r="N20" s="7"/>
      <c r="O20" s="7"/>
      <c r="P20" s="7"/>
      <c r="Q20" s="7"/>
      <c r="R20" s="7"/>
      <c r="S20" s="60">
        <f t="shared" si="0"/>
        <v>58622</v>
      </c>
      <c r="T20" s="1">
        <f t="shared" si="1"/>
        <v>58622</v>
      </c>
    </row>
    <row r="21" spans="1:20" x14ac:dyDescent="0.2">
      <c r="A21" s="1" t="s">
        <v>301</v>
      </c>
      <c r="B21" s="2">
        <v>-403.41</v>
      </c>
      <c r="C21" s="78">
        <v>100.81</v>
      </c>
      <c r="D21" s="7"/>
      <c r="E21" s="7"/>
      <c r="F21" s="7"/>
      <c r="G21" s="7"/>
      <c r="H21" s="7"/>
      <c r="I21" s="7"/>
      <c r="J21" s="7">
        <v>183285</v>
      </c>
      <c r="K21" s="7"/>
      <c r="L21" s="7"/>
      <c r="M21" s="7">
        <v>53788</v>
      </c>
      <c r="N21" s="7"/>
      <c r="O21" s="7"/>
      <c r="P21" s="7"/>
      <c r="Q21" s="7"/>
      <c r="R21" s="7"/>
      <c r="S21" s="60">
        <f t="shared" ref="S21:S31" si="2">SUM((D21+F21+H21+J21+L21+N21+P21+R21)-(E21+G21+I21+K21+M21+O21+Q21))</f>
        <v>129497</v>
      </c>
      <c r="T21" s="1">
        <f t="shared" ref="T21:T31" si="3">S21-J21</f>
        <v>-53788</v>
      </c>
    </row>
    <row r="22" spans="1:20" x14ac:dyDescent="0.2">
      <c r="A22" s="1" t="s">
        <v>632</v>
      </c>
      <c r="B22" s="2">
        <v>3.08</v>
      </c>
      <c r="C22" s="78">
        <v>0.23</v>
      </c>
      <c r="D22" s="7">
        <v>411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60">
        <f>SUM((D22+F22+H22+J22+L22+N22+P22+R22)-(E22+G22+I22+K22+M22+O22+Q22))</f>
        <v>411</v>
      </c>
      <c r="T22" s="1">
        <f>S22-J22</f>
        <v>411</v>
      </c>
    </row>
    <row r="23" spans="1:20" x14ac:dyDescent="0.2">
      <c r="A23" s="1" t="s">
        <v>302</v>
      </c>
      <c r="B23" s="2">
        <v>160616.32999999999</v>
      </c>
      <c r="C23" s="78">
        <v>9936.57</v>
      </c>
      <c r="D23" s="7">
        <v>17891845</v>
      </c>
      <c r="E23" s="7">
        <v>39159</v>
      </c>
      <c r="F23" s="7"/>
      <c r="G23" s="7"/>
      <c r="H23" s="7">
        <v>129014</v>
      </c>
      <c r="I23" s="7"/>
      <c r="J23" s="7">
        <v>45630</v>
      </c>
      <c r="K23" s="7"/>
      <c r="L23" s="7">
        <v>1722258</v>
      </c>
      <c r="M23" s="7">
        <v>21816</v>
      </c>
      <c r="N23" s="7"/>
      <c r="O23" s="7"/>
      <c r="P23" s="7">
        <v>1733369</v>
      </c>
      <c r="Q23" s="7"/>
      <c r="R23" s="7"/>
      <c r="S23" s="60">
        <f>SUM((D23+F23+H23+J23+L23+N23+P23+R23)-(E23+G23+I23+K23+M23+O23+Q23))</f>
        <v>21461141</v>
      </c>
      <c r="T23" s="1">
        <f>S23-J23</f>
        <v>21415511</v>
      </c>
    </row>
    <row r="24" spans="1:20" x14ac:dyDescent="0.2">
      <c r="A24" s="18" t="s">
        <v>92</v>
      </c>
      <c r="B24" s="2">
        <v>582.58000000000004</v>
      </c>
      <c r="C24" s="78">
        <v>6.27</v>
      </c>
      <c r="D24" s="7">
        <v>11396</v>
      </c>
      <c r="E24" s="7"/>
      <c r="F24" s="7"/>
      <c r="G24" s="7"/>
      <c r="H24" s="7"/>
      <c r="I24" s="7"/>
      <c r="J24" s="7"/>
      <c r="K24" s="7"/>
      <c r="L24" s="7">
        <v>66281</v>
      </c>
      <c r="M24" s="7"/>
      <c r="N24" s="7"/>
      <c r="O24" s="7"/>
      <c r="P24" s="7"/>
      <c r="Q24" s="7"/>
      <c r="R24" s="7"/>
      <c r="S24" s="60">
        <f t="shared" si="2"/>
        <v>77677</v>
      </c>
      <c r="T24" s="1">
        <f t="shared" si="3"/>
        <v>77677</v>
      </c>
    </row>
    <row r="25" spans="1:20" x14ac:dyDescent="0.2">
      <c r="A25" s="18" t="s">
        <v>93</v>
      </c>
      <c r="B25" s="2">
        <v>-2674.49</v>
      </c>
      <c r="C25" s="78">
        <v>0</v>
      </c>
      <c r="D25" s="7"/>
      <c r="E25" s="7">
        <v>330124</v>
      </c>
      <c r="F25" s="7"/>
      <c r="G25" s="7"/>
      <c r="H25" s="7"/>
      <c r="I25" s="7"/>
      <c r="J25" s="7"/>
      <c r="K25" s="7"/>
      <c r="L25" s="7"/>
      <c r="M25" s="7">
        <v>26475</v>
      </c>
      <c r="N25" s="7"/>
      <c r="O25" s="7"/>
      <c r="P25" s="7"/>
      <c r="Q25" s="7"/>
      <c r="R25" s="7"/>
      <c r="S25" s="60">
        <f t="shared" si="2"/>
        <v>-356599</v>
      </c>
      <c r="T25" s="1">
        <f t="shared" si="3"/>
        <v>-356599</v>
      </c>
    </row>
    <row r="26" spans="1:20" x14ac:dyDescent="0.2">
      <c r="A26" s="18" t="s">
        <v>610</v>
      </c>
      <c r="B26" s="2">
        <v>8.49</v>
      </c>
      <c r="C26" s="78">
        <v>1.51</v>
      </c>
      <c r="D26" s="7">
        <v>1672</v>
      </c>
      <c r="E26" s="7">
        <v>540</v>
      </c>
      <c r="F26" s="7"/>
      <c r="G26" s="7"/>
      <c r="H26" s="7"/>
      <c r="I26" s="7"/>
      <c r="J26" s="7">
        <v>1073</v>
      </c>
      <c r="K26" s="7"/>
      <c r="L26" s="7"/>
      <c r="M26" s="7"/>
      <c r="N26" s="7"/>
      <c r="O26" s="7"/>
      <c r="P26" s="7"/>
      <c r="Q26" s="7"/>
      <c r="R26" s="7"/>
      <c r="S26" s="60">
        <f>SUM((D26+F26+H26+J26+L26+N26+P26+R26)-(E26+G26+I26+K26+M26+O26+Q26))</f>
        <v>2205</v>
      </c>
      <c r="T26" s="1">
        <f>S26-J26</f>
        <v>1132</v>
      </c>
    </row>
    <row r="27" spans="1:20" x14ac:dyDescent="0.2">
      <c r="A27" s="1" t="s">
        <v>611</v>
      </c>
      <c r="B27" s="2">
        <v>86060.43</v>
      </c>
      <c r="C27" s="78">
        <v>4720.45</v>
      </c>
      <c r="D27" s="7">
        <v>8572211</v>
      </c>
      <c r="E27" s="7">
        <v>609152</v>
      </c>
      <c r="F27" s="7">
        <v>1783</v>
      </c>
      <c r="G27" s="7">
        <v>4512</v>
      </c>
      <c r="H27" s="7">
        <v>8649</v>
      </c>
      <c r="I27" s="7"/>
      <c r="J27" s="7"/>
      <c r="K27" s="7"/>
      <c r="L27" s="7">
        <v>4614876</v>
      </c>
      <c r="M27" s="7">
        <v>1109131</v>
      </c>
      <c r="N27" s="7"/>
      <c r="O27" s="7"/>
      <c r="P27" s="7"/>
      <c r="Q27" s="7"/>
      <c r="R27" s="7"/>
      <c r="S27" s="60">
        <f t="shared" si="2"/>
        <v>11474724</v>
      </c>
      <c r="T27" s="1">
        <f t="shared" si="3"/>
        <v>11474724</v>
      </c>
    </row>
    <row r="28" spans="1:20" x14ac:dyDescent="0.2">
      <c r="A28" s="1" t="s">
        <v>303</v>
      </c>
      <c r="B28" s="2">
        <v>1152.6300000000001</v>
      </c>
      <c r="C28" s="78">
        <v>66.040000000000006</v>
      </c>
      <c r="D28" s="7">
        <v>120079</v>
      </c>
      <c r="E28" s="7"/>
      <c r="F28" s="7"/>
      <c r="G28" s="7"/>
      <c r="H28" s="7"/>
      <c r="I28" s="7"/>
      <c r="J28" s="7"/>
      <c r="K28" s="7"/>
      <c r="L28" s="7">
        <v>33605</v>
      </c>
      <c r="M28" s="7"/>
      <c r="N28" s="7"/>
      <c r="O28" s="7"/>
      <c r="P28" s="7"/>
      <c r="Q28" s="7"/>
      <c r="R28" s="7"/>
      <c r="S28" s="60">
        <f t="shared" si="2"/>
        <v>153684</v>
      </c>
      <c r="T28" s="1">
        <f t="shared" si="3"/>
        <v>153684</v>
      </c>
    </row>
    <row r="29" spans="1:20" x14ac:dyDescent="0.2">
      <c r="A29" s="1" t="s">
        <v>762</v>
      </c>
      <c r="B29" s="2">
        <v>-162.19999999999999</v>
      </c>
      <c r="C29" s="78"/>
      <c r="D29" s="7"/>
      <c r="E29" s="7">
        <v>7428</v>
      </c>
      <c r="F29" s="7"/>
      <c r="G29" s="7"/>
      <c r="H29" s="7"/>
      <c r="I29" s="7"/>
      <c r="J29" s="7"/>
      <c r="K29" s="7"/>
      <c r="L29" s="7"/>
      <c r="M29" s="7">
        <v>14198</v>
      </c>
      <c r="N29" s="7"/>
      <c r="O29" s="7"/>
      <c r="P29" s="7"/>
      <c r="Q29" s="7"/>
      <c r="R29" s="7"/>
      <c r="S29" s="60">
        <f>SUM((D29+F29+H29+J29+L29+N29+P29+R29)-(E29+G29+I29+K29+M29+O29+Q29))</f>
        <v>-21626</v>
      </c>
      <c r="T29" s="1">
        <f>S29-J29</f>
        <v>-21626</v>
      </c>
    </row>
    <row r="30" spans="1:20" x14ac:dyDescent="0.2">
      <c r="A30" s="1" t="s">
        <v>456</v>
      </c>
      <c r="B30" s="2">
        <v>-1157.51</v>
      </c>
      <c r="C30" s="78"/>
      <c r="D30" s="7"/>
      <c r="E30" s="7">
        <v>17175</v>
      </c>
      <c r="F30" s="7"/>
      <c r="G30" s="7"/>
      <c r="H30" s="7"/>
      <c r="I30" s="7"/>
      <c r="J30" s="7"/>
      <c r="K30" s="7"/>
      <c r="L30" s="7"/>
      <c r="M30" s="7">
        <v>137160</v>
      </c>
      <c r="N30" s="7"/>
      <c r="O30" s="7"/>
      <c r="P30" s="7"/>
      <c r="Q30" s="7"/>
      <c r="R30" s="7"/>
      <c r="S30" s="60">
        <f>SUM((D30+F30+H30+J30+L30+N30+P30+R30)-(E30+G30+I30+K30+M30+O30+Q30))</f>
        <v>-154335</v>
      </c>
      <c r="T30" s="1">
        <f>S30-J30</f>
        <v>-154335</v>
      </c>
    </row>
    <row r="31" spans="1:20" x14ac:dyDescent="0.2">
      <c r="A31" s="1" t="s">
        <v>454</v>
      </c>
      <c r="B31" s="2">
        <v>-7552.43</v>
      </c>
      <c r="C31" s="78">
        <v>361.39</v>
      </c>
      <c r="D31" s="7">
        <v>657080</v>
      </c>
      <c r="E31" s="7">
        <v>438543</v>
      </c>
      <c r="F31" s="7"/>
      <c r="G31" s="7"/>
      <c r="H31" s="7"/>
      <c r="I31" s="7"/>
      <c r="J31" s="7"/>
      <c r="K31" s="7"/>
      <c r="L31" s="7">
        <v>27686</v>
      </c>
      <c r="M31" s="7">
        <v>1253213</v>
      </c>
      <c r="N31" s="7"/>
      <c r="O31" s="7"/>
      <c r="P31" s="7"/>
      <c r="Q31" s="7"/>
      <c r="R31" s="7"/>
      <c r="S31" s="60">
        <f t="shared" si="2"/>
        <v>-1006990</v>
      </c>
      <c r="T31" s="1">
        <f t="shared" si="3"/>
        <v>-1006990</v>
      </c>
    </row>
    <row r="32" spans="1:20" x14ac:dyDescent="0.2">
      <c r="A32" s="1" t="s">
        <v>720</v>
      </c>
      <c r="B32" s="2">
        <v>22.13</v>
      </c>
      <c r="C32" s="78"/>
      <c r="D32" s="7"/>
      <c r="E32" s="7"/>
      <c r="F32" s="7"/>
      <c r="G32" s="7"/>
      <c r="H32" s="7"/>
      <c r="I32" s="7"/>
      <c r="J32" s="7"/>
      <c r="K32" s="7"/>
      <c r="L32" s="7">
        <v>2951</v>
      </c>
      <c r="M32" s="7"/>
      <c r="N32" s="7"/>
      <c r="O32" s="7"/>
      <c r="P32" s="7"/>
      <c r="Q32" s="7"/>
      <c r="R32" s="7"/>
      <c r="S32" s="60">
        <f>SUM((D32+F32+H32+J32+L32+N32+P32+R32)-(E32+G32+I32+K32+M32+O32+Q32))</f>
        <v>2951</v>
      </c>
      <c r="T32" s="1">
        <f>S32-J32</f>
        <v>2951</v>
      </c>
    </row>
    <row r="33" spans="1:22" x14ac:dyDescent="0.2">
      <c r="A33" s="1" t="s">
        <v>465</v>
      </c>
      <c r="B33" s="2">
        <v>-4329.92</v>
      </c>
      <c r="C33" s="78">
        <v>0.87</v>
      </c>
      <c r="D33" s="7">
        <v>1581</v>
      </c>
      <c r="E33" s="7"/>
      <c r="F33" s="7"/>
      <c r="G33" s="7"/>
      <c r="H33" s="7"/>
      <c r="I33" s="7"/>
      <c r="J33" s="7"/>
      <c r="K33" s="7"/>
      <c r="L33" s="7">
        <v>3745</v>
      </c>
      <c r="M33" s="7">
        <v>582649</v>
      </c>
      <c r="N33" s="7"/>
      <c r="O33" s="7"/>
      <c r="P33" s="7"/>
      <c r="Q33" s="7"/>
      <c r="R33" s="7"/>
      <c r="S33" s="60">
        <f>SUM((D33+F33+H33+J33+L33+N33+P33+R33)-(E33+G33+I33+K33+M33+O33+Q33))</f>
        <v>-577323</v>
      </c>
      <c r="T33" s="1">
        <f>S33-J33</f>
        <v>-577323</v>
      </c>
    </row>
    <row r="34" spans="1:22" x14ac:dyDescent="0.2">
      <c r="A34" s="1" t="s">
        <v>711</v>
      </c>
      <c r="B34" s="2">
        <v>201.72</v>
      </c>
      <c r="C34" s="78">
        <v>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>
        <v>26896</v>
      </c>
      <c r="S34" s="60">
        <f>SUM((D34+F34+H34+J34+L34+N34+P34+R34)-(E34+G34+I34+K34+M34+O34+Q34))</f>
        <v>26896</v>
      </c>
      <c r="T34" s="1">
        <f>S34-J34</f>
        <v>26896</v>
      </c>
      <c r="U34" s="1"/>
      <c r="V34" s="1"/>
    </row>
    <row r="35" spans="1:22" x14ac:dyDescent="0.2">
      <c r="A35" s="1" t="s">
        <v>587</v>
      </c>
      <c r="B35" s="2">
        <v>2370.91</v>
      </c>
      <c r="C35" s="78">
        <v>5.0199999999999996</v>
      </c>
      <c r="D35" s="7"/>
      <c r="E35" s="7"/>
      <c r="F35" s="7"/>
      <c r="G35" s="7"/>
      <c r="H35" s="7">
        <v>9119</v>
      </c>
      <c r="I35" s="7"/>
      <c r="J35" s="7"/>
      <c r="K35" s="7"/>
      <c r="L35" s="7">
        <v>307002</v>
      </c>
      <c r="M35" s="7"/>
      <c r="N35" s="7"/>
      <c r="O35" s="7"/>
      <c r="P35" s="7"/>
      <c r="Q35" s="7"/>
      <c r="R35" s="7"/>
      <c r="S35" s="60">
        <f>SUM((D35+F35+H35+J35+L35+N35+P35+R35)-(E35+G35+I35+K35+M35+O35+Q35))</f>
        <v>316121</v>
      </c>
      <c r="T35" s="1">
        <f>S35-J35</f>
        <v>316121</v>
      </c>
      <c r="U35" s="1"/>
      <c r="V35" s="1"/>
    </row>
    <row r="36" spans="1:22" x14ac:dyDescent="0.2">
      <c r="A36" s="1" t="s">
        <v>466</v>
      </c>
      <c r="B36" s="2">
        <v>82623.89</v>
      </c>
      <c r="C36" s="78">
        <v>5328.38</v>
      </c>
      <c r="D36" s="7">
        <v>9687972</v>
      </c>
      <c r="E36" s="7">
        <v>1009150</v>
      </c>
      <c r="F36" s="7"/>
      <c r="G36" s="7"/>
      <c r="H36" s="7"/>
      <c r="I36" s="7"/>
      <c r="J36" s="7"/>
      <c r="K36" s="7"/>
      <c r="L36" s="7">
        <v>2736762</v>
      </c>
      <c r="M36" s="7">
        <v>399065</v>
      </c>
      <c r="N36" s="7"/>
      <c r="O36" s="7"/>
      <c r="P36" s="7"/>
      <c r="Q36" s="7"/>
      <c r="R36" s="7"/>
      <c r="S36" s="60">
        <f>SUM((D36+F36+H36+J36+L36+N36+P36+R36)-(E36+G36+I36+K36+M36+O36+Q36))</f>
        <v>11016519</v>
      </c>
      <c r="T36" s="1">
        <f>S36-J36</f>
        <v>11016519</v>
      </c>
    </row>
    <row r="37" spans="1:22" x14ac:dyDescent="0.2">
      <c r="A37" s="1" t="s">
        <v>94</v>
      </c>
      <c r="B37" s="2">
        <v>16106.9</v>
      </c>
      <c r="C37" s="78">
        <v>234.26</v>
      </c>
      <c r="D37" s="7">
        <v>266751</v>
      </c>
      <c r="E37" s="7">
        <v>152384</v>
      </c>
      <c r="F37" s="7">
        <v>159176</v>
      </c>
      <c r="G37" s="7"/>
      <c r="H37" s="7"/>
      <c r="I37" s="7"/>
      <c r="J37" s="7"/>
      <c r="K37" s="7"/>
      <c r="L37" s="7">
        <v>3752375</v>
      </c>
      <c r="M37" s="7">
        <v>1878331</v>
      </c>
      <c r="N37" s="7"/>
      <c r="O37" s="7"/>
      <c r="P37" s="7"/>
      <c r="Q37" s="7"/>
      <c r="R37" s="7"/>
      <c r="S37" s="60">
        <f t="shared" ref="S37:S46" si="4">SUM((D37+F37+H37+J37+L37+N37+P37+R37)-(E37+G37+I37+K37+M37+O37+Q37))</f>
        <v>2147587</v>
      </c>
      <c r="T37" s="1">
        <f t="shared" ref="T37:T46" si="5">S37-J37</f>
        <v>2147587</v>
      </c>
      <c r="U37" s="1"/>
      <c r="V37" s="1"/>
    </row>
    <row r="38" spans="1:22" x14ac:dyDescent="0.2">
      <c r="A38" s="1" t="s">
        <v>361</v>
      </c>
      <c r="B38" s="2">
        <v>8036.78</v>
      </c>
      <c r="C38" s="78">
        <v>62.24</v>
      </c>
      <c r="D38" s="7">
        <v>113165</v>
      </c>
      <c r="E38" s="7"/>
      <c r="F38" s="7"/>
      <c r="G38" s="7"/>
      <c r="H38" s="7"/>
      <c r="I38" s="7"/>
      <c r="J38" s="7"/>
      <c r="K38" s="7"/>
      <c r="L38" s="7">
        <v>946385</v>
      </c>
      <c r="M38" s="7"/>
      <c r="N38" s="7"/>
      <c r="O38" s="7"/>
      <c r="P38" s="7">
        <v>12021</v>
      </c>
      <c r="Q38" s="7"/>
      <c r="R38" s="7"/>
      <c r="S38" s="60">
        <f t="shared" si="4"/>
        <v>1071571</v>
      </c>
      <c r="T38" s="1">
        <f t="shared" si="5"/>
        <v>1071571</v>
      </c>
      <c r="U38" s="1"/>
      <c r="V38" s="1"/>
    </row>
    <row r="39" spans="1:22" x14ac:dyDescent="0.2">
      <c r="A39" s="1" t="s">
        <v>724</v>
      </c>
      <c r="B39" s="2">
        <v>0</v>
      </c>
      <c r="C39" s="78">
        <v>5.6</v>
      </c>
      <c r="D39" s="7"/>
      <c r="E39" s="7"/>
      <c r="F39" s="7"/>
      <c r="G39" s="7"/>
      <c r="H39" s="7"/>
      <c r="I39" s="7"/>
      <c r="J39" s="7">
        <v>10184</v>
      </c>
      <c r="K39" s="7"/>
      <c r="L39" s="7"/>
      <c r="M39" s="7"/>
      <c r="N39" s="7"/>
      <c r="O39" s="7"/>
      <c r="P39" s="7"/>
      <c r="Q39" s="7"/>
      <c r="R39" s="7"/>
      <c r="S39" s="60">
        <f>SUM((D39+F39+H39+J39+L39+N39+P39+R39)-(E39+G39+I39+K39+M39+O39+Q39))</f>
        <v>10184</v>
      </c>
      <c r="T39" s="1">
        <f>S39-J39</f>
        <v>0</v>
      </c>
      <c r="U39" s="1"/>
      <c r="V39" s="1"/>
    </row>
    <row r="40" spans="1:22" x14ac:dyDescent="0.2">
      <c r="A40" s="1" t="s">
        <v>435</v>
      </c>
      <c r="B40" s="2">
        <v>151.58000000000001</v>
      </c>
      <c r="C40" s="78">
        <v>8.34</v>
      </c>
      <c r="D40" s="7">
        <v>15167</v>
      </c>
      <c r="E40" s="7"/>
      <c r="F40" s="7"/>
      <c r="G40" s="7"/>
      <c r="H40" s="7"/>
      <c r="I40" s="7"/>
      <c r="J40" s="7"/>
      <c r="K40" s="7"/>
      <c r="L40" s="7">
        <v>5044</v>
      </c>
      <c r="M40" s="7"/>
      <c r="N40" s="7"/>
      <c r="O40" s="7"/>
      <c r="P40" s="7"/>
      <c r="Q40" s="7"/>
      <c r="R40" s="7"/>
      <c r="S40" s="60">
        <f t="shared" si="4"/>
        <v>20211</v>
      </c>
      <c r="T40" s="1">
        <f t="shared" si="5"/>
        <v>20211</v>
      </c>
      <c r="U40" s="1"/>
      <c r="V40" s="1"/>
    </row>
    <row r="41" spans="1:22" x14ac:dyDescent="0.2">
      <c r="A41" s="1" t="s">
        <v>47</v>
      </c>
      <c r="B41" s="2">
        <v>754.93</v>
      </c>
      <c r="C41" s="78">
        <v>36.43</v>
      </c>
      <c r="D41" s="7">
        <v>66244</v>
      </c>
      <c r="E41" s="7"/>
      <c r="F41" s="7"/>
      <c r="G41" s="7"/>
      <c r="H41" s="7"/>
      <c r="I41" s="7"/>
      <c r="J41" s="7"/>
      <c r="K41" s="7"/>
      <c r="L41" s="7">
        <v>34413</v>
      </c>
      <c r="M41" s="7"/>
      <c r="N41" s="7"/>
      <c r="O41" s="7"/>
      <c r="P41" s="7"/>
      <c r="Q41" s="7"/>
      <c r="R41" s="7"/>
      <c r="S41" s="60">
        <f t="shared" si="4"/>
        <v>100657</v>
      </c>
      <c r="T41" s="1">
        <f t="shared" si="5"/>
        <v>100657</v>
      </c>
      <c r="U41" s="1"/>
      <c r="V41" s="1"/>
    </row>
    <row r="42" spans="1:22" x14ac:dyDescent="0.2">
      <c r="A42" s="1" t="s">
        <v>95</v>
      </c>
      <c r="B42" s="2">
        <v>-9226.73</v>
      </c>
      <c r="C42" s="78">
        <v>9.26</v>
      </c>
      <c r="D42" s="7"/>
      <c r="E42" s="7">
        <v>1173252</v>
      </c>
      <c r="F42" s="7">
        <v>16831</v>
      </c>
      <c r="G42" s="7"/>
      <c r="H42" s="7"/>
      <c r="I42" s="7"/>
      <c r="J42" s="7"/>
      <c r="K42" s="7"/>
      <c r="L42" s="7"/>
      <c r="M42" s="7">
        <v>73809</v>
      </c>
      <c r="N42" s="7"/>
      <c r="O42" s="7"/>
      <c r="P42" s="7"/>
      <c r="Q42" s="7"/>
      <c r="R42" s="7"/>
      <c r="S42" s="60">
        <f t="shared" si="4"/>
        <v>-1230230</v>
      </c>
      <c r="T42" s="1">
        <f t="shared" si="5"/>
        <v>-1230230</v>
      </c>
      <c r="U42" s="1"/>
      <c r="V42" s="1"/>
    </row>
    <row r="43" spans="1:22" s="20" customFormat="1" x14ac:dyDescent="0.2">
      <c r="A43" s="18" t="s">
        <v>362</v>
      </c>
      <c r="B43" s="78">
        <v>-174.32</v>
      </c>
      <c r="C43" s="78"/>
      <c r="D43" s="242"/>
      <c r="E43" s="242">
        <v>18531</v>
      </c>
      <c r="F43" s="242"/>
      <c r="G43" s="242"/>
      <c r="H43" s="242"/>
      <c r="I43" s="242"/>
      <c r="J43" s="242"/>
      <c r="K43" s="242"/>
      <c r="L43" s="242"/>
      <c r="M43" s="242">
        <v>4711</v>
      </c>
      <c r="N43" s="242"/>
      <c r="O43" s="242"/>
      <c r="P43" s="242"/>
      <c r="Q43" s="242"/>
      <c r="R43" s="242"/>
      <c r="S43" s="244">
        <f t="shared" si="4"/>
        <v>-23242</v>
      </c>
      <c r="T43" s="18">
        <f t="shared" si="5"/>
        <v>-23242</v>
      </c>
      <c r="U43" s="18"/>
      <c r="V43" s="18"/>
    </row>
    <row r="44" spans="1:22" s="20" customFormat="1" x14ac:dyDescent="0.2">
      <c r="A44" s="18" t="s">
        <v>304</v>
      </c>
      <c r="B44" s="78">
        <v>-1.65</v>
      </c>
      <c r="C44" s="78">
        <v>30.48</v>
      </c>
      <c r="D44" s="242"/>
      <c r="E44" s="242"/>
      <c r="F44" s="242"/>
      <c r="G44" s="242"/>
      <c r="H44" s="242"/>
      <c r="I44" s="242"/>
      <c r="J44" s="242">
        <v>55413</v>
      </c>
      <c r="K44" s="242"/>
      <c r="L44" s="242"/>
      <c r="M44" s="242">
        <v>220</v>
      </c>
      <c r="N44" s="242"/>
      <c r="O44" s="242"/>
      <c r="P44" s="242"/>
      <c r="Q44" s="242"/>
      <c r="R44" s="18"/>
      <c r="S44" s="244">
        <f t="shared" si="4"/>
        <v>55193</v>
      </c>
      <c r="T44" s="18">
        <f t="shared" si="5"/>
        <v>-220</v>
      </c>
      <c r="U44" s="242"/>
      <c r="V44" s="242"/>
    </row>
    <row r="45" spans="1:22" s="20" customFormat="1" x14ac:dyDescent="0.2">
      <c r="A45" s="18" t="s">
        <v>370</v>
      </c>
      <c r="B45" s="78">
        <v>-1407.3</v>
      </c>
      <c r="C45" s="78">
        <v>111.83</v>
      </c>
      <c r="D45" s="242">
        <v>203332</v>
      </c>
      <c r="E45" s="242">
        <v>377238</v>
      </c>
      <c r="F45" s="242"/>
      <c r="G45" s="242"/>
      <c r="H45" s="242"/>
      <c r="I45" s="242"/>
      <c r="J45" s="242"/>
      <c r="K45" s="242"/>
      <c r="L45" s="242">
        <v>18862</v>
      </c>
      <c r="M45" s="242">
        <v>32596</v>
      </c>
      <c r="N45" s="242"/>
      <c r="O45" s="242"/>
      <c r="P45" s="242"/>
      <c r="Q45" s="242"/>
      <c r="R45" s="18"/>
      <c r="S45" s="244">
        <f t="shared" si="4"/>
        <v>-187640</v>
      </c>
      <c r="T45" s="18">
        <f t="shared" si="5"/>
        <v>-187640</v>
      </c>
      <c r="U45" s="242"/>
      <c r="V45" s="242"/>
    </row>
    <row r="46" spans="1:22" x14ac:dyDescent="0.2">
      <c r="A46" s="1" t="s">
        <v>305</v>
      </c>
      <c r="B46" s="2">
        <v>1555.8</v>
      </c>
      <c r="C46" s="78">
        <v>291.01</v>
      </c>
      <c r="D46" s="7">
        <v>529116</v>
      </c>
      <c r="E46" s="7">
        <v>290301</v>
      </c>
      <c r="F46" s="7"/>
      <c r="G46" s="7"/>
      <c r="H46" s="7"/>
      <c r="I46" s="7"/>
      <c r="J46" s="7"/>
      <c r="K46" s="7"/>
      <c r="L46" s="7"/>
      <c r="M46" s="7">
        <v>31375</v>
      </c>
      <c r="N46" s="7"/>
      <c r="O46" s="7"/>
      <c r="P46" s="7"/>
      <c r="Q46" s="7"/>
      <c r="R46" s="1"/>
      <c r="S46" s="60">
        <f t="shared" si="4"/>
        <v>207440</v>
      </c>
      <c r="T46" s="1">
        <f t="shared" si="5"/>
        <v>207440</v>
      </c>
      <c r="U46" s="7"/>
      <c r="V46" s="7"/>
    </row>
    <row r="47" spans="1:22" s="20" customFormat="1" x14ac:dyDescent="0.2">
      <c r="A47" s="18" t="s">
        <v>306</v>
      </c>
      <c r="B47" s="78">
        <v>-3694.55</v>
      </c>
      <c r="C47" s="78">
        <v>22.62</v>
      </c>
      <c r="D47" s="242">
        <v>41129</v>
      </c>
      <c r="E47" s="242">
        <v>179109</v>
      </c>
      <c r="F47" s="242"/>
      <c r="G47" s="242"/>
      <c r="H47" s="242"/>
      <c r="I47" s="242"/>
      <c r="J47" s="242"/>
      <c r="K47" s="242"/>
      <c r="L47" s="242">
        <v>13647</v>
      </c>
      <c r="M47" s="242">
        <v>368274</v>
      </c>
      <c r="N47" s="242"/>
      <c r="O47" s="242"/>
      <c r="P47" s="242"/>
      <c r="Q47" s="242"/>
      <c r="R47" s="242"/>
      <c r="S47" s="244">
        <f t="shared" ref="S47:S69" si="6">SUM((D47+F47+H47+J47+L47+N47+P47+R47)-(E47+G47+I47+K47+M47+O47+Q47))</f>
        <v>-492607</v>
      </c>
      <c r="T47" s="18">
        <f t="shared" ref="T47:T64" si="7">S47-J47</f>
        <v>-492607</v>
      </c>
      <c r="U47" s="18"/>
      <c r="V47" s="18"/>
    </row>
    <row r="48" spans="1:22" s="20" customFormat="1" x14ac:dyDescent="0.2">
      <c r="A48" s="18" t="s">
        <v>474</v>
      </c>
      <c r="B48" s="78">
        <v>-4245.4399999999996</v>
      </c>
      <c r="C48" s="78">
        <v>3.05</v>
      </c>
      <c r="D48" s="242">
        <v>5549</v>
      </c>
      <c r="E48" s="242">
        <v>87237</v>
      </c>
      <c r="F48" s="242"/>
      <c r="G48" s="242"/>
      <c r="H48" s="242"/>
      <c r="I48" s="242"/>
      <c r="J48" s="242"/>
      <c r="K48" s="242"/>
      <c r="L48" s="242">
        <v>21340</v>
      </c>
      <c r="M48" s="242">
        <v>505710</v>
      </c>
      <c r="N48" s="242"/>
      <c r="O48" s="242"/>
      <c r="P48" s="242"/>
      <c r="Q48" s="242"/>
      <c r="R48" s="242"/>
      <c r="S48" s="244">
        <f t="shared" si="6"/>
        <v>-566058</v>
      </c>
      <c r="T48" s="18">
        <f t="shared" si="7"/>
        <v>-566058</v>
      </c>
      <c r="U48" s="18"/>
      <c r="V48" s="18"/>
    </row>
    <row r="49" spans="1:22" x14ac:dyDescent="0.2">
      <c r="A49" s="1" t="s">
        <v>612</v>
      </c>
      <c r="B49" s="2">
        <v>113.13</v>
      </c>
      <c r="C49" s="78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>
        <v>15084</v>
      </c>
      <c r="S49" s="60">
        <f>SUM((D49+F49+H49+J49+L49+N49+P49+R49)-(E49+G49+I49+K49+M49+O49+Q49))</f>
        <v>15084</v>
      </c>
      <c r="T49" s="1">
        <f>S49-J49</f>
        <v>15084</v>
      </c>
      <c r="U49" s="1"/>
      <c r="V49" s="1"/>
    </row>
    <row r="50" spans="1:22" ht="13.5" customHeight="1" x14ac:dyDescent="0.2">
      <c r="A50" s="1" t="s">
        <v>725</v>
      </c>
      <c r="B50" s="2">
        <v>-65.06</v>
      </c>
      <c r="C50" s="78"/>
      <c r="D50" s="7"/>
      <c r="E50" s="7">
        <v>8674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60">
        <f>SUM((D50+F50+H50+J50+L50+N50+P50+R50)-(E50+G50+I50+K50+M50+O50+Q50))</f>
        <v>-8674</v>
      </c>
      <c r="T50" s="1">
        <f>S50-J50</f>
        <v>-8674</v>
      </c>
      <c r="U50" s="1"/>
      <c r="V50" s="1"/>
    </row>
    <row r="51" spans="1:22" ht="13.5" customHeight="1" x14ac:dyDescent="0.2">
      <c r="A51" s="1" t="s">
        <v>307</v>
      </c>
      <c r="B51" s="2">
        <v>-88.01</v>
      </c>
      <c r="C51" s="78"/>
      <c r="D51" s="7"/>
      <c r="E51" s="7">
        <v>2229</v>
      </c>
      <c r="F51" s="7"/>
      <c r="G51" s="7"/>
      <c r="H51" s="7"/>
      <c r="I51" s="7"/>
      <c r="J51" s="7"/>
      <c r="K51" s="7"/>
      <c r="L51" s="7"/>
      <c r="M51" s="7">
        <v>9505</v>
      </c>
      <c r="N51" s="7"/>
      <c r="O51" s="7"/>
      <c r="P51" s="7"/>
      <c r="Q51" s="7"/>
      <c r="R51" s="7"/>
      <c r="S51" s="60">
        <f t="shared" si="6"/>
        <v>-11734</v>
      </c>
      <c r="T51" s="1">
        <f t="shared" si="7"/>
        <v>-11734</v>
      </c>
      <c r="U51" s="1"/>
      <c r="V51" s="1"/>
    </row>
    <row r="52" spans="1:22" s="20" customFormat="1" x14ac:dyDescent="0.2">
      <c r="A52" s="18" t="s">
        <v>54</v>
      </c>
      <c r="B52" s="78">
        <v>65878.69</v>
      </c>
      <c r="C52" s="78">
        <v>1820.58</v>
      </c>
      <c r="D52" s="242">
        <v>3310146</v>
      </c>
      <c r="E52" s="242"/>
      <c r="F52" s="242"/>
      <c r="G52" s="242"/>
      <c r="H52" s="242"/>
      <c r="I52" s="242"/>
      <c r="J52" s="242"/>
      <c r="K52" s="242"/>
      <c r="L52" s="242">
        <v>5327532</v>
      </c>
      <c r="M52" s="242"/>
      <c r="N52" s="242"/>
      <c r="O52" s="242"/>
      <c r="P52" s="242">
        <v>146147</v>
      </c>
      <c r="Q52" s="242"/>
      <c r="R52" s="242"/>
      <c r="S52" s="244">
        <f t="shared" si="6"/>
        <v>8783825</v>
      </c>
      <c r="T52" s="18">
        <f t="shared" si="7"/>
        <v>8783825</v>
      </c>
      <c r="U52" s="18"/>
      <c r="V52" s="18"/>
    </row>
    <row r="53" spans="1:22" s="20" customFormat="1" x14ac:dyDescent="0.2">
      <c r="A53" s="18" t="s">
        <v>55</v>
      </c>
      <c r="B53" s="78">
        <v>500.42</v>
      </c>
      <c r="C53" s="78">
        <v>20.41</v>
      </c>
      <c r="D53" s="242">
        <v>37115</v>
      </c>
      <c r="E53" s="242"/>
      <c r="F53" s="242"/>
      <c r="G53" s="242"/>
      <c r="H53" s="242"/>
      <c r="I53" s="242"/>
      <c r="J53" s="242"/>
      <c r="K53" s="242"/>
      <c r="L53" s="242">
        <v>29608</v>
      </c>
      <c r="M53" s="242"/>
      <c r="N53" s="242"/>
      <c r="O53" s="242"/>
      <c r="P53" s="242"/>
      <c r="Q53" s="242"/>
      <c r="R53" s="242"/>
      <c r="S53" s="244">
        <f t="shared" si="6"/>
        <v>66723</v>
      </c>
      <c r="T53" s="18">
        <f t="shared" si="7"/>
        <v>66723</v>
      </c>
      <c r="U53" s="18"/>
      <c r="V53" s="18"/>
    </row>
    <row r="54" spans="1:22" s="20" customFormat="1" x14ac:dyDescent="0.2">
      <c r="A54" s="18" t="s">
        <v>486</v>
      </c>
      <c r="B54" s="78">
        <v>4.28</v>
      </c>
      <c r="C54" s="78">
        <v>0.31</v>
      </c>
      <c r="D54" s="242">
        <v>570</v>
      </c>
      <c r="E54" s="242"/>
      <c r="F54" s="242"/>
      <c r="G54" s="242"/>
      <c r="H54" s="242"/>
      <c r="I54" s="242"/>
      <c r="J54" s="242"/>
      <c r="K54" s="242"/>
      <c r="L54" s="242"/>
      <c r="M54" s="242"/>
      <c r="N54" s="242"/>
      <c r="O54" s="242"/>
      <c r="P54" s="242"/>
      <c r="Q54" s="242"/>
      <c r="R54" s="242"/>
      <c r="S54" s="244">
        <f t="shared" si="6"/>
        <v>570</v>
      </c>
      <c r="T54" s="18">
        <f t="shared" si="7"/>
        <v>570</v>
      </c>
      <c r="U54" s="18"/>
      <c r="V54" s="18"/>
    </row>
    <row r="55" spans="1:22" x14ac:dyDescent="0.2">
      <c r="A55" s="1" t="s">
        <v>459</v>
      </c>
      <c r="B55" s="2">
        <v>0</v>
      </c>
      <c r="C55" s="78">
        <v>33.29</v>
      </c>
      <c r="D55" s="7"/>
      <c r="E55" s="7"/>
      <c r="F55" s="7"/>
      <c r="G55" s="7"/>
      <c r="H55" s="7"/>
      <c r="I55" s="7"/>
      <c r="J55" s="7">
        <v>60535</v>
      </c>
      <c r="K55" s="7"/>
      <c r="L55" s="7"/>
      <c r="M55" s="7"/>
      <c r="N55" s="7"/>
      <c r="O55" s="7"/>
      <c r="P55" s="7"/>
      <c r="Q55" s="7"/>
      <c r="R55" s="7"/>
      <c r="S55" s="60">
        <f t="shared" si="6"/>
        <v>60535</v>
      </c>
      <c r="T55" s="1">
        <f t="shared" si="7"/>
        <v>0</v>
      </c>
      <c r="U55" s="1"/>
      <c r="V55" s="1"/>
    </row>
    <row r="56" spans="1:22" x14ac:dyDescent="0.2">
      <c r="A56" s="1" t="s">
        <v>613</v>
      </c>
      <c r="B56" s="2">
        <v>0</v>
      </c>
      <c r="C56" s="78">
        <v>3.57</v>
      </c>
      <c r="D56" s="7"/>
      <c r="E56" s="7"/>
      <c r="F56" s="7"/>
      <c r="G56" s="7"/>
      <c r="H56" s="7"/>
      <c r="I56" s="7"/>
      <c r="J56" s="7">
        <v>6498</v>
      </c>
      <c r="K56" s="7"/>
      <c r="L56" s="7"/>
      <c r="M56" s="7"/>
      <c r="N56" s="7"/>
      <c r="O56" s="7"/>
      <c r="P56" s="7"/>
      <c r="Q56" s="7"/>
      <c r="R56" s="7"/>
      <c r="S56" s="60">
        <f>SUM((D56+F56+H56+J56+L56+N56+P56+R56)-(E56+G56+I56+K56+M56+O56+Q56))</f>
        <v>6498</v>
      </c>
      <c r="T56" s="1">
        <f>S56-J56</f>
        <v>0</v>
      </c>
      <c r="U56" s="1"/>
      <c r="V56" s="1"/>
    </row>
    <row r="57" spans="1:22" x14ac:dyDescent="0.2">
      <c r="A57" s="1" t="s">
        <v>727</v>
      </c>
      <c r="B57" s="2">
        <v>-1471.63</v>
      </c>
      <c r="C57" s="78"/>
      <c r="D57" s="7"/>
      <c r="E57" s="7">
        <v>154192</v>
      </c>
      <c r="F57" s="7"/>
      <c r="G57" s="7"/>
      <c r="H57" s="7"/>
      <c r="I57" s="7"/>
      <c r="J57" s="7"/>
      <c r="K57" s="7"/>
      <c r="L57" s="7"/>
      <c r="M57" s="7">
        <v>42025</v>
      </c>
      <c r="N57" s="7"/>
      <c r="O57" s="7"/>
      <c r="P57" s="7"/>
      <c r="Q57" s="7"/>
      <c r="R57" s="7"/>
      <c r="S57" s="60">
        <f>SUM((D57+F57+H57+J57+L57+N57+P57+R57)-(E57+G57+I57+K57+M57+O57+Q57))</f>
        <v>-196217</v>
      </c>
      <c r="T57" s="1">
        <f>S57-J57</f>
        <v>-196217</v>
      </c>
      <c r="U57" s="1"/>
      <c r="V57" s="1"/>
    </row>
    <row r="58" spans="1:22" x14ac:dyDescent="0.2">
      <c r="A58" s="1" t="s">
        <v>726</v>
      </c>
      <c r="B58" s="2">
        <v>-11244.89</v>
      </c>
      <c r="C58" s="78"/>
      <c r="D58" s="7"/>
      <c r="E58" s="7">
        <v>613599</v>
      </c>
      <c r="F58" s="7"/>
      <c r="G58" s="7">
        <v>3004</v>
      </c>
      <c r="H58" s="7"/>
      <c r="I58" s="7"/>
      <c r="J58" s="7"/>
      <c r="K58" s="7"/>
      <c r="L58" s="7">
        <v>10099</v>
      </c>
      <c r="M58" s="7">
        <v>892815</v>
      </c>
      <c r="N58" s="7"/>
      <c r="O58" s="7"/>
      <c r="P58" s="7"/>
      <c r="Q58" s="7"/>
      <c r="R58" s="7"/>
      <c r="S58" s="60">
        <f>SUM((D58+F58+H58+J58+L58+N58+P58+R58)-(E58+G58+I58+K58+M58+O58+Q58))</f>
        <v>-1499319</v>
      </c>
      <c r="T58" s="1">
        <f>S58-J58</f>
        <v>-1499319</v>
      </c>
      <c r="U58" s="1"/>
      <c r="V58" s="1"/>
    </row>
    <row r="59" spans="1:22" x14ac:dyDescent="0.2">
      <c r="A59" s="1" t="s">
        <v>96</v>
      </c>
      <c r="B59" s="2">
        <v>-107.87</v>
      </c>
      <c r="C59" s="78"/>
      <c r="D59" s="7"/>
      <c r="E59" s="7"/>
      <c r="F59" s="7"/>
      <c r="G59" s="7"/>
      <c r="H59" s="7"/>
      <c r="I59" s="7"/>
      <c r="J59" s="7"/>
      <c r="K59" s="7"/>
      <c r="L59" s="7"/>
      <c r="M59" s="7">
        <v>14382</v>
      </c>
      <c r="N59" s="7"/>
      <c r="O59" s="7"/>
      <c r="P59" s="7"/>
      <c r="Q59" s="7"/>
      <c r="R59" s="7"/>
      <c r="S59" s="60">
        <f t="shared" si="6"/>
        <v>-14382</v>
      </c>
      <c r="T59" s="1">
        <f t="shared" si="7"/>
        <v>-14382</v>
      </c>
      <c r="U59" s="1"/>
      <c r="V59" s="1"/>
    </row>
    <row r="60" spans="1:22" s="20" customFormat="1" x14ac:dyDescent="0.2">
      <c r="A60" s="18" t="s">
        <v>438</v>
      </c>
      <c r="B60" s="78">
        <v>3014.29</v>
      </c>
      <c r="C60" s="78">
        <v>83.46</v>
      </c>
      <c r="D60" s="242">
        <v>151748</v>
      </c>
      <c r="E60" s="242">
        <v>161894</v>
      </c>
      <c r="F60" s="242"/>
      <c r="G60" s="242"/>
      <c r="H60" s="242"/>
      <c r="I60" s="242"/>
      <c r="J60" s="242"/>
      <c r="K60" s="242"/>
      <c r="L60" s="242">
        <v>972219</v>
      </c>
      <c r="M60" s="242">
        <v>560168</v>
      </c>
      <c r="N60" s="242"/>
      <c r="O60" s="242"/>
      <c r="P60" s="242"/>
      <c r="Q60" s="242"/>
      <c r="R60" s="242"/>
      <c r="S60" s="244">
        <f t="shared" si="6"/>
        <v>401905</v>
      </c>
      <c r="T60" s="18">
        <f t="shared" si="7"/>
        <v>401905</v>
      </c>
    </row>
    <row r="61" spans="1:22" s="20" customFormat="1" x14ac:dyDescent="0.2">
      <c r="A61" s="18" t="s">
        <v>763</v>
      </c>
      <c r="B61" s="78">
        <v>-1111.71</v>
      </c>
      <c r="C61" s="78"/>
      <c r="D61" s="242"/>
      <c r="E61" s="242">
        <v>2495</v>
      </c>
      <c r="F61" s="242"/>
      <c r="G61" s="242"/>
      <c r="H61" s="242"/>
      <c r="I61" s="242"/>
      <c r="J61" s="242"/>
      <c r="K61" s="242"/>
      <c r="L61" s="242"/>
      <c r="M61" s="242">
        <v>145733</v>
      </c>
      <c r="N61" s="242"/>
      <c r="O61" s="242"/>
      <c r="P61" s="242"/>
      <c r="Q61" s="242"/>
      <c r="R61" s="242"/>
      <c r="S61" s="244">
        <f t="shared" si="6"/>
        <v>-148228</v>
      </c>
      <c r="T61" s="18">
        <f t="shared" si="7"/>
        <v>-148228</v>
      </c>
    </row>
    <row r="62" spans="1:22" x14ac:dyDescent="0.2">
      <c r="A62" s="1" t="s">
        <v>764</v>
      </c>
      <c r="B62" s="2">
        <v>-1055.69</v>
      </c>
      <c r="C62" s="78"/>
      <c r="D62" s="7"/>
      <c r="E62" s="7">
        <v>27155</v>
      </c>
      <c r="F62" s="7"/>
      <c r="G62" s="7"/>
      <c r="H62" s="7"/>
      <c r="I62" s="7"/>
      <c r="J62" s="7"/>
      <c r="K62" s="7"/>
      <c r="L62" s="7"/>
      <c r="M62" s="7">
        <v>113604</v>
      </c>
      <c r="N62" s="7"/>
      <c r="O62" s="7"/>
      <c r="P62" s="7"/>
      <c r="Q62" s="7"/>
      <c r="R62" s="7"/>
      <c r="S62" s="60">
        <f>SUM((D62+F62+H62+J62+L62+N62+P62+R62)-(E62+G62+I62+K62+M62+O62+Q62))</f>
        <v>-140759</v>
      </c>
      <c r="T62" s="1">
        <f>S62-J62</f>
        <v>-140759</v>
      </c>
      <c r="U62" s="1"/>
      <c r="V62" s="1"/>
    </row>
    <row r="63" spans="1:22" s="20" customFormat="1" x14ac:dyDescent="0.2">
      <c r="A63" s="18" t="s">
        <v>363</v>
      </c>
      <c r="B63" s="78">
        <v>24056.57</v>
      </c>
      <c r="C63" s="78">
        <v>845.08</v>
      </c>
      <c r="D63" s="242">
        <v>1494066</v>
      </c>
      <c r="E63" s="242">
        <v>43427</v>
      </c>
      <c r="F63" s="242">
        <v>42435</v>
      </c>
      <c r="G63" s="242"/>
      <c r="H63" s="242"/>
      <c r="I63" s="242"/>
      <c r="J63" s="242"/>
      <c r="K63" s="242"/>
      <c r="L63" s="242">
        <v>2257374</v>
      </c>
      <c r="M63" s="242">
        <v>542906</v>
      </c>
      <c r="N63" s="242"/>
      <c r="O63" s="242"/>
      <c r="P63" s="242"/>
      <c r="Q63" s="242"/>
      <c r="R63" s="242"/>
      <c r="S63" s="244">
        <f t="shared" si="6"/>
        <v>3207542</v>
      </c>
      <c r="T63" s="18">
        <f t="shared" si="7"/>
        <v>3207542</v>
      </c>
    </row>
    <row r="64" spans="1:22" s="20" customFormat="1" x14ac:dyDescent="0.2">
      <c r="A64" s="18" t="s">
        <v>102</v>
      </c>
      <c r="B64" s="78">
        <v>-4476.17</v>
      </c>
      <c r="C64" s="78">
        <v>27.6</v>
      </c>
      <c r="D64" s="242"/>
      <c r="E64" s="242">
        <v>19628</v>
      </c>
      <c r="F64" s="242"/>
      <c r="G64" s="242">
        <v>291243</v>
      </c>
      <c r="H64" s="242"/>
      <c r="I64" s="242"/>
      <c r="J64" s="242">
        <v>50174</v>
      </c>
      <c r="K64" s="242"/>
      <c r="L64" s="242">
        <v>24430</v>
      </c>
      <c r="M64" s="242">
        <v>637144</v>
      </c>
      <c r="N64" s="242"/>
      <c r="O64" s="242"/>
      <c r="P64" s="242">
        <v>326763</v>
      </c>
      <c r="Q64" s="242"/>
      <c r="R64" s="242"/>
      <c r="S64" s="244">
        <f t="shared" si="6"/>
        <v>-546648</v>
      </c>
      <c r="T64" s="18">
        <f t="shared" si="7"/>
        <v>-596822</v>
      </c>
    </row>
    <row r="65" spans="1:20" x14ac:dyDescent="0.2">
      <c r="A65" s="1" t="s">
        <v>97</v>
      </c>
      <c r="B65" s="2">
        <v>2262.17</v>
      </c>
      <c r="C65" s="78">
        <v>127.16</v>
      </c>
      <c r="D65" s="7">
        <v>231194</v>
      </c>
      <c r="E65" s="7"/>
      <c r="F65" s="7"/>
      <c r="G65" s="7"/>
      <c r="H65" s="7"/>
      <c r="I65" s="7"/>
      <c r="J65" s="7"/>
      <c r="K65" s="7"/>
      <c r="L65" s="7">
        <v>75063</v>
      </c>
      <c r="M65" s="7">
        <v>4635</v>
      </c>
      <c r="N65" s="7"/>
      <c r="O65" s="7"/>
      <c r="P65" s="7"/>
      <c r="Q65" s="7"/>
      <c r="R65" s="7"/>
      <c r="S65" s="60">
        <f t="shared" si="6"/>
        <v>301622</v>
      </c>
      <c r="T65" s="1">
        <f>S65-J65</f>
        <v>301622</v>
      </c>
    </row>
    <row r="66" spans="1:20" s="20" customFormat="1" x14ac:dyDescent="0.2">
      <c r="A66" s="18" t="s">
        <v>103</v>
      </c>
      <c r="B66" s="78">
        <v>60592.72</v>
      </c>
      <c r="C66" s="78">
        <v>1605.43</v>
      </c>
      <c r="D66" s="242">
        <v>2851334</v>
      </c>
      <c r="E66" s="242">
        <v>10223</v>
      </c>
      <c r="F66" s="242">
        <v>67638</v>
      </c>
      <c r="G66" s="242"/>
      <c r="H66" s="242"/>
      <c r="I66" s="242"/>
      <c r="J66" s="242"/>
      <c r="K66" s="242"/>
      <c r="L66" s="242">
        <v>4882455</v>
      </c>
      <c r="M66" s="242">
        <v>51210</v>
      </c>
      <c r="N66" s="242"/>
      <c r="O66" s="242"/>
      <c r="P66" s="242">
        <v>339035</v>
      </c>
      <c r="Q66" s="242"/>
      <c r="R66" s="242"/>
      <c r="S66" s="244">
        <f t="shared" si="6"/>
        <v>8079029</v>
      </c>
      <c r="T66" s="18">
        <f>S66-J66</f>
        <v>8079029</v>
      </c>
    </row>
    <row r="67" spans="1:20" x14ac:dyDescent="0.2">
      <c r="A67" s="1" t="s">
        <v>461</v>
      </c>
      <c r="B67" s="2">
        <v>-14.56</v>
      </c>
      <c r="C67" s="78"/>
      <c r="D67" s="7"/>
      <c r="E67" s="7">
        <v>864</v>
      </c>
      <c r="F67" s="7"/>
      <c r="G67" s="7"/>
      <c r="H67" s="7"/>
      <c r="I67" s="7"/>
      <c r="J67" s="7"/>
      <c r="K67" s="7"/>
      <c r="L67" s="7"/>
      <c r="M67" s="7">
        <v>1077</v>
      </c>
      <c r="N67" s="7"/>
      <c r="O67" s="7"/>
      <c r="P67" s="7"/>
      <c r="Q67" s="7"/>
      <c r="R67" s="7"/>
      <c r="S67" s="60">
        <f t="shared" si="6"/>
        <v>-1941</v>
      </c>
      <c r="T67" s="1">
        <f>S67-J67</f>
        <v>-1941</v>
      </c>
    </row>
    <row r="68" spans="1:20" x14ac:dyDescent="0.2">
      <c r="A68" s="1" t="s">
        <v>104</v>
      </c>
      <c r="B68" s="2">
        <v>79.42</v>
      </c>
      <c r="C68" s="78">
        <v>2.23</v>
      </c>
      <c r="D68" s="7">
        <v>4051</v>
      </c>
      <c r="E68" s="7">
        <v>8945</v>
      </c>
      <c r="F68" s="7"/>
      <c r="G68" s="7"/>
      <c r="H68" s="7"/>
      <c r="I68" s="7"/>
      <c r="J68" s="7"/>
      <c r="K68" s="7"/>
      <c r="L68" s="7">
        <v>17480</v>
      </c>
      <c r="M68" s="7">
        <v>1997</v>
      </c>
      <c r="N68" s="7"/>
      <c r="O68" s="7"/>
      <c r="P68" s="7"/>
      <c r="Q68" s="7"/>
      <c r="R68" s="7"/>
      <c r="S68" s="60">
        <f t="shared" si="6"/>
        <v>10589</v>
      </c>
      <c r="T68" s="1">
        <f>S68-J68</f>
        <v>10589</v>
      </c>
    </row>
    <row r="69" spans="1:20" s="20" customFormat="1" x14ac:dyDescent="0.2">
      <c r="A69" s="18" t="s">
        <v>728</v>
      </c>
      <c r="B69" s="78">
        <v>-1359.38</v>
      </c>
      <c r="C69" s="78"/>
      <c r="D69" s="242"/>
      <c r="E69" s="242"/>
      <c r="F69" s="242"/>
      <c r="G69" s="242"/>
      <c r="H69" s="242"/>
      <c r="I69" s="242"/>
      <c r="J69" s="242"/>
      <c r="K69" s="242"/>
      <c r="L69" s="242"/>
      <c r="M69" s="242">
        <v>181250</v>
      </c>
      <c r="N69" s="242"/>
      <c r="O69" s="242"/>
      <c r="P69" s="242"/>
      <c r="Q69" s="242"/>
      <c r="R69" s="242"/>
      <c r="S69" s="244">
        <f t="shared" si="6"/>
        <v>-181250</v>
      </c>
      <c r="T69" s="18">
        <f>S69-J69</f>
        <v>-181250</v>
      </c>
    </row>
    <row r="70" spans="1:20" s="20" customFormat="1" x14ac:dyDescent="0.2">
      <c r="A70" s="18" t="s">
        <v>308</v>
      </c>
      <c r="B70" s="78">
        <v>33521.96</v>
      </c>
      <c r="C70" s="78">
        <v>800.67</v>
      </c>
      <c r="D70" s="242">
        <v>1455760</v>
      </c>
      <c r="E70" s="242"/>
      <c r="F70" s="242"/>
      <c r="G70" s="242"/>
      <c r="H70" s="242"/>
      <c r="I70" s="242"/>
      <c r="J70" s="242"/>
      <c r="K70" s="242"/>
      <c r="L70" s="242">
        <v>2895604</v>
      </c>
      <c r="M70" s="242"/>
      <c r="N70" s="242"/>
      <c r="O70" s="242"/>
      <c r="P70" s="242">
        <v>118230</v>
      </c>
      <c r="Q70" s="242"/>
      <c r="R70" s="242"/>
      <c r="S70" s="244">
        <f t="shared" ref="S70:S79" si="8">SUM((D70+F70+H70+J70+L70+N70+P70+R70)-(E70+G70+I70+K70+M70+O70+Q70))</f>
        <v>4469594</v>
      </c>
      <c r="T70" s="18">
        <f t="shared" ref="T70:T79" si="9">S70-J70</f>
        <v>4469594</v>
      </c>
    </row>
    <row r="71" spans="1:20" s="20" customFormat="1" x14ac:dyDescent="0.2">
      <c r="A71" s="18" t="s">
        <v>441</v>
      </c>
      <c r="B71" s="78">
        <v>-2412.1999999999998</v>
      </c>
      <c r="C71" s="78">
        <v>90.02</v>
      </c>
      <c r="D71" s="242">
        <v>163667</v>
      </c>
      <c r="E71" s="242">
        <v>455145</v>
      </c>
      <c r="F71" s="242"/>
      <c r="G71" s="242"/>
      <c r="H71" s="242"/>
      <c r="I71" s="242"/>
      <c r="J71" s="242"/>
      <c r="K71" s="242"/>
      <c r="L71" s="242">
        <v>24687</v>
      </c>
      <c r="M71" s="242">
        <v>54835</v>
      </c>
      <c r="N71" s="242"/>
      <c r="O71" s="242"/>
      <c r="P71" s="242"/>
      <c r="Q71" s="242"/>
      <c r="R71" s="242"/>
      <c r="S71" s="244">
        <f t="shared" si="8"/>
        <v>-321626</v>
      </c>
      <c r="T71" s="18">
        <f t="shared" si="9"/>
        <v>-321626</v>
      </c>
    </row>
    <row r="72" spans="1:20" s="20" customFormat="1" x14ac:dyDescent="0.2">
      <c r="A72" s="18" t="s">
        <v>475</v>
      </c>
      <c r="B72" s="78">
        <v>27250.78</v>
      </c>
      <c r="C72" s="78">
        <v>1329.82</v>
      </c>
      <c r="D72" s="242">
        <v>2417856</v>
      </c>
      <c r="E72" s="242">
        <v>31073</v>
      </c>
      <c r="F72" s="242"/>
      <c r="G72" s="242"/>
      <c r="H72" s="242"/>
      <c r="I72" s="242"/>
      <c r="J72" s="242"/>
      <c r="K72" s="242"/>
      <c r="L72" s="242">
        <v>1150946</v>
      </c>
      <c r="M72" s="242">
        <v>9994</v>
      </c>
      <c r="N72" s="242"/>
      <c r="O72" s="242"/>
      <c r="P72" s="242">
        <v>105702</v>
      </c>
      <c r="Q72" s="242"/>
      <c r="R72" s="242"/>
      <c r="S72" s="244">
        <f>SUM((D72+F72+H72+J72+L72+N72+P72+R72)-(E72+G72+I72+K72+M72+O72+Q72))</f>
        <v>3633437</v>
      </c>
      <c r="T72" s="18">
        <f>S72-J72</f>
        <v>3633437</v>
      </c>
    </row>
    <row r="73" spans="1:20" s="20" customFormat="1" x14ac:dyDescent="0.2">
      <c r="A73" s="18" t="s">
        <v>309</v>
      </c>
      <c r="B73" s="78">
        <v>185.63</v>
      </c>
      <c r="C73" s="78">
        <v>13.61</v>
      </c>
      <c r="D73" s="242">
        <v>24751</v>
      </c>
      <c r="E73" s="242"/>
      <c r="F73" s="242"/>
      <c r="G73" s="242"/>
      <c r="H73" s="242"/>
      <c r="I73" s="242"/>
      <c r="J73" s="242"/>
      <c r="K73" s="242"/>
      <c r="L73" s="242"/>
      <c r="M73" s="242"/>
      <c r="N73" s="242"/>
      <c r="O73" s="242"/>
      <c r="P73" s="242"/>
      <c r="Q73" s="242"/>
      <c r="R73" s="242"/>
      <c r="S73" s="244">
        <f t="shared" si="8"/>
        <v>24751</v>
      </c>
      <c r="T73" s="18">
        <f t="shared" si="9"/>
        <v>24751</v>
      </c>
    </row>
    <row r="74" spans="1:20" s="20" customFormat="1" x14ac:dyDescent="0.2">
      <c r="A74" s="18" t="s">
        <v>713</v>
      </c>
      <c r="B74" s="78">
        <v>93.65</v>
      </c>
      <c r="C74" s="78">
        <v>6.87</v>
      </c>
      <c r="D74" s="242">
        <v>12487</v>
      </c>
      <c r="E74" s="242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R74" s="242"/>
      <c r="S74" s="244">
        <f>SUM((D74+F74+H74+J74+L74+N74+P74+R74)-(E74+G74+I74+K74+M74+O74+Q74))</f>
        <v>12487</v>
      </c>
      <c r="T74" s="18">
        <f>S74-J74</f>
        <v>12487</v>
      </c>
    </row>
    <row r="75" spans="1:20" s="20" customFormat="1" x14ac:dyDescent="0.2">
      <c r="A75" s="18" t="s">
        <v>364</v>
      </c>
      <c r="B75" s="78">
        <v>4517.43</v>
      </c>
      <c r="C75" s="78"/>
      <c r="D75" s="242"/>
      <c r="E75" s="242">
        <v>146172</v>
      </c>
      <c r="F75" s="242"/>
      <c r="G75" s="242"/>
      <c r="H75" s="242"/>
      <c r="I75" s="242"/>
      <c r="J75" s="242"/>
      <c r="K75" s="242"/>
      <c r="L75" s="242">
        <v>1259916</v>
      </c>
      <c r="M75" s="242">
        <v>511420</v>
      </c>
      <c r="N75" s="242"/>
      <c r="O75" s="242"/>
      <c r="P75" s="242"/>
      <c r="Q75" s="242"/>
      <c r="R75" s="242"/>
      <c r="S75" s="244">
        <f>SUM((D75+F75+H75+J75+L75+N75+P75+R75)-(E75+G75+I75+K75+M75+O75+Q75))</f>
        <v>602324</v>
      </c>
      <c r="T75" s="18">
        <f>S75-J75</f>
        <v>602324</v>
      </c>
    </row>
    <row r="76" spans="1:20" s="20" customFormat="1" x14ac:dyDescent="0.2">
      <c r="A76" s="18" t="s">
        <v>369</v>
      </c>
      <c r="B76" s="78">
        <v>34889.379999999997</v>
      </c>
      <c r="C76" s="78">
        <v>1638.71</v>
      </c>
      <c r="D76" s="242">
        <v>1558043</v>
      </c>
      <c r="E76" s="242"/>
      <c r="F76" s="242">
        <v>1421434</v>
      </c>
      <c r="G76" s="242"/>
      <c r="H76" s="242"/>
      <c r="I76" s="242"/>
      <c r="J76" s="242"/>
      <c r="K76" s="242"/>
      <c r="L76" s="242">
        <v>1672440</v>
      </c>
      <c r="M76" s="242"/>
      <c r="N76" s="242"/>
      <c r="O76" s="242"/>
      <c r="P76" s="242"/>
      <c r="Q76" s="242"/>
      <c r="R76" s="242"/>
      <c r="S76" s="244">
        <f>SUM((D76+F76+H76+J76+L76+N76+P76+R76)-(E76+G76+I76+K76+M76+O76+Q76))</f>
        <v>4651917</v>
      </c>
      <c r="T76" s="18">
        <f>S76-J76</f>
        <v>4651917</v>
      </c>
    </row>
    <row r="77" spans="1:20" x14ac:dyDescent="0.2">
      <c r="A77" s="1" t="s">
        <v>310</v>
      </c>
      <c r="B77" s="2">
        <v>-4792.1000000000004</v>
      </c>
      <c r="C77" s="78">
        <v>0.83</v>
      </c>
      <c r="D77" s="7">
        <v>1515</v>
      </c>
      <c r="E77" s="7">
        <v>52083</v>
      </c>
      <c r="F77" s="7"/>
      <c r="G77" s="7"/>
      <c r="H77" s="7"/>
      <c r="I77" s="7"/>
      <c r="J77" s="7"/>
      <c r="K77" s="7"/>
      <c r="L77" s="7">
        <v>11642</v>
      </c>
      <c r="M77" s="7">
        <v>600021</v>
      </c>
      <c r="N77" s="7"/>
      <c r="O77" s="7"/>
      <c r="P77" s="7"/>
      <c r="Q77" s="7"/>
      <c r="R77" s="7"/>
      <c r="S77" s="60">
        <f>SUM((D77+F77+H77+J77+L77+N77+P77+R77)-(E77+G77+I77+K77+M77+O77+Q77))</f>
        <v>-638947</v>
      </c>
      <c r="T77" s="1">
        <f>S77-J77</f>
        <v>-638947</v>
      </c>
    </row>
    <row r="78" spans="1:20" x14ac:dyDescent="0.2">
      <c r="A78" s="1" t="s">
        <v>311</v>
      </c>
      <c r="B78" s="2">
        <v>84184.82</v>
      </c>
      <c r="C78" s="78">
        <v>4134.99</v>
      </c>
      <c r="D78" s="7">
        <v>1273796</v>
      </c>
      <c r="E78" s="7"/>
      <c r="F78" s="7">
        <v>6244372</v>
      </c>
      <c r="G78" s="7"/>
      <c r="H78" s="7"/>
      <c r="I78" s="7"/>
      <c r="J78" s="7"/>
      <c r="K78" s="7"/>
      <c r="L78" s="7">
        <v>2996700</v>
      </c>
      <c r="M78" s="7"/>
      <c r="N78" s="7"/>
      <c r="O78" s="7"/>
      <c r="P78" s="7">
        <v>709774</v>
      </c>
      <c r="Q78" s="7"/>
      <c r="R78" s="7"/>
      <c r="S78" s="60">
        <f t="shared" si="8"/>
        <v>11224642</v>
      </c>
      <c r="T78" s="1">
        <f t="shared" si="9"/>
        <v>11224642</v>
      </c>
    </row>
    <row r="79" spans="1:20" x14ac:dyDescent="0.2">
      <c r="A79" s="1" t="s">
        <v>714</v>
      </c>
      <c r="B79" s="2">
        <v>175.2</v>
      </c>
      <c r="C79" s="78">
        <v>11.03</v>
      </c>
      <c r="D79" s="7">
        <v>20058</v>
      </c>
      <c r="E79" s="7"/>
      <c r="F79" s="7"/>
      <c r="G79" s="7"/>
      <c r="H79" s="7"/>
      <c r="I79" s="7"/>
      <c r="J79" s="7"/>
      <c r="K79" s="7"/>
      <c r="L79" s="7">
        <v>3302</v>
      </c>
      <c r="M79" s="7"/>
      <c r="N79" s="7"/>
      <c r="O79" s="7"/>
      <c r="P79" s="7"/>
      <c r="Q79" s="7"/>
      <c r="R79" s="7"/>
      <c r="S79" s="60">
        <f t="shared" si="8"/>
        <v>23360</v>
      </c>
      <c r="T79" s="1">
        <f t="shared" si="9"/>
        <v>23360</v>
      </c>
    </row>
    <row r="80" spans="1:20" x14ac:dyDescent="0.2">
      <c r="A80" s="1" t="s">
        <v>84</v>
      </c>
      <c r="B80" s="2">
        <v>154.07</v>
      </c>
      <c r="C80" s="78">
        <v>5.48</v>
      </c>
      <c r="D80" s="7">
        <v>2669</v>
      </c>
      <c r="E80" s="7"/>
      <c r="F80" s="7">
        <v>7301</v>
      </c>
      <c r="G80" s="7"/>
      <c r="H80" s="7"/>
      <c r="I80" s="7"/>
      <c r="J80" s="7"/>
      <c r="K80" s="7"/>
      <c r="L80" s="7">
        <v>10572</v>
      </c>
      <c r="M80" s="7"/>
      <c r="N80" s="7"/>
      <c r="O80" s="7"/>
      <c r="P80" s="7"/>
      <c r="Q80" s="7"/>
      <c r="R80" s="7"/>
      <c r="S80" s="60">
        <f t="shared" ref="S80:S86" si="10">SUM((D80+F80+H80+J80+L80+N80+P80+R80)-(E80+G80+I80+K80+M80+O80+Q80))</f>
        <v>20542</v>
      </c>
      <c r="T80" s="1">
        <f t="shared" ref="T80:T86" si="11">S80-J80</f>
        <v>20542</v>
      </c>
    </row>
    <row r="81" spans="1:49" x14ac:dyDescent="0.2">
      <c r="A81" s="1" t="s">
        <v>312</v>
      </c>
      <c r="B81" s="2">
        <v>8.1</v>
      </c>
      <c r="C81" s="78">
        <v>0.59</v>
      </c>
      <c r="D81" s="7">
        <v>1080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60">
        <f t="shared" si="10"/>
        <v>1080</v>
      </c>
      <c r="T81" s="1">
        <f t="shared" si="11"/>
        <v>1080</v>
      </c>
      <c r="U81" s="1"/>
      <c r="V81" s="1"/>
    </row>
    <row r="82" spans="1:49" x14ac:dyDescent="0.2">
      <c r="A82" s="1" t="s">
        <v>571</v>
      </c>
      <c r="B82" s="2">
        <v>103998.51</v>
      </c>
      <c r="C82" s="78">
        <v>3845.69</v>
      </c>
      <c r="D82" s="7">
        <v>6992160</v>
      </c>
      <c r="E82" s="7"/>
      <c r="F82" s="7"/>
      <c r="G82" s="7"/>
      <c r="H82" s="7"/>
      <c r="I82" s="7"/>
      <c r="J82" s="7"/>
      <c r="K82" s="7"/>
      <c r="L82" s="7">
        <v>6469176</v>
      </c>
      <c r="M82" s="7"/>
      <c r="N82" s="7"/>
      <c r="O82" s="7"/>
      <c r="P82" s="7">
        <v>405132</v>
      </c>
      <c r="Q82" s="7"/>
      <c r="R82" s="7"/>
      <c r="S82" s="60">
        <f t="shared" si="10"/>
        <v>13866468</v>
      </c>
      <c r="T82" s="1">
        <f t="shared" si="11"/>
        <v>13866468</v>
      </c>
      <c r="U82" s="1"/>
      <c r="V82" s="1"/>
    </row>
    <row r="83" spans="1:49" s="20" customFormat="1" x14ac:dyDescent="0.2">
      <c r="A83" s="18" t="s">
        <v>313</v>
      </c>
      <c r="B83" s="78">
        <v>697.46</v>
      </c>
      <c r="C83" s="78">
        <v>4.68</v>
      </c>
      <c r="D83" s="242"/>
      <c r="E83" s="242"/>
      <c r="F83" s="242"/>
      <c r="G83" s="242"/>
      <c r="H83" s="242"/>
      <c r="I83" s="242"/>
      <c r="J83" s="242">
        <v>8500</v>
      </c>
      <c r="K83" s="242"/>
      <c r="L83" s="242">
        <v>225876</v>
      </c>
      <c r="M83" s="242">
        <v>132881</v>
      </c>
      <c r="N83" s="242"/>
      <c r="O83" s="242"/>
      <c r="P83" s="242"/>
      <c r="Q83" s="242"/>
      <c r="R83" s="242"/>
      <c r="S83" s="244">
        <f t="shared" si="10"/>
        <v>101495</v>
      </c>
      <c r="T83" s="18">
        <f t="shared" si="11"/>
        <v>92995</v>
      </c>
      <c r="U83" s="78"/>
      <c r="V83" s="18"/>
      <c r="W83" s="18"/>
      <c r="X83" s="242"/>
      <c r="Y83" s="242"/>
      <c r="Z83" s="242"/>
      <c r="AA83" s="242"/>
      <c r="AB83" s="242"/>
      <c r="AC83" s="242"/>
      <c r="AD83" s="242"/>
      <c r="AE83" s="242"/>
      <c r="AF83" s="242"/>
      <c r="AG83" s="242"/>
      <c r="AH83" s="242"/>
      <c r="AI83" s="242"/>
      <c r="AJ83" s="242"/>
      <c r="AK83" s="242"/>
      <c r="AL83" s="242"/>
      <c r="AM83" s="242"/>
      <c r="AN83" s="242"/>
      <c r="AO83" s="242"/>
      <c r="AP83" s="242"/>
      <c r="AQ83" s="242"/>
      <c r="AR83" s="242"/>
      <c r="AS83" s="242"/>
      <c r="AT83" s="18"/>
      <c r="AU83" s="242"/>
      <c r="AV83" s="18"/>
      <c r="AW83" s="18"/>
    </row>
    <row r="84" spans="1:49" s="20" customFormat="1" x14ac:dyDescent="0.2">
      <c r="A84" s="18" t="s">
        <v>615</v>
      </c>
      <c r="B84" s="78">
        <v>1003.28</v>
      </c>
      <c r="C84" s="78"/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>
        <v>133770</v>
      </c>
      <c r="Q84" s="242"/>
      <c r="R84" s="242"/>
      <c r="S84" s="244">
        <f t="shared" si="10"/>
        <v>133770</v>
      </c>
      <c r="T84" s="18">
        <f t="shared" si="11"/>
        <v>133770</v>
      </c>
      <c r="U84" s="78"/>
      <c r="V84" s="18"/>
      <c r="W84" s="18"/>
      <c r="X84" s="242"/>
      <c r="Y84" s="242"/>
      <c r="Z84" s="242"/>
      <c r="AA84" s="242"/>
      <c r="AB84" s="242"/>
      <c r="AC84" s="242"/>
      <c r="AD84" s="242"/>
      <c r="AE84" s="242"/>
      <c r="AF84" s="242"/>
      <c r="AG84" s="242"/>
      <c r="AH84" s="242"/>
      <c r="AI84" s="242"/>
      <c r="AJ84" s="242"/>
      <c r="AK84" s="242"/>
      <c r="AL84" s="242"/>
      <c r="AM84" s="242"/>
      <c r="AN84" s="242"/>
      <c r="AO84" s="242"/>
      <c r="AP84" s="242"/>
      <c r="AQ84" s="242"/>
      <c r="AR84" s="242"/>
      <c r="AS84" s="242"/>
      <c r="AT84" s="18"/>
      <c r="AU84" s="242"/>
      <c r="AV84" s="18"/>
      <c r="AW84" s="18"/>
    </row>
    <row r="85" spans="1:49" s="20" customFormat="1" x14ac:dyDescent="0.2">
      <c r="A85" s="18" t="s">
        <v>491</v>
      </c>
      <c r="B85" s="78">
        <v>-2769.7</v>
      </c>
      <c r="C85" s="78">
        <v>0</v>
      </c>
      <c r="D85" s="242"/>
      <c r="E85" s="242">
        <v>312362</v>
      </c>
      <c r="F85" s="242"/>
      <c r="G85" s="242"/>
      <c r="H85" s="242"/>
      <c r="I85" s="242"/>
      <c r="J85" s="242"/>
      <c r="K85" s="242"/>
      <c r="L85" s="242"/>
      <c r="M85" s="242">
        <v>56931</v>
      </c>
      <c r="N85" s="242"/>
      <c r="O85" s="242"/>
      <c r="P85" s="242"/>
      <c r="Q85" s="242"/>
      <c r="R85" s="242"/>
      <c r="S85" s="244">
        <f t="shared" si="10"/>
        <v>-369293</v>
      </c>
      <c r="T85" s="18">
        <f t="shared" si="11"/>
        <v>-369293</v>
      </c>
      <c r="U85" s="78"/>
      <c r="V85" s="18"/>
      <c r="W85" s="18"/>
      <c r="X85" s="242"/>
      <c r="Y85" s="242"/>
      <c r="Z85" s="242"/>
      <c r="AA85" s="242"/>
      <c r="AB85" s="242"/>
      <c r="AC85" s="242"/>
      <c r="AD85" s="242"/>
      <c r="AE85" s="242"/>
      <c r="AF85" s="242"/>
      <c r="AG85" s="242"/>
      <c r="AH85" s="242"/>
      <c r="AI85" s="242"/>
      <c r="AJ85" s="242"/>
      <c r="AK85" s="242"/>
      <c r="AL85" s="242"/>
      <c r="AM85" s="242"/>
      <c r="AN85" s="242"/>
      <c r="AO85" s="242"/>
      <c r="AP85" s="242"/>
      <c r="AQ85" s="242"/>
      <c r="AR85" s="242"/>
      <c r="AS85" s="242"/>
      <c r="AT85" s="18"/>
      <c r="AU85" s="242"/>
      <c r="AV85" s="18"/>
      <c r="AW85" s="18"/>
    </row>
    <row r="86" spans="1:49" s="20" customFormat="1" x14ac:dyDescent="0.2">
      <c r="A86" s="18" t="s">
        <v>734</v>
      </c>
      <c r="B86" s="78">
        <v>33.9</v>
      </c>
      <c r="C86" s="78"/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>
        <v>4520</v>
      </c>
      <c r="Q86" s="242"/>
      <c r="R86" s="242"/>
      <c r="S86" s="244">
        <f t="shared" si="10"/>
        <v>4520</v>
      </c>
      <c r="T86" s="18">
        <f t="shared" si="11"/>
        <v>4520</v>
      </c>
      <c r="U86" s="78"/>
      <c r="V86" s="18"/>
      <c r="W86" s="18"/>
      <c r="X86" s="242"/>
      <c r="Y86" s="242"/>
      <c r="Z86" s="242"/>
      <c r="AA86" s="242"/>
      <c r="AB86" s="242"/>
      <c r="AC86" s="242"/>
      <c r="AD86" s="242"/>
      <c r="AE86" s="242"/>
      <c r="AF86" s="242"/>
      <c r="AG86" s="242"/>
      <c r="AH86" s="242"/>
      <c r="AI86" s="242"/>
      <c r="AJ86" s="242"/>
      <c r="AK86" s="242"/>
      <c r="AL86" s="242"/>
      <c r="AM86" s="242"/>
      <c r="AN86" s="242"/>
      <c r="AO86" s="242"/>
      <c r="AP86" s="242"/>
      <c r="AQ86" s="242"/>
      <c r="AR86" s="242"/>
      <c r="AS86" s="242"/>
      <c r="AT86" s="18"/>
      <c r="AU86" s="242"/>
      <c r="AV86" s="18"/>
      <c r="AW86" s="18"/>
    </row>
    <row r="87" spans="1:49" x14ac:dyDescent="0.2">
      <c r="T87" s="1"/>
      <c r="U87" s="1"/>
      <c r="V87" s="1"/>
    </row>
    <row r="88" spans="1:49" ht="21.75" customHeight="1" thickBot="1" x14ac:dyDescent="0.25">
      <c r="A88" s="1" t="s">
        <v>250</v>
      </c>
      <c r="B88" s="132">
        <f t="shared" ref="B88:T88" si="12">SUM(B12:B87)</f>
        <v>961823.52</v>
      </c>
      <c r="C88" s="132">
        <f t="shared" si="12"/>
        <v>48851.68</v>
      </c>
      <c r="D88" s="34">
        <f t="shared" si="12"/>
        <v>80205181</v>
      </c>
      <c r="E88" s="34">
        <f t="shared" si="12"/>
        <v>7993621</v>
      </c>
      <c r="F88" s="34">
        <f t="shared" si="12"/>
        <v>7973089</v>
      </c>
      <c r="G88" s="34">
        <f t="shared" si="12"/>
        <v>445042</v>
      </c>
      <c r="H88" s="34">
        <f t="shared" si="12"/>
        <v>171427</v>
      </c>
      <c r="I88" s="34">
        <f t="shared" si="12"/>
        <v>0</v>
      </c>
      <c r="J88" s="34">
        <f t="shared" si="12"/>
        <v>471598</v>
      </c>
      <c r="K88" s="34">
        <f t="shared" si="12"/>
        <v>0</v>
      </c>
      <c r="L88" s="34">
        <f t="shared" si="12"/>
        <v>54074791</v>
      </c>
      <c r="M88" s="34">
        <f t="shared" si="12"/>
        <v>11466500</v>
      </c>
      <c r="N88" s="34">
        <f t="shared" si="12"/>
        <v>0</v>
      </c>
      <c r="O88" s="34">
        <f t="shared" si="12"/>
        <v>0</v>
      </c>
      <c r="P88" s="34">
        <f t="shared" si="12"/>
        <v>5681832</v>
      </c>
      <c r="Q88" s="34">
        <f t="shared" si="12"/>
        <v>0</v>
      </c>
      <c r="R88" s="34">
        <f t="shared" si="12"/>
        <v>41980</v>
      </c>
      <c r="S88" s="34">
        <f t="shared" si="12"/>
        <v>128714735</v>
      </c>
      <c r="T88" s="34">
        <f t="shared" si="12"/>
        <v>128243137</v>
      </c>
      <c r="U88" s="7"/>
      <c r="V88" s="7">
        <f>D88-E88+F88-G88+H88-I88+J88-K88+L88-M88+N88-O88+P88-Q88+R88</f>
        <v>128714735</v>
      </c>
    </row>
    <row r="89" spans="1:49" hidden="1" x14ac:dyDescent="0.2">
      <c r="A89" s="1"/>
      <c r="B89" s="1"/>
      <c r="C89" s="1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49" ht="23.25" hidden="1" customHeight="1" x14ac:dyDescent="0.2">
      <c r="A90" s="1"/>
      <c r="B90" s="1"/>
      <c r="C90" s="1"/>
      <c r="D90" s="7"/>
      <c r="E90" s="7"/>
      <c r="F90" s="7"/>
      <c r="G90" s="7"/>
      <c r="H90" s="7"/>
      <c r="I90" s="7"/>
      <c r="J90" s="7"/>
      <c r="K90" s="7"/>
      <c r="L90" s="7"/>
      <c r="M90" s="7"/>
      <c r="N90" s="7" t="s">
        <v>314</v>
      </c>
      <c r="O90" s="7"/>
      <c r="P90" s="7"/>
      <c r="Q90" s="7"/>
      <c r="R90" s="7"/>
      <c r="S90" s="7"/>
      <c r="T90" s="7"/>
      <c r="U90" s="7"/>
      <c r="V90" s="7"/>
    </row>
    <row r="91" spans="1:49" ht="21" hidden="1" customHeight="1" x14ac:dyDescent="0.2">
      <c r="A91" s="1" t="s">
        <v>315</v>
      </c>
      <c r="B91" s="278">
        <v>970606.24</v>
      </c>
      <c r="C91" s="278">
        <v>48851.68</v>
      </c>
      <c r="D91" s="7"/>
      <c r="E91" s="7"/>
      <c r="F91" s="2"/>
      <c r="G91" s="2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1"/>
      <c r="V91" s="1"/>
    </row>
    <row r="92" spans="1:49" hidden="1" x14ac:dyDescent="0.2">
      <c r="A92" s="1" t="s">
        <v>316</v>
      </c>
      <c r="B92" s="2">
        <f>B91-B88</f>
        <v>8782.7199999999993</v>
      </c>
      <c r="C92" s="2">
        <f>C91-C88</f>
        <v>0</v>
      </c>
      <c r="D92" s="9"/>
      <c r="E92" s="1"/>
      <c r="F92" s="9"/>
      <c r="G92" s="9"/>
      <c r="H92" s="9"/>
      <c r="I92" s="9"/>
      <c r="J92" s="1"/>
      <c r="K92" s="7"/>
      <c r="L92" s="1"/>
      <c r="M92" s="1"/>
      <c r="N92" s="1"/>
      <c r="O92" s="1"/>
      <c r="P92" s="1"/>
      <c r="Q92" s="1"/>
      <c r="R92" s="1"/>
      <c r="S92" s="7"/>
      <c r="T92" s="1"/>
      <c r="U92" s="1"/>
      <c r="V92" s="1"/>
    </row>
    <row r="93" spans="1:49" hidden="1" x14ac:dyDescent="0.2">
      <c r="A93" s="5"/>
      <c r="B93" s="253"/>
      <c r="C93" s="1"/>
      <c r="D93" s="9"/>
      <c r="E93" s="1"/>
      <c r="F93" s="9"/>
      <c r="G93" s="9"/>
      <c r="H93" s="9"/>
      <c r="I93" s="9"/>
      <c r="J93" s="1"/>
      <c r="K93" s="7"/>
    </row>
    <row r="94" spans="1:49" hidden="1" x14ac:dyDescent="0.2">
      <c r="A94" s="24"/>
      <c r="B94" s="2">
        <f>B92+B93</f>
        <v>8782.7199999999993</v>
      </c>
      <c r="C94" s="2">
        <f>C92+C93</f>
        <v>0</v>
      </c>
      <c r="D94" s="1"/>
      <c r="E94" s="1"/>
      <c r="F94" s="1"/>
      <c r="G94" s="1"/>
      <c r="H94" s="1"/>
      <c r="I94" s="1"/>
      <c r="J94" s="1"/>
      <c r="K94" s="7"/>
    </row>
    <row r="95" spans="1:49" hidden="1" x14ac:dyDescent="0.2">
      <c r="B95" t="s">
        <v>629</v>
      </c>
      <c r="C95" s="1" t="s">
        <v>630</v>
      </c>
      <c r="D95" s="1"/>
      <c r="E95" s="1"/>
      <c r="F95" s="1"/>
      <c r="G95" s="1"/>
      <c r="H95" s="1"/>
      <c r="I95" s="1"/>
      <c r="J95" s="1"/>
      <c r="K95" s="7"/>
    </row>
    <row r="96" spans="1:49" hidden="1" x14ac:dyDescent="0.2">
      <c r="A96" t="s">
        <v>628</v>
      </c>
      <c r="B96" s="295">
        <f>(+D88-E88+F88-G88+H88-I88+L88-M88+N88-O88+P88-Q88)*0.0075</f>
        <v>961508.68</v>
      </c>
      <c r="C96" s="295">
        <f>+B96-CUFEE</f>
        <v>-314.83999999999997</v>
      </c>
      <c r="D96" s="1"/>
      <c r="E96" s="1"/>
      <c r="F96" s="1"/>
      <c r="G96" s="1"/>
      <c r="H96" s="1"/>
      <c r="I96" s="1"/>
      <c r="J96" s="1"/>
      <c r="K96" s="7"/>
    </row>
    <row r="97" spans="1:3" hidden="1" x14ac:dyDescent="0.2"/>
    <row r="98" spans="1:3" hidden="1" x14ac:dyDescent="0.2">
      <c r="A98" t="s">
        <v>627</v>
      </c>
      <c r="B98" s="295">
        <f>(+D88+F88+H88+J88)*0.00055</f>
        <v>48851.71</v>
      </c>
      <c r="C98" s="295">
        <f>+B98-INSFEE</f>
        <v>0.03</v>
      </c>
    </row>
    <row r="99" spans="1:3" hidden="1" x14ac:dyDescent="0.2"/>
    <row r="100" spans="1:3" hidden="1" x14ac:dyDescent="0.2"/>
    <row r="101" spans="1:3" hidden="1" x14ac:dyDescent="0.2"/>
    <row r="102" spans="1:3" hidden="1" x14ac:dyDescent="0.2"/>
    <row r="103" spans="1:3" hidden="1" x14ac:dyDescent="0.2"/>
  </sheetData>
  <phoneticPr fontId="0" type="noConversion"/>
  <printOptions horizontalCentered="1"/>
  <pageMargins left="0.2" right="0.2" top="0.42" bottom="0.61" header="0.3" footer="0.31"/>
  <pageSetup scale="55" fitToHeight="2" orientation="landscape" r:id="rId1"/>
  <headerFooter alignWithMargins="0"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46"/>
  <sheetViews>
    <sheetView topLeftCell="A13" workbookViewId="0">
      <selection activeCell="A16" sqref="A16"/>
    </sheetView>
  </sheetViews>
  <sheetFormatPr defaultRowHeight="12.75" x14ac:dyDescent="0.2"/>
  <cols>
    <col min="1" max="1" width="46.5703125" customWidth="1"/>
    <col min="2" max="2" width="13.85546875" customWidth="1"/>
    <col min="3" max="3" width="20" customWidth="1"/>
    <col min="4" max="4" width="9.7109375" customWidth="1"/>
    <col min="5" max="5" width="15.5703125" customWidth="1"/>
  </cols>
  <sheetData>
    <row r="1" spans="1:5" ht="26.25" customHeight="1" x14ac:dyDescent="0.2">
      <c r="A1" s="70" t="s">
        <v>317</v>
      </c>
      <c r="B1" s="71"/>
      <c r="C1" s="71"/>
    </row>
    <row r="2" spans="1:5" ht="27.75" customHeight="1" x14ac:dyDescent="0.2">
      <c r="A2" s="70" t="s">
        <v>709</v>
      </c>
      <c r="B2" s="72"/>
      <c r="C2" s="72"/>
    </row>
    <row r="3" spans="1:5" ht="50.25" customHeight="1" x14ac:dyDescent="0.25">
      <c r="A3" s="127" t="str">
        <f>CONCATENATE("MOTOR  FUEL  TAX  COLLECTED  IN  THE  MONTH  OF  ",ReportMonth)</f>
        <v>MOTOR  FUEL  TAX  COLLECTED  IN  THE  MONTH  OF  DECEMBER 2004</v>
      </c>
      <c r="B3" s="73"/>
      <c r="C3" s="74"/>
    </row>
    <row r="4" spans="1:5" ht="57.75" customHeight="1" x14ac:dyDescent="0.2">
      <c r="A4" s="62" t="s">
        <v>318</v>
      </c>
      <c r="B4" s="62" t="s">
        <v>82</v>
      </c>
      <c r="C4" s="75">
        <f>ST12.65</f>
        <v>11356050.460000001</v>
      </c>
    </row>
    <row r="5" spans="1:5" ht="31.5" customHeight="1" x14ac:dyDescent="0.2">
      <c r="A5" s="62" t="s">
        <v>319</v>
      </c>
      <c r="B5" s="62" t="s">
        <v>82</v>
      </c>
      <c r="C5" s="75">
        <f>_ST5</f>
        <v>4487480.63</v>
      </c>
    </row>
    <row r="6" spans="1:5" ht="31.5" customHeight="1" x14ac:dyDescent="0.2">
      <c r="A6" s="62" t="s">
        <v>320</v>
      </c>
      <c r="B6" s="62" t="s">
        <v>321</v>
      </c>
      <c r="C6" s="75">
        <f>ST5.35</f>
        <v>4798880.7300000004</v>
      </c>
    </row>
    <row r="7" spans="1:5" ht="31.5" customHeight="1" x14ac:dyDescent="0.2">
      <c r="A7" s="62" t="s">
        <v>322</v>
      </c>
      <c r="B7" s="62"/>
      <c r="C7" s="62"/>
    </row>
    <row r="8" spans="1:5" ht="31.5" customHeight="1" x14ac:dyDescent="0.2">
      <c r="A8" s="62" t="s">
        <v>323</v>
      </c>
      <c r="B8" s="62"/>
      <c r="C8" s="75">
        <f>COUNTYOPTION</f>
        <v>7749787.2400000002</v>
      </c>
    </row>
    <row r="9" spans="1:5" ht="31.5" customHeight="1" x14ac:dyDescent="0.2">
      <c r="A9" s="62" t="s">
        <v>324</v>
      </c>
      <c r="B9" s="62"/>
      <c r="C9" s="75"/>
    </row>
    <row r="10" spans="1:5" ht="31.5" customHeight="1" x14ac:dyDescent="0.2">
      <c r="A10" s="62" t="s">
        <v>323</v>
      </c>
      <c r="B10" s="62"/>
      <c r="C10" s="75">
        <f>COUNTY1</f>
        <v>895248.14</v>
      </c>
    </row>
    <row r="11" spans="1:5" ht="31.5" customHeight="1" x14ac:dyDescent="0.2">
      <c r="A11" s="76" t="s">
        <v>325</v>
      </c>
      <c r="B11" s="62"/>
      <c r="C11" s="75">
        <f>AVGAS10.5</f>
        <v>3414.07</v>
      </c>
    </row>
    <row r="12" spans="1:5" ht="31.5" customHeight="1" x14ac:dyDescent="0.2">
      <c r="A12" s="76" t="s">
        <v>349</v>
      </c>
      <c r="B12" s="62"/>
      <c r="C12" s="75">
        <f>AV_OPT</f>
        <v>1653.52</v>
      </c>
    </row>
    <row r="13" spans="1:5" ht="31.5" customHeight="1" x14ac:dyDescent="0.2">
      <c r="A13" s="62" t="s">
        <v>326</v>
      </c>
      <c r="B13" s="62"/>
      <c r="C13" s="75">
        <f>JETTOTAL</f>
        <v>1129729.27</v>
      </c>
    </row>
    <row r="14" spans="1:5" ht="31.5" customHeight="1" x14ac:dyDescent="0.2">
      <c r="A14" s="62" t="s">
        <v>327</v>
      </c>
      <c r="B14" s="62"/>
      <c r="C14" s="75">
        <f>CUFEE</f>
        <v>961823.52</v>
      </c>
      <c r="E14" s="11"/>
    </row>
    <row r="15" spans="1:5" ht="31.5" customHeight="1" x14ac:dyDescent="0.2">
      <c r="A15" s="62" t="s">
        <v>328</v>
      </c>
      <c r="B15" s="62"/>
      <c r="C15" s="75">
        <f>INSFEE</f>
        <v>48851.68</v>
      </c>
      <c r="E15" s="11"/>
    </row>
    <row r="16" spans="1:5" ht="31.5" customHeight="1" x14ac:dyDescent="0.2">
      <c r="A16" s="62" t="s">
        <v>653</v>
      </c>
      <c r="B16" s="62"/>
      <c r="C16" s="75">
        <f>LICFEE</f>
        <v>134721.79</v>
      </c>
    </row>
    <row r="17" spans="1:5" ht="52.5" customHeight="1" thickBot="1" x14ac:dyDescent="0.3">
      <c r="A17" s="77" t="s">
        <v>329</v>
      </c>
      <c r="B17" s="62"/>
      <c r="C17" s="137">
        <f>SUM(C4:C16)</f>
        <v>31567641.050000001</v>
      </c>
    </row>
    <row r="18" spans="1:5" x14ac:dyDescent="0.2">
      <c r="A18" s="20"/>
      <c r="B18" s="20"/>
      <c r="C18" s="20"/>
    </row>
    <row r="21" spans="1:5" x14ac:dyDescent="0.2">
      <c r="B21" t="s">
        <v>565</v>
      </c>
      <c r="C21" s="252">
        <v>39615528.340000004</v>
      </c>
    </row>
    <row r="22" spans="1:5" x14ac:dyDescent="0.2">
      <c r="B22" t="s">
        <v>566</v>
      </c>
      <c r="C22" s="252">
        <v>57028.18</v>
      </c>
    </row>
    <row r="24" spans="1:5" x14ac:dyDescent="0.2">
      <c r="A24" t="s">
        <v>775</v>
      </c>
      <c r="B24" t="s">
        <v>567</v>
      </c>
      <c r="C24" s="252">
        <f>7978899.61-1255</f>
        <v>7977644.6100000003</v>
      </c>
      <c r="E24" s="252">
        <f>C23+C24+C25</f>
        <v>7978899.6100000003</v>
      </c>
    </row>
    <row r="25" spans="1:5" x14ac:dyDescent="0.2">
      <c r="C25" s="252">
        <v>1255</v>
      </c>
      <c r="E25" s="252"/>
    </row>
    <row r="26" spans="1:5" x14ac:dyDescent="0.2">
      <c r="A26" s="252"/>
    </row>
    <row r="27" spans="1:5" x14ac:dyDescent="0.2">
      <c r="B27" t="s">
        <v>114</v>
      </c>
      <c r="C27" s="252">
        <f>C21-C22-C23-C24-C25</f>
        <v>31579600.550000001</v>
      </c>
      <c r="E27" s="252"/>
    </row>
    <row r="29" spans="1:5" x14ac:dyDescent="0.2">
      <c r="C29" s="252">
        <f>C17-C27</f>
        <v>-11959.5</v>
      </c>
    </row>
    <row r="31" spans="1:5" x14ac:dyDescent="0.2">
      <c r="C31" s="252">
        <f>C27+C29</f>
        <v>31567641.050000001</v>
      </c>
    </row>
    <row r="32" spans="1:5" x14ac:dyDescent="0.2">
      <c r="E32" s="252">
        <f>C29+E29</f>
        <v>-11959.5</v>
      </c>
    </row>
    <row r="33" spans="1:2" x14ac:dyDescent="0.2">
      <c r="A33" s="142" t="s">
        <v>769</v>
      </c>
    </row>
    <row r="34" spans="1:2" x14ac:dyDescent="0.2">
      <c r="A34" t="s">
        <v>770</v>
      </c>
      <c r="B34" s="403">
        <v>-162.19999999999999</v>
      </c>
    </row>
    <row r="35" spans="1:2" x14ac:dyDescent="0.2">
      <c r="A35" t="s">
        <v>456</v>
      </c>
      <c r="B35" s="403">
        <v>-1157.51</v>
      </c>
    </row>
    <row r="36" spans="1:2" x14ac:dyDescent="0.2">
      <c r="A36" t="s">
        <v>771</v>
      </c>
      <c r="B36" s="403">
        <v>-3636.8</v>
      </c>
    </row>
    <row r="37" spans="1:2" x14ac:dyDescent="0.2">
      <c r="A37" t="s">
        <v>474</v>
      </c>
      <c r="B37" s="403">
        <v>-1658.81</v>
      </c>
    </row>
    <row r="38" spans="1:2" x14ac:dyDescent="0.2">
      <c r="A38" t="s">
        <v>772</v>
      </c>
      <c r="B38" s="403">
        <v>-1111.71</v>
      </c>
    </row>
    <row r="39" spans="1:2" x14ac:dyDescent="0.2">
      <c r="A39" t="s">
        <v>773</v>
      </c>
      <c r="B39" s="403">
        <v>-1055.69</v>
      </c>
    </row>
    <row r="40" spans="1:2" x14ac:dyDescent="0.2">
      <c r="A40" t="s">
        <v>114</v>
      </c>
      <c r="B40" s="17">
        <f>SUM(B34:B39)</f>
        <v>-8782.7199999999993</v>
      </c>
    </row>
    <row r="42" spans="1:2" x14ac:dyDescent="0.2">
      <c r="A42" s="294" t="s">
        <v>774</v>
      </c>
    </row>
    <row r="43" spans="1:2" x14ac:dyDescent="0.2">
      <c r="A43" s="294" t="s">
        <v>449</v>
      </c>
      <c r="B43" s="403">
        <v>-3176.78</v>
      </c>
    </row>
    <row r="44" spans="1:2" x14ac:dyDescent="0.2">
      <c r="A44" s="294" t="s">
        <v>114</v>
      </c>
      <c r="B44" s="17">
        <v>-3176.78</v>
      </c>
    </row>
    <row r="46" spans="1:2" x14ac:dyDescent="0.2">
      <c r="B46" s="252">
        <f>C29-B40-B44</f>
        <v>0</v>
      </c>
    </row>
  </sheetData>
  <phoneticPr fontId="0" type="noConversion"/>
  <printOptions horizontalCentered="1"/>
  <pageMargins left="0.75" right="0.75" top="0.53" bottom="0.26" header="0.5" footer="0.5"/>
  <pageSetup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20"/>
  <sheetViews>
    <sheetView workbookViewId="0">
      <selection activeCell="A23" sqref="A23"/>
    </sheetView>
  </sheetViews>
  <sheetFormatPr defaultRowHeight="12.75" x14ac:dyDescent="0.2"/>
  <cols>
    <col min="1" max="1" width="43.140625" customWidth="1"/>
    <col min="2" max="2" width="11" customWidth="1"/>
    <col min="3" max="3" width="23.85546875" customWidth="1"/>
  </cols>
  <sheetData>
    <row r="1" spans="1:3" ht="26.25" customHeight="1" x14ac:dyDescent="0.2">
      <c r="A1" s="70" t="s">
        <v>3</v>
      </c>
      <c r="B1" s="65"/>
      <c r="C1" s="65"/>
    </row>
    <row r="2" spans="1:3" ht="23.25" customHeight="1" x14ac:dyDescent="0.2">
      <c r="A2" s="70" t="s">
        <v>709</v>
      </c>
      <c r="B2" s="65"/>
      <c r="C2" s="65"/>
    </row>
    <row r="3" spans="1:3" ht="43.5" customHeight="1" x14ac:dyDescent="0.25">
      <c r="A3" s="127" t="str">
        <f>CONCATENATE("MOTOR  FUEL  TAX  DISTRIBUTED  IN  THE  MONTH  OF  ",ReportMonth)</f>
        <v>MOTOR  FUEL  TAX  DISTRIBUTED  IN  THE  MONTH  OF  DECEMBER 2004</v>
      </c>
      <c r="B3" s="65"/>
      <c r="C3" s="65"/>
    </row>
    <row r="4" spans="1:3" ht="54" customHeight="1" x14ac:dyDescent="0.2">
      <c r="A4" s="62" t="s">
        <v>330</v>
      </c>
      <c r="B4" s="62"/>
      <c r="C4" s="75">
        <f>COUNTYTOTAL</f>
        <v>13304049.23</v>
      </c>
    </row>
    <row r="5" spans="1:3" ht="31.5" customHeight="1" x14ac:dyDescent="0.2">
      <c r="A5" s="62" t="s">
        <v>331</v>
      </c>
      <c r="B5" s="62"/>
      <c r="C5" s="75">
        <f>NETAV</f>
        <v>1653.52</v>
      </c>
    </row>
    <row r="6" spans="1:3" ht="31.5" customHeight="1" x14ac:dyDescent="0.2">
      <c r="A6" s="62" t="s">
        <v>332</v>
      </c>
      <c r="B6" s="62"/>
      <c r="C6" s="20"/>
    </row>
    <row r="7" spans="1:3" ht="31.5" customHeight="1" x14ac:dyDescent="0.2">
      <c r="A7" s="69" t="s">
        <v>333</v>
      </c>
      <c r="B7" s="62"/>
      <c r="C7" s="75">
        <f>NET12.65</f>
        <v>11192715.77</v>
      </c>
    </row>
    <row r="8" spans="1:3" ht="31.5" customHeight="1" x14ac:dyDescent="0.2">
      <c r="A8" s="62" t="s">
        <v>334</v>
      </c>
      <c r="B8" s="62"/>
      <c r="C8" s="75">
        <f>_NET5</f>
        <v>4422934.8</v>
      </c>
    </row>
    <row r="9" spans="1:3" ht="31.5" customHeight="1" x14ac:dyDescent="0.2">
      <c r="A9" s="62" t="s">
        <v>335</v>
      </c>
      <c r="B9" s="62"/>
      <c r="C9" s="75"/>
    </row>
    <row r="10" spans="1:3" ht="31.5" customHeight="1" x14ac:dyDescent="0.2">
      <c r="A10" s="62" t="s">
        <v>336</v>
      </c>
      <c r="B10" s="62"/>
      <c r="C10" s="75">
        <f>_JET1</f>
        <v>390711.54</v>
      </c>
    </row>
    <row r="11" spans="1:3" ht="31.5" customHeight="1" x14ac:dyDescent="0.2">
      <c r="A11" s="62" t="s">
        <v>337</v>
      </c>
      <c r="B11" s="62"/>
      <c r="C11" s="75">
        <f>_JET2</f>
        <v>739017.73</v>
      </c>
    </row>
    <row r="12" spans="1:3" ht="31.5" customHeight="1" x14ac:dyDescent="0.2">
      <c r="A12" s="62" t="s">
        <v>338</v>
      </c>
      <c r="B12" s="62"/>
      <c r="C12" s="75">
        <f>ADMINFEES</f>
        <v>54923.09</v>
      </c>
    </row>
    <row r="13" spans="1:3" ht="31.5" customHeight="1" x14ac:dyDescent="0.2">
      <c r="A13" s="62" t="s">
        <v>339</v>
      </c>
      <c r="B13" s="62"/>
      <c r="C13" s="75">
        <f>CIVILA</f>
        <v>3414.07</v>
      </c>
    </row>
    <row r="14" spans="1:3" ht="31.5" customHeight="1" x14ac:dyDescent="0.2">
      <c r="A14" s="62" t="s">
        <v>340</v>
      </c>
      <c r="B14" s="62"/>
      <c r="C14" s="75">
        <f>REFUNDS</f>
        <v>60725.59</v>
      </c>
    </row>
    <row r="15" spans="1:3" ht="31.5" customHeight="1" x14ac:dyDescent="0.2">
      <c r="A15" s="62" t="s">
        <v>341</v>
      </c>
      <c r="B15" s="62"/>
      <c r="C15" s="75">
        <f>PARKWILD</f>
        <v>252098.72</v>
      </c>
    </row>
    <row r="16" spans="1:3" ht="31.5" customHeight="1" x14ac:dyDescent="0.2">
      <c r="A16" s="62" t="s">
        <v>327</v>
      </c>
      <c r="B16" s="62"/>
      <c r="C16" s="75">
        <f>CUFEE</f>
        <v>961823.52</v>
      </c>
    </row>
    <row r="17" spans="1:3" ht="31.5" customHeight="1" x14ac:dyDescent="0.2">
      <c r="A17" s="62" t="s">
        <v>328</v>
      </c>
      <c r="B17" s="62"/>
      <c r="C17" s="75">
        <f>INSFEE</f>
        <v>48851.68</v>
      </c>
    </row>
    <row r="18" spans="1:3" ht="42.75" customHeight="1" x14ac:dyDescent="0.2">
      <c r="A18" s="62" t="s">
        <v>653</v>
      </c>
      <c r="B18" s="62"/>
      <c r="C18" s="75">
        <f>LICFEE</f>
        <v>134721.79</v>
      </c>
    </row>
    <row r="19" spans="1:3" ht="42.75" customHeight="1" thickBot="1" x14ac:dyDescent="0.3">
      <c r="A19" s="99" t="s">
        <v>342</v>
      </c>
      <c r="B19" s="20"/>
      <c r="C19" s="137">
        <f>SUM(C4:C18)</f>
        <v>31567641.050000001</v>
      </c>
    </row>
    <row r="20" spans="1:3" x14ac:dyDescent="0.2">
      <c r="A20" s="18"/>
      <c r="B20" s="18"/>
      <c r="C20" s="78"/>
    </row>
  </sheetData>
  <phoneticPr fontId="0" type="noConversion"/>
  <printOptions horizontalCentered="1"/>
  <pageMargins left="0.71" right="0.75" top="0.53" bottom="0.25" header="0.5" footer="0.5"/>
  <pageSetup scale="8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616"/>
  <sheetViews>
    <sheetView topLeftCell="A7" workbookViewId="0">
      <selection activeCell="A9" sqref="A9"/>
    </sheetView>
  </sheetViews>
  <sheetFormatPr defaultRowHeight="12.75" x14ac:dyDescent="0.2"/>
  <cols>
    <col min="1" max="1" width="25.7109375" customWidth="1"/>
    <col min="2" max="2" width="14.7109375" customWidth="1"/>
    <col min="3" max="7" width="14" customWidth="1"/>
    <col min="8" max="9" width="16.85546875" customWidth="1"/>
    <col min="10" max="11" width="16.5703125" customWidth="1"/>
    <col min="12" max="12" width="17" customWidth="1"/>
    <col min="13" max="13" width="10.28515625" customWidth="1"/>
    <col min="14" max="14" width="10.7109375" customWidth="1"/>
    <col min="15" max="15" width="13.42578125" customWidth="1"/>
    <col min="16" max="16" width="11.140625" customWidth="1"/>
    <col min="17" max="17" width="11.7109375" customWidth="1"/>
    <col min="18" max="18" width="10" customWidth="1"/>
    <col min="19" max="19" width="9.7109375" customWidth="1"/>
    <col min="20" max="20" width="12.5703125" customWidth="1"/>
    <col min="21" max="21" width="8.42578125" customWidth="1"/>
    <col min="22" max="22" width="11.140625" customWidth="1"/>
    <col min="23" max="23" width="9" customWidth="1"/>
    <col min="24" max="24" width="8.7109375" customWidth="1"/>
    <col min="25" max="25" width="9.7109375" customWidth="1"/>
    <col min="27" max="27" width="9.7109375" customWidth="1"/>
    <col min="28" max="28" width="10.5703125" customWidth="1"/>
    <col min="29" max="29" width="10" customWidth="1"/>
    <col min="30" max="30" width="10.7109375" customWidth="1"/>
    <col min="31" max="31" width="11.7109375" customWidth="1"/>
    <col min="32" max="33" width="10.7109375" customWidth="1"/>
    <col min="42" max="42" width="12.85546875" customWidth="1"/>
    <col min="43" max="43" width="17.42578125" customWidth="1"/>
    <col min="44" max="44" width="12.42578125" customWidth="1"/>
  </cols>
  <sheetData>
    <row r="1" spans="1:44" ht="15.75" x14ac:dyDescent="0.25">
      <c r="A1" s="63" t="s">
        <v>626</v>
      </c>
      <c r="B1" s="62"/>
      <c r="C1" s="62"/>
      <c r="D1" s="62"/>
      <c r="E1" s="62"/>
      <c r="F1" s="62"/>
      <c r="G1" s="62"/>
      <c r="J1" s="62"/>
      <c r="K1" s="62"/>
      <c r="L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P1" t="s">
        <v>1</v>
      </c>
      <c r="AQ1" s="83" t="s">
        <v>558</v>
      </c>
      <c r="AR1" s="82"/>
    </row>
    <row r="2" spans="1:44" ht="15.75" x14ac:dyDescent="0.25">
      <c r="A2" s="113" t="str">
        <f>ReportMonth</f>
        <v>DECEMBER 2004</v>
      </c>
      <c r="H2" s="62"/>
      <c r="I2" s="62"/>
      <c r="J2" s="62"/>
      <c r="K2" s="6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P2" t="s">
        <v>2</v>
      </c>
      <c r="AQ2" s="83" t="s">
        <v>558</v>
      </c>
    </row>
    <row r="3" spans="1:44" ht="15" x14ac:dyDescent="0.2">
      <c r="A3" s="87" t="s">
        <v>3</v>
      </c>
      <c r="B3" s="87"/>
      <c r="C3" s="43"/>
      <c r="D3" s="43"/>
      <c r="E3" s="43"/>
      <c r="F3" s="43"/>
      <c r="G3" s="43"/>
      <c r="H3" s="87"/>
      <c r="I3" s="87"/>
      <c r="J3" s="87"/>
      <c r="K3" s="87"/>
      <c r="L3" s="4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Q3" s="83"/>
    </row>
    <row r="4" spans="1:44" ht="15" x14ac:dyDescent="0.2">
      <c r="A4" s="87" t="s">
        <v>444</v>
      </c>
      <c r="B4" s="87"/>
      <c r="C4" s="43"/>
      <c r="D4" s="43"/>
      <c r="E4" s="43"/>
      <c r="F4" s="43"/>
      <c r="G4" s="43"/>
      <c r="H4" s="87"/>
      <c r="I4" s="87"/>
      <c r="J4" s="87"/>
      <c r="K4" s="87"/>
      <c r="L4" s="4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Q4" s="83"/>
    </row>
    <row r="5" spans="1:44" ht="15" x14ac:dyDescent="0.2">
      <c r="A5" s="87" t="s">
        <v>4</v>
      </c>
      <c r="B5" s="43"/>
      <c r="C5" s="87"/>
      <c r="D5" s="87"/>
      <c r="E5" s="87"/>
      <c r="F5" s="87"/>
      <c r="G5" s="87"/>
      <c r="H5" s="87"/>
      <c r="I5" s="87"/>
      <c r="J5" s="87"/>
      <c r="K5" s="87"/>
      <c r="L5" s="42"/>
      <c r="M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7" spans="1:44" ht="15.75" x14ac:dyDescent="0.25">
      <c r="A7" s="114" t="str">
        <f>CONCATENATE("EXCISE TAX COLLECTED IN ",ReportMonth," FOR ",ActivityMonth," FUEL TRANSACTIONS")</f>
        <v>EXCISE TAX COLLECTED IN DECEMBER 2004 FOR DECEMBER 2004 FUEL TRANSACTIONS</v>
      </c>
      <c r="B7" s="43"/>
      <c r="C7" s="42"/>
      <c r="D7" s="42"/>
      <c r="E7" s="42"/>
      <c r="F7" s="42"/>
      <c r="G7" s="42"/>
      <c r="H7" s="42"/>
      <c r="I7" s="42"/>
      <c r="J7" s="42"/>
      <c r="K7" s="42"/>
      <c r="L7" s="42"/>
      <c r="M7" s="1"/>
    </row>
    <row r="8" spans="1:44" ht="18" customHeight="1" x14ac:dyDescent="0.2"/>
    <row r="9" spans="1:44" x14ac:dyDescent="0.2">
      <c r="A9" s="1"/>
      <c r="B9" s="5" t="s">
        <v>6</v>
      </c>
      <c r="C9" s="5" t="s">
        <v>6</v>
      </c>
      <c r="D9" s="5" t="s">
        <v>6</v>
      </c>
      <c r="E9" s="5" t="s">
        <v>6</v>
      </c>
      <c r="F9" s="5" t="s">
        <v>601</v>
      </c>
      <c r="G9" s="5" t="s">
        <v>602</v>
      </c>
      <c r="H9" s="5" t="s">
        <v>7</v>
      </c>
      <c r="I9" s="5" t="s">
        <v>7</v>
      </c>
      <c r="J9" s="5" t="s">
        <v>7</v>
      </c>
      <c r="K9" s="5" t="s">
        <v>7</v>
      </c>
      <c r="M9" s="1"/>
    </row>
    <row r="10" spans="1:44" x14ac:dyDescent="0.2">
      <c r="A10" s="1"/>
      <c r="B10" s="5" t="s">
        <v>5</v>
      </c>
      <c r="C10" s="5" t="s">
        <v>5</v>
      </c>
      <c r="D10" s="5" t="s">
        <v>5</v>
      </c>
      <c r="E10" s="5" t="s">
        <v>5</v>
      </c>
      <c r="F10" s="5" t="s">
        <v>5</v>
      </c>
      <c r="G10" s="5" t="s">
        <v>5</v>
      </c>
      <c r="H10" s="5" t="s">
        <v>591</v>
      </c>
      <c r="I10" s="5" t="s">
        <v>590</v>
      </c>
      <c r="J10" s="5" t="s">
        <v>589</v>
      </c>
      <c r="K10" s="5" t="s">
        <v>592</v>
      </c>
      <c r="L10" s="5" t="s">
        <v>11</v>
      </c>
      <c r="M10" s="1"/>
    </row>
    <row r="11" spans="1:44" s="20" customFormat="1" ht="15" customHeight="1" thickBot="1" x14ac:dyDescent="0.25">
      <c r="A11" s="80" t="s">
        <v>600</v>
      </c>
      <c r="B11" s="79" t="s">
        <v>591</v>
      </c>
      <c r="C11" s="79" t="s">
        <v>590</v>
      </c>
      <c r="D11" s="79" t="s">
        <v>589</v>
      </c>
      <c r="E11" s="79" t="s">
        <v>592</v>
      </c>
      <c r="F11" s="79" t="s">
        <v>593</v>
      </c>
      <c r="G11" s="79" t="s">
        <v>593</v>
      </c>
      <c r="H11" s="79" t="s">
        <v>594</v>
      </c>
      <c r="I11" s="79" t="s">
        <v>597</v>
      </c>
      <c r="J11" s="79" t="s">
        <v>595</v>
      </c>
      <c r="K11" s="79" t="s">
        <v>596</v>
      </c>
      <c r="L11" s="112" t="s">
        <v>20</v>
      </c>
      <c r="M11" s="18"/>
    </row>
    <row r="12" spans="1:44" s="20" customFormat="1" ht="15" customHeight="1" x14ac:dyDescent="0.2">
      <c r="A12" s="290" t="s">
        <v>599</v>
      </c>
      <c r="B12" s="289"/>
      <c r="C12" s="289"/>
      <c r="D12" s="289"/>
      <c r="E12" s="289"/>
      <c r="F12" s="289"/>
      <c r="G12" s="289"/>
      <c r="H12" s="288">
        <v>0.1862</v>
      </c>
      <c r="I12" s="288">
        <v>0.20580000000000001</v>
      </c>
      <c r="J12" s="288">
        <v>0.2646</v>
      </c>
      <c r="K12" s="288">
        <v>0.21560000000000001</v>
      </c>
      <c r="L12" s="289"/>
      <c r="M12" s="18"/>
    </row>
    <row r="13" spans="1:44" ht="12.75" customHeight="1" x14ac:dyDescent="0.2">
      <c r="A13" s="1" t="s">
        <v>38</v>
      </c>
      <c r="B13" s="7"/>
      <c r="C13" s="7"/>
      <c r="D13" s="7"/>
      <c r="E13" s="7"/>
      <c r="F13" s="7"/>
      <c r="G13" s="7"/>
      <c r="H13" s="2">
        <f>B13*0.1862</f>
        <v>0</v>
      </c>
      <c r="I13" s="2">
        <f>C13*0.2058</f>
        <v>0</v>
      </c>
      <c r="J13" s="2">
        <f t="shared" ref="J13:J19" si="0">D13*0.2646</f>
        <v>0</v>
      </c>
      <c r="K13" s="2">
        <f>E13*0.2156</f>
        <v>0</v>
      </c>
      <c r="L13" s="2">
        <f>+H13+I13+J13+K13</f>
        <v>0</v>
      </c>
      <c r="M13" s="1"/>
    </row>
    <row r="14" spans="1:44" ht="12.75" customHeight="1" x14ac:dyDescent="0.2">
      <c r="A14" s="1" t="s">
        <v>39</v>
      </c>
      <c r="B14" s="7"/>
      <c r="C14" s="7"/>
      <c r="D14" s="7">
        <v>155128</v>
      </c>
      <c r="E14" s="7"/>
      <c r="F14" s="7">
        <v>1378654</v>
      </c>
      <c r="G14" s="7">
        <v>1369743</v>
      </c>
      <c r="H14" s="2">
        <f t="shared" ref="H14:H101" si="1">B14*0.1862</f>
        <v>0</v>
      </c>
      <c r="I14" s="2">
        <f t="shared" ref="I14:I101" si="2">C14*0.2058</f>
        <v>0</v>
      </c>
      <c r="J14" s="2">
        <f t="shared" si="0"/>
        <v>41046.870000000003</v>
      </c>
      <c r="K14" s="2">
        <f t="shared" ref="K14:K101" si="3">E14*0.2156</f>
        <v>0</v>
      </c>
      <c r="L14" s="2">
        <f t="shared" ref="L14:L101" si="4">+H14+I14+J14+K14</f>
        <v>41046.870000000003</v>
      </c>
      <c r="M14" s="1"/>
    </row>
    <row r="15" spans="1:44" x14ac:dyDescent="0.2">
      <c r="A15" s="1" t="s">
        <v>350</v>
      </c>
      <c r="B15" s="7"/>
      <c r="C15" s="7"/>
      <c r="D15" s="7">
        <v>136216</v>
      </c>
      <c r="E15" s="7"/>
      <c r="F15" s="7">
        <v>0</v>
      </c>
      <c r="G15" s="7">
        <v>0</v>
      </c>
      <c r="H15" s="2">
        <f t="shared" si="1"/>
        <v>0</v>
      </c>
      <c r="I15" s="2">
        <f t="shared" si="2"/>
        <v>0</v>
      </c>
      <c r="J15" s="2">
        <f t="shared" si="0"/>
        <v>36042.75</v>
      </c>
      <c r="K15" s="2">
        <f t="shared" si="3"/>
        <v>0</v>
      </c>
      <c r="L15" s="2">
        <f t="shared" si="4"/>
        <v>36042.75</v>
      </c>
      <c r="M15" s="1"/>
    </row>
    <row r="16" spans="1:44" x14ac:dyDescent="0.2">
      <c r="A16" s="7" t="s">
        <v>40</v>
      </c>
      <c r="B16" s="7"/>
      <c r="C16" s="7"/>
      <c r="D16" s="7"/>
      <c r="E16" s="7"/>
      <c r="F16" s="7"/>
      <c r="G16" s="7"/>
      <c r="H16" s="2">
        <f t="shared" si="1"/>
        <v>0</v>
      </c>
      <c r="I16" s="2">
        <f t="shared" si="2"/>
        <v>0</v>
      </c>
      <c r="J16" s="2">
        <f t="shared" si="0"/>
        <v>0</v>
      </c>
      <c r="K16" s="2">
        <f t="shared" si="3"/>
        <v>0</v>
      </c>
      <c r="L16" s="2">
        <f t="shared" si="4"/>
        <v>0</v>
      </c>
      <c r="M16" s="1"/>
    </row>
    <row r="17" spans="1:13" x14ac:dyDescent="0.2">
      <c r="A17" s="1" t="s">
        <v>487</v>
      </c>
      <c r="B17" s="7"/>
      <c r="C17" s="7"/>
      <c r="D17" s="7">
        <v>488656</v>
      </c>
      <c r="E17" s="7"/>
      <c r="F17" s="7">
        <v>0</v>
      </c>
      <c r="G17" s="7">
        <v>0</v>
      </c>
      <c r="H17" s="2">
        <f t="shared" si="1"/>
        <v>0</v>
      </c>
      <c r="I17" s="2">
        <f t="shared" si="2"/>
        <v>0</v>
      </c>
      <c r="J17" s="2">
        <f t="shared" si="0"/>
        <v>129298.38</v>
      </c>
      <c r="K17" s="2">
        <f t="shared" si="3"/>
        <v>0</v>
      </c>
      <c r="L17" s="2">
        <f t="shared" si="4"/>
        <v>129298.38</v>
      </c>
      <c r="M17" s="1"/>
    </row>
    <row r="18" spans="1:13" x14ac:dyDescent="0.2">
      <c r="A18" s="1" t="s">
        <v>718</v>
      </c>
      <c r="B18" s="7"/>
      <c r="C18" s="7"/>
      <c r="D18" s="7">
        <v>17156</v>
      </c>
      <c r="E18" s="7"/>
      <c r="F18" s="7">
        <v>0</v>
      </c>
      <c r="G18" s="7">
        <v>0</v>
      </c>
      <c r="H18" s="2">
        <f>B18*0.1862</f>
        <v>0</v>
      </c>
      <c r="I18" s="2">
        <f>C18*0.2058</f>
        <v>0</v>
      </c>
      <c r="J18" s="2">
        <f t="shared" si="0"/>
        <v>4539.4799999999996</v>
      </c>
      <c r="K18" s="2">
        <f>E18*0.2156</f>
        <v>0</v>
      </c>
      <c r="L18" s="2">
        <f>+H18+I18+J18+K18</f>
        <v>4539.4799999999996</v>
      </c>
      <c r="M18" s="1"/>
    </row>
    <row r="19" spans="1:13" x14ac:dyDescent="0.2">
      <c r="A19" s="1" t="s">
        <v>41</v>
      </c>
      <c r="B19" s="7"/>
      <c r="C19" s="7"/>
      <c r="D19" s="7">
        <v>1000</v>
      </c>
      <c r="E19" s="7"/>
      <c r="F19" s="7">
        <v>750</v>
      </c>
      <c r="G19" s="7">
        <v>750</v>
      </c>
      <c r="H19" s="2">
        <f t="shared" si="1"/>
        <v>0</v>
      </c>
      <c r="I19" s="2">
        <f t="shared" si="2"/>
        <v>0</v>
      </c>
      <c r="J19" s="2">
        <f t="shared" si="0"/>
        <v>264.60000000000002</v>
      </c>
      <c r="K19" s="2">
        <f t="shared" si="3"/>
        <v>0</v>
      </c>
      <c r="L19" s="2">
        <f t="shared" si="4"/>
        <v>264.60000000000002</v>
      </c>
      <c r="M19" s="1"/>
    </row>
    <row r="20" spans="1:13" x14ac:dyDescent="0.2">
      <c r="A20" s="1" t="s">
        <v>616</v>
      </c>
      <c r="B20" s="7"/>
      <c r="C20" s="7"/>
      <c r="D20" s="7">
        <v>26085</v>
      </c>
      <c r="E20" s="7"/>
      <c r="F20" s="7">
        <v>0</v>
      </c>
      <c r="G20" s="7">
        <v>0</v>
      </c>
      <c r="H20" s="2">
        <f>B20*0.1862</f>
        <v>0</v>
      </c>
      <c r="I20" s="2">
        <f>C20*0.2058</f>
        <v>0</v>
      </c>
      <c r="J20" s="2">
        <f>D20*0.2646-0.02</f>
        <v>6902.07</v>
      </c>
      <c r="K20" s="2">
        <f>E20*0.2156</f>
        <v>0</v>
      </c>
      <c r="L20" s="2">
        <f>+H20+I20+J20+K20</f>
        <v>6902.07</v>
      </c>
      <c r="M20" s="1"/>
    </row>
    <row r="21" spans="1:13" x14ac:dyDescent="0.2">
      <c r="A21" s="1" t="s">
        <v>739</v>
      </c>
      <c r="B21" s="7"/>
      <c r="C21" s="7"/>
      <c r="D21" s="7"/>
      <c r="E21" s="7"/>
      <c r="F21" s="7"/>
      <c r="G21" s="7"/>
      <c r="H21" s="2">
        <f>B21*0.1862</f>
        <v>0</v>
      </c>
      <c r="I21" s="2">
        <f>C21*0.2058</f>
        <v>0</v>
      </c>
      <c r="J21" s="2">
        <f>D21*0.2646+0.02</f>
        <v>0.02</v>
      </c>
      <c r="K21" s="2">
        <f>E21*0.2156</f>
        <v>0</v>
      </c>
      <c r="L21" s="2">
        <f>+H21+I21+J21+K21</f>
        <v>0.02</v>
      </c>
      <c r="M21" s="1"/>
    </row>
    <row r="22" spans="1:13" x14ac:dyDescent="0.2">
      <c r="A22" s="1" t="s">
        <v>447</v>
      </c>
      <c r="B22" s="7"/>
      <c r="C22" s="7">
        <v>-108</v>
      </c>
      <c r="D22" s="7">
        <v>3185686</v>
      </c>
      <c r="E22" s="7"/>
      <c r="F22" s="7">
        <v>2599972</v>
      </c>
      <c r="G22" s="7">
        <v>2599972</v>
      </c>
      <c r="H22" s="2">
        <f>B22*0.1862</f>
        <v>0</v>
      </c>
      <c r="I22" s="2">
        <f>C22*0.2058</f>
        <v>-22.23</v>
      </c>
      <c r="J22" s="2">
        <f>D22*0.2646</f>
        <v>842932.52</v>
      </c>
      <c r="K22" s="2">
        <f>E22*0.2156</f>
        <v>0</v>
      </c>
      <c r="L22" s="2">
        <f>+H22+I22+J22+K22</f>
        <v>842910.29</v>
      </c>
      <c r="M22" s="1"/>
    </row>
    <row r="23" spans="1:13" x14ac:dyDescent="0.2">
      <c r="A23" s="1" t="s">
        <v>448</v>
      </c>
      <c r="B23" s="7"/>
      <c r="C23" s="7"/>
      <c r="D23" s="7">
        <v>90916</v>
      </c>
      <c r="E23" s="7"/>
      <c r="F23" s="7">
        <v>0</v>
      </c>
      <c r="G23" s="7">
        <v>0</v>
      </c>
      <c r="H23" s="2">
        <f t="shared" si="1"/>
        <v>0</v>
      </c>
      <c r="I23" s="2">
        <f t="shared" si="2"/>
        <v>0</v>
      </c>
      <c r="J23" s="2">
        <f>D23*0.2646</f>
        <v>24056.37</v>
      </c>
      <c r="K23" s="2">
        <f t="shared" si="3"/>
        <v>0</v>
      </c>
      <c r="L23" s="2">
        <f t="shared" si="4"/>
        <v>24056.37</v>
      </c>
      <c r="M23" s="1"/>
    </row>
    <row r="24" spans="1:13" x14ac:dyDescent="0.2">
      <c r="A24" s="1" t="s">
        <v>353</v>
      </c>
      <c r="B24" s="7"/>
      <c r="C24" s="7"/>
      <c r="D24" s="7">
        <v>331725</v>
      </c>
      <c r="E24" s="7"/>
      <c r="F24" s="7">
        <v>641388</v>
      </c>
      <c r="G24" s="7">
        <v>641388</v>
      </c>
      <c r="H24" s="2">
        <f t="shared" si="1"/>
        <v>0</v>
      </c>
      <c r="I24" s="2">
        <f t="shared" si="2"/>
        <v>0</v>
      </c>
      <c r="J24" s="2">
        <f>D24*0.2646-0.03</f>
        <v>87774.41</v>
      </c>
      <c r="K24" s="2">
        <f t="shared" si="3"/>
        <v>0</v>
      </c>
      <c r="L24" s="2">
        <f t="shared" si="4"/>
        <v>87774.41</v>
      </c>
      <c r="M24" s="1"/>
    </row>
    <row r="25" spans="1:13" x14ac:dyDescent="0.2">
      <c r="A25" s="1" t="s">
        <v>740</v>
      </c>
      <c r="B25" s="7"/>
      <c r="C25" s="7"/>
      <c r="D25" s="7"/>
      <c r="E25" s="7"/>
      <c r="F25" s="7"/>
      <c r="G25" s="7"/>
      <c r="H25" s="2">
        <f>B25*0.1862</f>
        <v>0</v>
      </c>
      <c r="I25" s="2">
        <f>C25*0.2058</f>
        <v>0</v>
      </c>
      <c r="J25" s="2">
        <f>D25*0.2646+0.03</f>
        <v>0.03</v>
      </c>
      <c r="K25" s="2">
        <f>E25*0.2156</f>
        <v>0</v>
      </c>
      <c r="L25" s="2">
        <f>+H25+I25+J25+K25</f>
        <v>0.03</v>
      </c>
      <c r="M25" s="1"/>
    </row>
    <row r="26" spans="1:13" s="20" customFormat="1" x14ac:dyDescent="0.2">
      <c r="A26" s="18" t="s">
        <v>488</v>
      </c>
      <c r="B26" s="242"/>
      <c r="C26" s="242"/>
      <c r="D26" s="242">
        <v>8813</v>
      </c>
      <c r="E26" s="242"/>
      <c r="F26" s="242">
        <v>3134</v>
      </c>
      <c r="G26" s="242">
        <v>3134</v>
      </c>
      <c r="H26" s="2">
        <f t="shared" si="1"/>
        <v>0</v>
      </c>
      <c r="I26" s="2">
        <f t="shared" si="2"/>
        <v>0</v>
      </c>
      <c r="J26" s="2">
        <f>D26*0.2646</f>
        <v>2331.92</v>
      </c>
      <c r="K26" s="2">
        <f t="shared" si="3"/>
        <v>0</v>
      </c>
      <c r="L26" s="2">
        <f t="shared" si="4"/>
        <v>2331.92</v>
      </c>
      <c r="M26" s="18"/>
    </row>
    <row r="27" spans="1:13" s="20" customFormat="1" x14ac:dyDescent="0.2">
      <c r="A27" s="1" t="s">
        <v>301</v>
      </c>
      <c r="B27" s="242"/>
      <c r="C27" s="242"/>
      <c r="D27" s="242">
        <v>535075</v>
      </c>
      <c r="E27" s="242"/>
      <c r="F27" s="242">
        <v>363791</v>
      </c>
      <c r="G27" s="242">
        <v>363825</v>
      </c>
      <c r="H27" s="2">
        <f t="shared" si="1"/>
        <v>0</v>
      </c>
      <c r="I27" s="2">
        <f t="shared" si="2"/>
        <v>0</v>
      </c>
      <c r="J27" s="2">
        <f>D27*0.2646-0.03</f>
        <v>141580.82</v>
      </c>
      <c r="K27" s="2">
        <f t="shared" si="3"/>
        <v>0</v>
      </c>
      <c r="L27" s="2">
        <f t="shared" si="4"/>
        <v>141580.82</v>
      </c>
      <c r="M27" s="18"/>
    </row>
    <row r="28" spans="1:13" x14ac:dyDescent="0.2">
      <c r="A28" s="1" t="s">
        <v>741</v>
      </c>
      <c r="B28" s="7"/>
      <c r="C28" s="7"/>
      <c r="D28" s="7"/>
      <c r="E28" s="7"/>
      <c r="F28" s="7"/>
      <c r="G28" s="7"/>
      <c r="H28" s="2">
        <f>B28*0.1862</f>
        <v>0</v>
      </c>
      <c r="I28" s="2">
        <f>C28*0.2058</f>
        <v>0</v>
      </c>
      <c r="J28" s="2">
        <f>D28*0.2646+0.03</f>
        <v>0.03</v>
      </c>
      <c r="K28" s="2">
        <f>E28*0.2156</f>
        <v>0</v>
      </c>
      <c r="L28" s="2">
        <f>+H28+I28+J28+K28</f>
        <v>0.03</v>
      </c>
      <c r="M28" s="1"/>
    </row>
    <row r="29" spans="1:13" x14ac:dyDescent="0.2">
      <c r="A29" s="1" t="s">
        <v>42</v>
      </c>
      <c r="B29" s="7"/>
      <c r="C29" s="7"/>
      <c r="D29" s="7">
        <v>279858</v>
      </c>
      <c r="E29" s="7"/>
      <c r="F29" s="7">
        <v>233918</v>
      </c>
      <c r="G29" s="7">
        <v>242480</v>
      </c>
      <c r="H29" s="2">
        <f t="shared" si="1"/>
        <v>0</v>
      </c>
      <c r="I29" s="2">
        <f t="shared" si="2"/>
        <v>0</v>
      </c>
      <c r="J29" s="2">
        <f>D29*0.2646-13.79</f>
        <v>74036.639999999999</v>
      </c>
      <c r="K29" s="2">
        <f t="shared" si="3"/>
        <v>0</v>
      </c>
      <c r="L29" s="2">
        <f t="shared" si="4"/>
        <v>74036.639999999999</v>
      </c>
      <c r="M29" s="1"/>
    </row>
    <row r="30" spans="1:13" x14ac:dyDescent="0.2">
      <c r="A30" s="1" t="s">
        <v>449</v>
      </c>
      <c r="B30" s="7"/>
      <c r="C30" s="7"/>
      <c r="D30" s="7">
        <v>2373032</v>
      </c>
      <c r="E30" s="7">
        <v>151</v>
      </c>
      <c r="F30" s="7">
        <v>0</v>
      </c>
      <c r="G30" s="7">
        <v>0</v>
      </c>
      <c r="H30" s="2">
        <f t="shared" si="1"/>
        <v>0</v>
      </c>
      <c r="I30" s="2">
        <f t="shared" si="2"/>
        <v>0</v>
      </c>
      <c r="J30" s="2">
        <f>D30*0.2646-0.01</f>
        <v>627904.26</v>
      </c>
      <c r="K30" s="2">
        <f t="shared" si="3"/>
        <v>32.56</v>
      </c>
      <c r="L30" s="2">
        <f t="shared" si="4"/>
        <v>627936.81999999995</v>
      </c>
      <c r="M30" s="1"/>
    </row>
    <row r="31" spans="1:13" x14ac:dyDescent="0.2">
      <c r="A31" s="1" t="s">
        <v>742</v>
      </c>
      <c r="B31" s="7"/>
      <c r="C31" s="7"/>
      <c r="D31" s="7"/>
      <c r="E31" s="7"/>
      <c r="F31" s="7"/>
      <c r="G31" s="7"/>
      <c r="H31" s="2">
        <f>B31*0.1862</f>
        <v>0</v>
      </c>
      <c r="I31" s="2">
        <f>C31*0.2058</f>
        <v>0</v>
      </c>
      <c r="J31" s="2">
        <f>D31*0.2646+0.01</f>
        <v>0.01</v>
      </c>
      <c r="K31" s="2">
        <f>E31*0.2156</f>
        <v>0</v>
      </c>
      <c r="L31" s="2">
        <f>+H31+I31+J31+K31</f>
        <v>0.01</v>
      </c>
      <c r="M31" s="1"/>
    </row>
    <row r="32" spans="1:13" ht="12.75" customHeight="1" x14ac:dyDescent="0.2">
      <c r="A32" s="1" t="s">
        <v>759</v>
      </c>
      <c r="B32" s="7"/>
      <c r="C32" s="7"/>
      <c r="D32" s="7">
        <v>-12006</v>
      </c>
      <c r="E32" s="7"/>
      <c r="F32" s="7"/>
      <c r="G32" s="7"/>
      <c r="H32" s="2">
        <f>B32*0.1862</f>
        <v>0</v>
      </c>
      <c r="I32" s="2">
        <f>C32*0.2058</f>
        <v>0</v>
      </c>
      <c r="J32" s="2">
        <f>D32*0.2646+0.01</f>
        <v>-3176.78</v>
      </c>
      <c r="K32" s="2">
        <f>E32*0.2156</f>
        <v>0</v>
      </c>
      <c r="L32" s="2">
        <f>+H32+I32+J32+K32</f>
        <v>-3176.78</v>
      </c>
      <c r="M32" s="1"/>
    </row>
    <row r="33" spans="1:13" x14ac:dyDescent="0.2">
      <c r="A33" s="1" t="s">
        <v>43</v>
      </c>
      <c r="B33" s="7"/>
      <c r="C33" s="7"/>
      <c r="D33" s="7">
        <v>516485</v>
      </c>
      <c r="E33" s="7"/>
      <c r="F33" s="7">
        <v>296320</v>
      </c>
      <c r="G33" s="7">
        <v>0</v>
      </c>
      <c r="H33" s="2">
        <f t="shared" si="1"/>
        <v>0</v>
      </c>
      <c r="I33" s="2">
        <f t="shared" si="2"/>
        <v>0</v>
      </c>
      <c r="J33" s="2">
        <f>D33*0.2646-0.01</f>
        <v>136661.92000000001</v>
      </c>
      <c r="K33" s="2">
        <f t="shared" si="3"/>
        <v>0</v>
      </c>
      <c r="L33" s="2">
        <f t="shared" si="4"/>
        <v>136661.92000000001</v>
      </c>
      <c r="M33" s="1"/>
    </row>
    <row r="34" spans="1:13" x14ac:dyDescent="0.2">
      <c r="A34" s="1" t="s">
        <v>743</v>
      </c>
      <c r="B34" s="7"/>
      <c r="C34" s="7"/>
      <c r="D34" s="7"/>
      <c r="E34" s="7"/>
      <c r="F34" s="7"/>
      <c r="G34" s="7"/>
      <c r="H34" s="2">
        <f>B34*0.1862</f>
        <v>0</v>
      </c>
      <c r="I34" s="2">
        <f>C34*0.2058</f>
        <v>0</v>
      </c>
      <c r="J34" s="2">
        <f>D34*0.2646+0.01</f>
        <v>0.01</v>
      </c>
      <c r="K34" s="2">
        <f>E34*0.2156</f>
        <v>0</v>
      </c>
      <c r="L34" s="2">
        <f>+H34+I34+J34+K34</f>
        <v>0.01</v>
      </c>
      <c r="M34" s="1"/>
    </row>
    <row r="35" spans="1:13" x14ac:dyDescent="0.2">
      <c r="A35" s="1" t="s">
        <v>44</v>
      </c>
      <c r="B35" s="7"/>
      <c r="C35" s="7"/>
      <c r="D35" s="7">
        <v>59302</v>
      </c>
      <c r="E35" s="7"/>
      <c r="F35" s="7">
        <v>100541</v>
      </c>
      <c r="G35" s="7">
        <v>105054</v>
      </c>
      <c r="H35" s="2">
        <f t="shared" si="1"/>
        <v>0</v>
      </c>
      <c r="I35" s="2">
        <f t="shared" si="2"/>
        <v>0</v>
      </c>
      <c r="J35" s="2">
        <f>D35*0.2646</f>
        <v>15691.31</v>
      </c>
      <c r="K35" s="2">
        <f t="shared" si="3"/>
        <v>0</v>
      </c>
      <c r="L35" s="2">
        <f t="shared" si="4"/>
        <v>15691.31</v>
      </c>
      <c r="M35" s="1"/>
    </row>
    <row r="36" spans="1:13" x14ac:dyDescent="0.2">
      <c r="A36" s="18" t="s">
        <v>45</v>
      </c>
      <c r="B36" s="7"/>
      <c r="C36" s="7"/>
      <c r="D36" s="7">
        <v>77665</v>
      </c>
      <c r="E36" s="7"/>
      <c r="F36" s="7">
        <v>0</v>
      </c>
      <c r="G36" s="7">
        <v>0</v>
      </c>
      <c r="H36" s="2">
        <f t="shared" si="1"/>
        <v>0</v>
      </c>
      <c r="I36" s="2">
        <f t="shared" si="2"/>
        <v>0</v>
      </c>
      <c r="J36" s="2">
        <f>D36*0.2646</f>
        <v>20550.16</v>
      </c>
      <c r="K36" s="2">
        <f t="shared" si="3"/>
        <v>0</v>
      </c>
      <c r="L36" s="2">
        <f t="shared" si="4"/>
        <v>20550.16</v>
      </c>
      <c r="M36" s="1"/>
    </row>
    <row r="37" spans="1:13" x14ac:dyDescent="0.2">
      <c r="A37" s="1" t="s">
        <v>603</v>
      </c>
      <c r="B37" s="7"/>
      <c r="C37" s="7"/>
      <c r="D37" s="7">
        <v>0</v>
      </c>
      <c r="E37" s="7"/>
      <c r="F37" s="7">
        <v>230501</v>
      </c>
      <c r="G37" s="7">
        <v>230501</v>
      </c>
      <c r="H37" s="2">
        <f>B37*0.1862</f>
        <v>0</v>
      </c>
      <c r="I37" s="2">
        <f>C37*0.2058</f>
        <v>0</v>
      </c>
      <c r="J37" s="2">
        <f>D37*0.2646</f>
        <v>0</v>
      </c>
      <c r="K37" s="2">
        <f>E37*0.2156</f>
        <v>0</v>
      </c>
      <c r="L37" s="2">
        <f>+H37+I37+J37+K37</f>
        <v>0</v>
      </c>
      <c r="M37" s="1"/>
    </row>
    <row r="38" spans="1:13" x14ac:dyDescent="0.2">
      <c r="A38" s="1" t="s">
        <v>46</v>
      </c>
      <c r="B38" s="7"/>
      <c r="C38" s="7"/>
      <c r="D38" s="7">
        <v>45380</v>
      </c>
      <c r="E38" s="7"/>
      <c r="F38" s="7">
        <v>0</v>
      </c>
      <c r="G38" s="7">
        <v>0</v>
      </c>
      <c r="H38" s="2">
        <f t="shared" si="1"/>
        <v>0</v>
      </c>
      <c r="I38" s="2">
        <f t="shared" si="2"/>
        <v>0</v>
      </c>
      <c r="J38" s="2">
        <f>D38*0.2646</f>
        <v>12007.55</v>
      </c>
      <c r="K38" s="2">
        <f t="shared" si="3"/>
        <v>0</v>
      </c>
      <c r="L38" s="2">
        <f t="shared" si="4"/>
        <v>12007.55</v>
      </c>
      <c r="M38" s="1"/>
    </row>
    <row r="39" spans="1:13" x14ac:dyDescent="0.2">
      <c r="A39" s="1" t="s">
        <v>450</v>
      </c>
      <c r="B39" s="7"/>
      <c r="C39" s="7"/>
      <c r="D39" s="7">
        <v>44123</v>
      </c>
      <c r="E39" s="7"/>
      <c r="F39" s="7">
        <v>0</v>
      </c>
      <c r="G39" s="7">
        <v>0</v>
      </c>
      <c r="H39" s="2">
        <f t="shared" si="1"/>
        <v>0</v>
      </c>
      <c r="I39" s="2">
        <f t="shared" si="2"/>
        <v>0</v>
      </c>
      <c r="J39" s="2">
        <f>D39*0.2646-0.01</f>
        <v>11674.94</v>
      </c>
      <c r="K39" s="2">
        <f t="shared" si="3"/>
        <v>0</v>
      </c>
      <c r="L39" s="2">
        <f t="shared" si="4"/>
        <v>11674.94</v>
      </c>
      <c r="M39" s="1"/>
    </row>
    <row r="40" spans="1:13" x14ac:dyDescent="0.2">
      <c r="A40" s="1" t="s">
        <v>744</v>
      </c>
      <c r="B40" s="7"/>
      <c r="C40" s="7"/>
      <c r="D40" s="7"/>
      <c r="E40" s="7"/>
      <c r="F40" s="7"/>
      <c r="G40" s="7"/>
      <c r="H40" s="2">
        <f>B40*0.1862</f>
        <v>0</v>
      </c>
      <c r="I40" s="2">
        <f>C40*0.2058</f>
        <v>0</v>
      </c>
      <c r="J40" s="2">
        <f>D40*0.2646+0.01</f>
        <v>0.01</v>
      </c>
      <c r="K40" s="2">
        <f>E40*0.2156</f>
        <v>0</v>
      </c>
      <c r="L40" s="2">
        <f>+H40+I40+J40+K40</f>
        <v>0.01</v>
      </c>
      <c r="M40" s="1"/>
    </row>
    <row r="41" spans="1:13" x14ac:dyDescent="0.2">
      <c r="A41" s="1" t="s">
        <v>762</v>
      </c>
      <c r="B41" s="7"/>
      <c r="C41" s="7"/>
      <c r="D41" s="7">
        <v>0</v>
      </c>
      <c r="E41" s="7"/>
      <c r="F41" s="7">
        <v>11102</v>
      </c>
      <c r="G41" s="7">
        <v>11102</v>
      </c>
      <c r="H41" s="2">
        <f>B41*0.1862</f>
        <v>0</v>
      </c>
      <c r="I41" s="2">
        <f>C41*0.2058</f>
        <v>0</v>
      </c>
      <c r="J41" s="2">
        <f>D41*0.2646</f>
        <v>0</v>
      </c>
      <c r="K41" s="2">
        <f>E41*0.2156</f>
        <v>0</v>
      </c>
      <c r="L41" s="2">
        <f>+H41+I41+J41+K41</f>
        <v>0</v>
      </c>
      <c r="M41" s="1"/>
    </row>
    <row r="42" spans="1:13" x14ac:dyDescent="0.2">
      <c r="A42" s="1" t="s">
        <v>433</v>
      </c>
      <c r="B42" s="7"/>
      <c r="C42" s="7"/>
      <c r="D42" s="7">
        <v>314293</v>
      </c>
      <c r="E42" s="7"/>
      <c r="F42" s="7">
        <v>0</v>
      </c>
      <c r="G42" s="7">
        <v>0</v>
      </c>
      <c r="H42" s="2">
        <f t="shared" si="1"/>
        <v>0</v>
      </c>
      <c r="I42" s="2">
        <f t="shared" si="2"/>
        <v>0</v>
      </c>
      <c r="J42" s="2">
        <f>D42*0.2646</f>
        <v>83161.929999999993</v>
      </c>
      <c r="K42" s="2">
        <f t="shared" si="3"/>
        <v>0</v>
      </c>
      <c r="L42" s="2">
        <f t="shared" si="4"/>
        <v>83161.929999999993</v>
      </c>
      <c r="M42" s="1"/>
    </row>
    <row r="43" spans="1:13" x14ac:dyDescent="0.2">
      <c r="A43" s="1" t="s">
        <v>456</v>
      </c>
      <c r="B43" s="7"/>
      <c r="C43" s="7"/>
      <c r="D43" s="7">
        <v>0</v>
      </c>
      <c r="E43" s="7"/>
      <c r="F43" s="7">
        <v>6285</v>
      </c>
      <c r="G43" s="7">
        <v>6285</v>
      </c>
      <c r="H43" s="2">
        <f>B43*0.1862</f>
        <v>0</v>
      </c>
      <c r="I43" s="2">
        <f>C43*0.2058</f>
        <v>0</v>
      </c>
      <c r="J43" s="2">
        <f>D43*0.2646</f>
        <v>0</v>
      </c>
      <c r="K43" s="2">
        <f>E43*0.2156</f>
        <v>0</v>
      </c>
      <c r="L43" s="2">
        <f>+H43+I43+J43+K43</f>
        <v>0</v>
      </c>
      <c r="M43" s="1"/>
    </row>
    <row r="44" spans="1:13" x14ac:dyDescent="0.2">
      <c r="A44" s="1" t="s">
        <v>451</v>
      </c>
      <c r="B44" s="7"/>
      <c r="C44" s="7"/>
      <c r="D44" s="7">
        <v>83886</v>
      </c>
      <c r="E44" s="7"/>
      <c r="F44" s="7">
        <v>279687</v>
      </c>
      <c r="G44" s="7">
        <v>279687</v>
      </c>
      <c r="H44" s="2">
        <f t="shared" si="1"/>
        <v>0</v>
      </c>
      <c r="I44" s="2">
        <f t="shared" si="2"/>
        <v>0</v>
      </c>
      <c r="J44" s="2">
        <f>D44*0.2646-374.21</f>
        <v>21822.03</v>
      </c>
      <c r="K44" s="2">
        <f t="shared" si="3"/>
        <v>0</v>
      </c>
      <c r="L44" s="2">
        <f t="shared" si="4"/>
        <v>21822.03</v>
      </c>
      <c r="M44" s="1"/>
    </row>
    <row r="45" spans="1:13" x14ac:dyDescent="0.2">
      <c r="A45" s="1" t="s">
        <v>720</v>
      </c>
      <c r="B45" s="7"/>
      <c r="C45" s="7"/>
      <c r="D45" s="7">
        <v>2951</v>
      </c>
      <c r="E45" s="7"/>
      <c r="F45" s="7">
        <v>0</v>
      </c>
      <c r="G45" s="7">
        <v>0</v>
      </c>
      <c r="H45" s="2">
        <f>B45*0.1862</f>
        <v>0</v>
      </c>
      <c r="I45" s="2">
        <f>C45*0.2058</f>
        <v>0</v>
      </c>
      <c r="J45" s="2">
        <f>D45*0.2646</f>
        <v>780.83</v>
      </c>
      <c r="K45" s="2">
        <f>E45*0.2156</f>
        <v>0</v>
      </c>
      <c r="L45" s="2">
        <f>+H45+I45+J45+K45</f>
        <v>780.83</v>
      </c>
      <c r="M45" s="1"/>
    </row>
    <row r="46" spans="1:13" x14ac:dyDescent="0.2">
      <c r="A46" s="1" t="s">
        <v>721</v>
      </c>
      <c r="B46" s="7"/>
      <c r="C46" s="7"/>
      <c r="D46" s="7">
        <v>70</v>
      </c>
      <c r="E46" s="7"/>
      <c r="F46" s="7">
        <v>0</v>
      </c>
      <c r="G46" s="7">
        <v>0</v>
      </c>
      <c r="H46" s="2">
        <f>B46*0.1862</f>
        <v>0</v>
      </c>
      <c r="I46" s="2">
        <f>C46*0.2058</f>
        <v>0</v>
      </c>
      <c r="J46" s="2">
        <f>D46*0.2646-1.51</f>
        <v>17.010000000000002</v>
      </c>
      <c r="K46" s="2">
        <f>E46*0.2156</f>
        <v>0</v>
      </c>
      <c r="L46" s="2">
        <f>+H46+I46+J46+K46</f>
        <v>17.010000000000002</v>
      </c>
      <c r="M46" s="1"/>
    </row>
    <row r="47" spans="1:13" x14ac:dyDescent="0.2">
      <c r="A47" s="1" t="s">
        <v>457</v>
      </c>
      <c r="B47" s="7"/>
      <c r="C47" s="7"/>
      <c r="D47" s="7">
        <v>673</v>
      </c>
      <c r="E47" s="7"/>
      <c r="F47" s="7">
        <v>434066</v>
      </c>
      <c r="G47" s="7">
        <v>434066</v>
      </c>
      <c r="H47" s="2">
        <f t="shared" si="1"/>
        <v>0</v>
      </c>
      <c r="I47" s="2">
        <f t="shared" si="2"/>
        <v>0</v>
      </c>
      <c r="J47" s="2">
        <f>D47*0.2646</f>
        <v>178.08</v>
      </c>
      <c r="K47" s="2">
        <f t="shared" si="3"/>
        <v>0</v>
      </c>
      <c r="L47" s="2">
        <f t="shared" si="4"/>
        <v>178.08</v>
      </c>
      <c r="M47" s="1"/>
    </row>
    <row r="48" spans="1:13" x14ac:dyDescent="0.2">
      <c r="A48" s="1" t="s">
        <v>738</v>
      </c>
      <c r="B48" s="7"/>
      <c r="C48" s="7"/>
      <c r="D48" s="7">
        <v>92449</v>
      </c>
      <c r="E48" s="7"/>
      <c r="F48" s="7">
        <v>0</v>
      </c>
      <c r="G48" s="7">
        <v>0</v>
      </c>
      <c r="H48" s="2">
        <f>B48*0.1862</f>
        <v>0</v>
      </c>
      <c r="I48" s="2">
        <f>C48*0.2058</f>
        <v>0</v>
      </c>
      <c r="J48" s="2">
        <f>D48*0.2646-1627.61</f>
        <v>22834.400000000001</v>
      </c>
      <c r="K48" s="2">
        <f>E48*0.2156</f>
        <v>0</v>
      </c>
      <c r="L48" s="2">
        <f>+H48+I48+J48+K48</f>
        <v>22834.400000000001</v>
      </c>
      <c r="M48" s="1"/>
    </row>
    <row r="49" spans="1:13" x14ac:dyDescent="0.2">
      <c r="A49" s="1" t="s">
        <v>745</v>
      </c>
      <c r="B49" s="7"/>
      <c r="C49" s="7"/>
      <c r="D49" s="7"/>
      <c r="E49" s="7"/>
      <c r="F49" s="7"/>
      <c r="G49" s="7"/>
      <c r="H49" s="2">
        <f>B49*0.1862</f>
        <v>0</v>
      </c>
      <c r="I49" s="2">
        <f>C49*0.2058</f>
        <v>0</v>
      </c>
      <c r="J49" s="2">
        <f>D49*0.2646+0.01</f>
        <v>0.01</v>
      </c>
      <c r="K49" s="2">
        <f>E49*0.2156</f>
        <v>0</v>
      </c>
      <c r="L49" s="2">
        <f>+H49+I49+J49+K49</f>
        <v>0.01</v>
      </c>
      <c r="M49" s="1"/>
    </row>
    <row r="50" spans="1:13" s="20" customFormat="1" x14ac:dyDescent="0.2">
      <c r="A50" s="18" t="s">
        <v>723</v>
      </c>
      <c r="B50" s="242"/>
      <c r="C50" s="242"/>
      <c r="D50" s="242">
        <v>119849</v>
      </c>
      <c r="E50" s="242"/>
      <c r="F50" s="242">
        <v>0</v>
      </c>
      <c r="G50" s="242">
        <v>0</v>
      </c>
      <c r="H50" s="2">
        <f>B50*0.1862</f>
        <v>0</v>
      </c>
      <c r="I50" s="2">
        <f>C50*0.2058</f>
        <v>0</v>
      </c>
      <c r="J50" s="2">
        <f>D50*0.2646-1803.9</f>
        <v>29908.15</v>
      </c>
      <c r="K50" s="2">
        <f>E50*0.2156</f>
        <v>0</v>
      </c>
      <c r="L50" s="2">
        <f>+H50+I50+J50+K50</f>
        <v>29908.15</v>
      </c>
      <c r="M50" s="18"/>
    </row>
    <row r="51" spans="1:13" s="20" customFormat="1" x14ac:dyDescent="0.2">
      <c r="A51" s="18" t="s">
        <v>587</v>
      </c>
      <c r="B51" s="242"/>
      <c r="C51" s="242"/>
      <c r="D51" s="242">
        <v>2021</v>
      </c>
      <c r="E51" s="242"/>
      <c r="F51" s="242">
        <v>242837</v>
      </c>
      <c r="G51" s="242">
        <v>242837</v>
      </c>
      <c r="H51" s="2">
        <f>B51*0.1862</f>
        <v>0</v>
      </c>
      <c r="I51" s="2">
        <f>C51*0.2058</f>
        <v>0</v>
      </c>
      <c r="J51" s="2">
        <f>D51*0.2646-0.01</f>
        <v>534.75</v>
      </c>
      <c r="K51" s="2">
        <f>E51*0.2156</f>
        <v>0</v>
      </c>
      <c r="L51" s="2">
        <f>+H51+I51+J51+K51</f>
        <v>534.75</v>
      </c>
      <c r="M51" s="18"/>
    </row>
    <row r="52" spans="1:13" x14ac:dyDescent="0.2">
      <c r="A52" s="1" t="s">
        <v>746</v>
      </c>
      <c r="B52" s="7"/>
      <c r="C52" s="7"/>
      <c r="D52" s="7"/>
      <c r="E52" s="7"/>
      <c r="F52" s="7"/>
      <c r="G52" s="7"/>
      <c r="H52" s="2">
        <f>B52*0.1862</f>
        <v>0</v>
      </c>
      <c r="I52" s="2">
        <f>C52*0.2058</f>
        <v>0</v>
      </c>
      <c r="J52" s="2">
        <f>D52*0.2646+0.01</f>
        <v>0.01</v>
      </c>
      <c r="K52" s="2">
        <f>E52*0.2156</f>
        <v>0</v>
      </c>
      <c r="L52" s="2">
        <f>+H52+I52+J52+K52</f>
        <v>0.01</v>
      </c>
      <c r="M52" s="1"/>
    </row>
    <row r="53" spans="1:13" x14ac:dyDescent="0.2">
      <c r="A53" s="1" t="s">
        <v>434</v>
      </c>
      <c r="B53" s="7"/>
      <c r="C53" s="7"/>
      <c r="D53" s="7">
        <v>146448</v>
      </c>
      <c r="E53" s="7"/>
      <c r="F53" s="7">
        <v>0</v>
      </c>
      <c r="G53" s="7">
        <v>0</v>
      </c>
      <c r="H53" s="2">
        <f t="shared" si="1"/>
        <v>0</v>
      </c>
      <c r="I53" s="2">
        <f t="shared" si="2"/>
        <v>0</v>
      </c>
      <c r="J53" s="2">
        <f>D53*0.2646-0.45</f>
        <v>38749.69</v>
      </c>
      <c r="K53" s="2">
        <f t="shared" si="3"/>
        <v>0</v>
      </c>
      <c r="L53" s="2">
        <f t="shared" si="4"/>
        <v>38749.69</v>
      </c>
      <c r="M53" s="1"/>
    </row>
    <row r="54" spans="1:13" s="20" customFormat="1" x14ac:dyDescent="0.2">
      <c r="A54" s="18" t="s">
        <v>747</v>
      </c>
      <c r="B54" s="242"/>
      <c r="C54" s="242"/>
      <c r="D54" s="242"/>
      <c r="E54" s="242"/>
      <c r="F54" s="242"/>
      <c r="G54" s="242"/>
      <c r="H54" s="2">
        <f>B54*0.1862</f>
        <v>0</v>
      </c>
      <c r="I54" s="2">
        <f>C54*0.2058</f>
        <v>0</v>
      </c>
      <c r="J54" s="2">
        <f>D54*0.2646+0.45</f>
        <v>0.45</v>
      </c>
      <c r="K54" s="2">
        <f>E54*0.2156</f>
        <v>0</v>
      </c>
      <c r="L54" s="2">
        <f>+H54+I54+J54+K54</f>
        <v>0.45</v>
      </c>
      <c r="M54" s="18"/>
    </row>
    <row r="55" spans="1:13" s="20" customFormat="1" x14ac:dyDescent="0.2">
      <c r="A55" s="18" t="s">
        <v>495</v>
      </c>
      <c r="B55" s="242"/>
      <c r="C55" s="242"/>
      <c r="D55" s="242">
        <v>43313</v>
      </c>
      <c r="E55" s="242"/>
      <c r="F55" s="242">
        <v>0</v>
      </c>
      <c r="G55" s="242">
        <v>0</v>
      </c>
      <c r="H55" s="2">
        <f t="shared" si="1"/>
        <v>0</v>
      </c>
      <c r="I55" s="2">
        <f t="shared" si="2"/>
        <v>0</v>
      </c>
      <c r="J55" s="2">
        <f>D55*0.2646</f>
        <v>11460.62</v>
      </c>
      <c r="K55" s="2">
        <f t="shared" si="3"/>
        <v>0</v>
      </c>
      <c r="L55" s="2">
        <f t="shared" si="4"/>
        <v>11460.62</v>
      </c>
      <c r="M55" s="18"/>
    </row>
    <row r="56" spans="1:13" ht="15" customHeight="1" x14ac:dyDescent="0.2">
      <c r="A56" s="7" t="s">
        <v>617</v>
      </c>
      <c r="B56" s="7"/>
      <c r="C56" s="7"/>
      <c r="D56" s="7">
        <v>751905</v>
      </c>
      <c r="E56" s="7"/>
      <c r="F56" s="7">
        <v>23892</v>
      </c>
      <c r="G56" s="7">
        <v>23892</v>
      </c>
      <c r="H56" s="2">
        <f>B56*0.1862</f>
        <v>0</v>
      </c>
      <c r="I56" s="2">
        <f>C56*0.2058</f>
        <v>0</v>
      </c>
      <c r="J56" s="2">
        <f>D56*0.2646-87.53</f>
        <v>198866.53</v>
      </c>
      <c r="K56" s="2">
        <f>E56*0.2156</f>
        <v>0</v>
      </c>
      <c r="L56" s="2">
        <f>+H56+I56+J56+K56</f>
        <v>198866.53</v>
      </c>
      <c r="M56" s="1"/>
    </row>
    <row r="57" spans="1:13" ht="15" customHeight="1" x14ac:dyDescent="0.2">
      <c r="A57" s="7" t="s">
        <v>352</v>
      </c>
      <c r="B57" s="7"/>
      <c r="C57" s="7"/>
      <c r="D57" s="7">
        <v>73567</v>
      </c>
      <c r="E57" s="7"/>
      <c r="F57" s="7">
        <v>1109713</v>
      </c>
      <c r="G57" s="7">
        <v>1105835</v>
      </c>
      <c r="H57" s="2">
        <f t="shared" si="1"/>
        <v>0</v>
      </c>
      <c r="I57" s="2">
        <f t="shared" si="2"/>
        <v>0</v>
      </c>
      <c r="J57" s="2">
        <f>D57*0.2646</f>
        <v>19465.830000000002</v>
      </c>
      <c r="K57" s="2">
        <f t="shared" si="3"/>
        <v>0</v>
      </c>
      <c r="L57" s="2">
        <f t="shared" si="4"/>
        <v>19465.830000000002</v>
      </c>
      <c r="M57" s="1"/>
    </row>
    <row r="58" spans="1:13" x14ac:dyDescent="0.2">
      <c r="A58" s="7" t="s">
        <v>435</v>
      </c>
      <c r="B58" s="7"/>
      <c r="C58" s="7"/>
      <c r="D58" s="7">
        <v>5044</v>
      </c>
      <c r="E58" s="7"/>
      <c r="F58" s="7">
        <v>0</v>
      </c>
      <c r="G58" s="7">
        <v>0</v>
      </c>
      <c r="H58" s="2">
        <f t="shared" si="1"/>
        <v>0</v>
      </c>
      <c r="I58" s="2">
        <f t="shared" si="2"/>
        <v>0</v>
      </c>
      <c r="J58" s="2">
        <f>D58*0.2646</f>
        <v>1334.64</v>
      </c>
      <c r="K58" s="2">
        <f t="shared" si="3"/>
        <v>0</v>
      </c>
      <c r="L58" s="2">
        <f t="shared" si="4"/>
        <v>1334.64</v>
      </c>
      <c r="M58" s="1"/>
    </row>
    <row r="59" spans="1:13" x14ac:dyDescent="0.2">
      <c r="A59" s="1" t="s">
        <v>47</v>
      </c>
      <c r="B59" s="7"/>
      <c r="C59" s="7"/>
      <c r="D59" s="7">
        <v>34413</v>
      </c>
      <c r="E59" s="7"/>
      <c r="F59" s="7">
        <v>0</v>
      </c>
      <c r="G59" s="7">
        <v>0</v>
      </c>
      <c r="H59" s="2">
        <f t="shared" si="1"/>
        <v>0</v>
      </c>
      <c r="I59" s="2">
        <f t="shared" si="2"/>
        <v>0</v>
      </c>
      <c r="J59" s="2">
        <f>D59*0.2646-0.01</f>
        <v>9105.67</v>
      </c>
      <c r="K59" s="2">
        <f t="shared" si="3"/>
        <v>0</v>
      </c>
      <c r="L59" s="2">
        <f t="shared" si="4"/>
        <v>9105.67</v>
      </c>
      <c r="M59" s="1"/>
    </row>
    <row r="60" spans="1:13" s="20" customFormat="1" x14ac:dyDescent="0.2">
      <c r="A60" s="242" t="s">
        <v>748</v>
      </c>
      <c r="B60" s="242"/>
      <c r="C60" s="242"/>
      <c r="D60" s="242"/>
      <c r="E60" s="242"/>
      <c r="F60" s="242"/>
      <c r="G60" s="242"/>
      <c r="H60" s="2">
        <f>B60*0.1862</f>
        <v>0</v>
      </c>
      <c r="I60" s="2">
        <f>C60*0.2058</f>
        <v>0</v>
      </c>
      <c r="J60" s="2">
        <f>D60*0.2646+0.01</f>
        <v>0.01</v>
      </c>
      <c r="K60" s="2">
        <f>E60*0.2156</f>
        <v>0</v>
      </c>
      <c r="L60" s="2">
        <f>+H60+I60+J60+K60</f>
        <v>0.01</v>
      </c>
      <c r="M60" s="18"/>
    </row>
    <row r="61" spans="1:13" s="20" customFormat="1" x14ac:dyDescent="0.2">
      <c r="A61" s="18" t="s">
        <v>48</v>
      </c>
      <c r="B61" s="242"/>
      <c r="C61" s="242"/>
      <c r="D61" s="242">
        <v>1497162</v>
      </c>
      <c r="E61" s="242">
        <v>226736</v>
      </c>
      <c r="F61" s="242">
        <v>2309489</v>
      </c>
      <c r="G61" s="242">
        <v>2305000</v>
      </c>
      <c r="H61" s="2">
        <f t="shared" si="1"/>
        <v>0</v>
      </c>
      <c r="I61" s="2">
        <f t="shared" si="2"/>
        <v>0</v>
      </c>
      <c r="J61" s="2">
        <f>D61*0.2646-122.67</f>
        <v>396026.4</v>
      </c>
      <c r="K61" s="2">
        <f t="shared" si="3"/>
        <v>48884.28</v>
      </c>
      <c r="L61" s="2">
        <f t="shared" si="4"/>
        <v>444910.68</v>
      </c>
      <c r="M61" s="18"/>
    </row>
    <row r="62" spans="1:13" x14ac:dyDescent="0.2">
      <c r="A62" s="1" t="s">
        <v>49</v>
      </c>
      <c r="B62" s="7"/>
      <c r="C62" s="7"/>
      <c r="D62" s="7">
        <v>762963</v>
      </c>
      <c r="E62" s="7"/>
      <c r="F62" s="7">
        <v>0</v>
      </c>
      <c r="G62" s="7">
        <v>0</v>
      </c>
      <c r="H62" s="2">
        <f t="shared" si="1"/>
        <v>0</v>
      </c>
      <c r="I62" s="2">
        <f t="shared" si="2"/>
        <v>0</v>
      </c>
      <c r="J62" s="2">
        <f>D62*0.2646</f>
        <v>201880.01</v>
      </c>
      <c r="K62" s="2">
        <f t="shared" si="3"/>
        <v>0</v>
      </c>
      <c r="L62" s="2">
        <f t="shared" si="4"/>
        <v>201880.01</v>
      </c>
      <c r="M62" s="1"/>
    </row>
    <row r="63" spans="1:13" x14ac:dyDescent="0.2">
      <c r="A63" s="1" t="s">
        <v>50</v>
      </c>
      <c r="B63" s="7"/>
      <c r="C63" s="7"/>
      <c r="D63" s="7">
        <v>11993</v>
      </c>
      <c r="E63" s="7"/>
      <c r="F63" s="7">
        <v>0</v>
      </c>
      <c r="G63" s="7">
        <v>0</v>
      </c>
      <c r="H63" s="2">
        <f t="shared" si="1"/>
        <v>0</v>
      </c>
      <c r="I63" s="2">
        <f t="shared" si="2"/>
        <v>0</v>
      </c>
      <c r="J63" s="2">
        <f>D63*0.2646</f>
        <v>3173.35</v>
      </c>
      <c r="K63" s="2">
        <f t="shared" si="3"/>
        <v>0</v>
      </c>
      <c r="L63" s="2">
        <f t="shared" si="4"/>
        <v>3173.35</v>
      </c>
      <c r="M63" s="1"/>
    </row>
    <row r="64" spans="1:13" x14ac:dyDescent="0.2">
      <c r="A64" s="1" t="s">
        <v>354</v>
      </c>
      <c r="B64" s="7"/>
      <c r="C64" s="7"/>
      <c r="D64" s="7">
        <v>403124</v>
      </c>
      <c r="E64" s="7"/>
      <c r="F64" s="7">
        <v>137870</v>
      </c>
      <c r="G64" s="7">
        <v>133112</v>
      </c>
      <c r="H64" s="2">
        <f t="shared" si="1"/>
        <v>0</v>
      </c>
      <c r="I64" s="2">
        <f t="shared" si="2"/>
        <v>0</v>
      </c>
      <c r="J64" s="2">
        <f>D64*0.2646-0.05</f>
        <v>106666.56</v>
      </c>
      <c r="K64" s="2">
        <f t="shared" si="3"/>
        <v>0</v>
      </c>
      <c r="L64" s="2">
        <f t="shared" si="4"/>
        <v>106666.56</v>
      </c>
      <c r="M64" s="1"/>
    </row>
    <row r="65" spans="1:13" x14ac:dyDescent="0.2">
      <c r="A65" s="1" t="s">
        <v>749</v>
      </c>
      <c r="B65" s="7"/>
      <c r="C65" s="7"/>
      <c r="D65" s="7"/>
      <c r="E65" s="7"/>
      <c r="F65" s="7"/>
      <c r="G65" s="7"/>
      <c r="H65" s="2">
        <f>B65*0.1862</f>
        <v>0</v>
      </c>
      <c r="I65" s="2">
        <f>C65*0.2058</f>
        <v>0</v>
      </c>
      <c r="J65" s="2">
        <f>D65*0.2646+0.05</f>
        <v>0.05</v>
      </c>
      <c r="K65" s="2">
        <f>E65*0.2156</f>
        <v>0</v>
      </c>
      <c r="L65" s="2">
        <f>+H65+I65+J65+K65</f>
        <v>0.05</v>
      </c>
      <c r="M65" s="1"/>
    </row>
    <row r="66" spans="1:13" x14ac:dyDescent="0.2">
      <c r="A66" s="1" t="s">
        <v>51</v>
      </c>
      <c r="B66" s="7"/>
      <c r="C66" s="7"/>
      <c r="D66" s="7">
        <v>188994</v>
      </c>
      <c r="E66" s="7"/>
      <c r="F66" s="7">
        <v>0</v>
      </c>
      <c r="G66" s="7">
        <v>0</v>
      </c>
      <c r="H66" s="2">
        <f t="shared" si="1"/>
        <v>0</v>
      </c>
      <c r="I66" s="2">
        <f t="shared" si="2"/>
        <v>0</v>
      </c>
      <c r="J66" s="2">
        <f>D66*0.2646-31.46</f>
        <v>49976.35</v>
      </c>
      <c r="K66" s="2">
        <f t="shared" si="3"/>
        <v>0</v>
      </c>
      <c r="L66" s="2">
        <f t="shared" si="4"/>
        <v>49976.35</v>
      </c>
      <c r="M66" s="1"/>
    </row>
    <row r="67" spans="1:13" x14ac:dyDescent="0.2">
      <c r="A67" s="1" t="s">
        <v>52</v>
      </c>
      <c r="B67" s="7"/>
      <c r="C67" s="7"/>
      <c r="D67" s="7">
        <v>45014</v>
      </c>
      <c r="E67" s="7"/>
      <c r="F67" s="7">
        <v>91219</v>
      </c>
      <c r="G67" s="7">
        <v>91219</v>
      </c>
      <c r="H67" s="2">
        <f t="shared" si="1"/>
        <v>0</v>
      </c>
      <c r="I67" s="2">
        <f t="shared" si="2"/>
        <v>0</v>
      </c>
      <c r="J67" s="2">
        <f>D67*0.2646</f>
        <v>11910.7</v>
      </c>
      <c r="K67" s="2">
        <f t="shared" si="3"/>
        <v>0</v>
      </c>
      <c r="L67" s="2">
        <f t="shared" si="4"/>
        <v>11910.7</v>
      </c>
      <c r="M67" s="1"/>
    </row>
    <row r="68" spans="1:13" x14ac:dyDescent="0.2">
      <c r="A68" s="1" t="s">
        <v>474</v>
      </c>
      <c r="B68" s="7"/>
      <c r="C68" s="7"/>
      <c r="D68" s="7">
        <v>2982</v>
      </c>
      <c r="E68" s="7"/>
      <c r="F68" s="7">
        <v>105846</v>
      </c>
      <c r="G68" s="7">
        <v>87488</v>
      </c>
      <c r="H68" s="2">
        <f t="shared" si="1"/>
        <v>0</v>
      </c>
      <c r="I68" s="2">
        <f t="shared" si="2"/>
        <v>0</v>
      </c>
      <c r="J68" s="2">
        <f>D68*0.2646</f>
        <v>789.04</v>
      </c>
      <c r="K68" s="2">
        <f t="shared" si="3"/>
        <v>0</v>
      </c>
      <c r="L68" s="2">
        <f t="shared" si="4"/>
        <v>789.04</v>
      </c>
      <c r="M68" s="1"/>
    </row>
    <row r="69" spans="1:13" x14ac:dyDescent="0.2">
      <c r="A69" s="1" t="s">
        <v>436</v>
      </c>
      <c r="B69" s="7"/>
      <c r="C69" s="7"/>
      <c r="D69" s="7">
        <v>143675</v>
      </c>
      <c r="E69" s="7"/>
      <c r="F69" s="7">
        <v>0</v>
      </c>
      <c r="G69" s="7">
        <v>0</v>
      </c>
      <c r="H69" s="2">
        <f t="shared" si="1"/>
        <v>0</v>
      </c>
      <c r="I69" s="2">
        <f t="shared" si="2"/>
        <v>0</v>
      </c>
      <c r="J69" s="2">
        <f>D69*0.2646</f>
        <v>38016.410000000003</v>
      </c>
      <c r="K69" s="2">
        <f t="shared" si="3"/>
        <v>0</v>
      </c>
      <c r="L69" s="2">
        <f t="shared" si="4"/>
        <v>38016.410000000003</v>
      </c>
      <c r="M69" s="1"/>
    </row>
    <row r="70" spans="1:13" x14ac:dyDescent="0.2">
      <c r="A70" s="1" t="s">
        <v>458</v>
      </c>
      <c r="B70" s="7"/>
      <c r="C70" s="7"/>
      <c r="D70" s="7">
        <v>17293</v>
      </c>
      <c r="E70" s="7"/>
      <c r="F70" s="7">
        <v>0</v>
      </c>
      <c r="G70" s="7">
        <v>0</v>
      </c>
      <c r="H70" s="2">
        <f t="shared" si="1"/>
        <v>0</v>
      </c>
      <c r="I70" s="2">
        <f t="shared" si="2"/>
        <v>0</v>
      </c>
      <c r="J70" s="2">
        <f>D70*0.2646-260.54</f>
        <v>4315.1899999999996</v>
      </c>
      <c r="K70" s="2">
        <f t="shared" si="3"/>
        <v>0</v>
      </c>
      <c r="L70" s="2">
        <f t="shared" si="4"/>
        <v>4315.1899999999996</v>
      </c>
      <c r="M70" s="1"/>
    </row>
    <row r="71" spans="1:13" x14ac:dyDescent="0.2">
      <c r="A71" s="1" t="s">
        <v>712</v>
      </c>
      <c r="B71" s="7"/>
      <c r="C71" s="7"/>
      <c r="D71" s="7">
        <v>311307</v>
      </c>
      <c r="E71" s="7"/>
      <c r="F71" s="7">
        <v>0</v>
      </c>
      <c r="G71" s="7">
        <v>0</v>
      </c>
      <c r="H71" s="2">
        <f>B71*0.1862</f>
        <v>0</v>
      </c>
      <c r="I71" s="2">
        <f>C71*0.2058</f>
        <v>0</v>
      </c>
      <c r="J71" s="2">
        <f>D71*0.2646-6724.24</f>
        <v>75647.59</v>
      </c>
      <c r="K71" s="2">
        <f>E71*0.2156</f>
        <v>0</v>
      </c>
      <c r="L71" s="2">
        <f>+H71+I71+J71+K71</f>
        <v>75647.59</v>
      </c>
      <c r="M71" s="1"/>
    </row>
    <row r="72" spans="1:13" x14ac:dyDescent="0.2">
      <c r="A72" s="1" t="s">
        <v>750</v>
      </c>
      <c r="B72" s="7"/>
      <c r="C72" s="7"/>
      <c r="D72" s="7"/>
      <c r="E72" s="7"/>
      <c r="F72" s="7"/>
      <c r="G72" s="7"/>
      <c r="H72" s="2">
        <f>B72*0.1862</f>
        <v>0</v>
      </c>
      <c r="I72" s="2">
        <f>C72*0.2058</f>
        <v>0</v>
      </c>
      <c r="J72" s="2">
        <f>D72*0.2646+0.01</f>
        <v>0.01</v>
      </c>
      <c r="K72" s="2">
        <f>E72*0.2156</f>
        <v>0</v>
      </c>
      <c r="L72" s="2">
        <f>+H72+I72+J72+K72</f>
        <v>0.01</v>
      </c>
      <c r="M72" s="1"/>
    </row>
    <row r="73" spans="1:13" x14ac:dyDescent="0.2">
      <c r="A73" s="1" t="s">
        <v>725</v>
      </c>
      <c r="B73" s="7"/>
      <c r="C73" s="7"/>
      <c r="D73" s="7">
        <v>856630</v>
      </c>
      <c r="E73" s="7"/>
      <c r="F73" s="7">
        <v>0</v>
      </c>
      <c r="G73" s="7">
        <v>0</v>
      </c>
      <c r="H73" s="2">
        <f>B73*0.1862</f>
        <v>0</v>
      </c>
      <c r="I73" s="2">
        <f>C73*0.2058</f>
        <v>0</v>
      </c>
      <c r="J73" s="2">
        <f t="shared" ref="J73:J79" si="5">D73*0.2646</f>
        <v>226664.3</v>
      </c>
      <c r="K73" s="2">
        <f>E73*0.2156</f>
        <v>0</v>
      </c>
      <c r="L73" s="2">
        <f>+H73+I73+J73+K73</f>
        <v>226664.3</v>
      </c>
      <c r="M73" s="1"/>
    </row>
    <row r="74" spans="1:13" x14ac:dyDescent="0.2">
      <c r="A74" s="1" t="s">
        <v>53</v>
      </c>
      <c r="B74" s="7"/>
      <c r="C74" s="7"/>
      <c r="D74" s="7">
        <v>11227</v>
      </c>
      <c r="E74" s="7"/>
      <c r="F74" s="7">
        <v>229086</v>
      </c>
      <c r="G74" s="7">
        <v>256970</v>
      </c>
      <c r="H74" s="2">
        <f t="shared" si="1"/>
        <v>0</v>
      </c>
      <c r="I74" s="2">
        <f t="shared" si="2"/>
        <v>0</v>
      </c>
      <c r="J74" s="2">
        <f t="shared" si="5"/>
        <v>2970.66</v>
      </c>
      <c r="K74" s="2">
        <f t="shared" si="3"/>
        <v>0</v>
      </c>
      <c r="L74" s="2">
        <f t="shared" si="4"/>
        <v>2970.66</v>
      </c>
      <c r="M74" s="1"/>
    </row>
    <row r="75" spans="1:13" x14ac:dyDescent="0.2">
      <c r="A75" s="1" t="s">
        <v>618</v>
      </c>
      <c r="B75" s="7"/>
      <c r="C75" s="7"/>
      <c r="D75" s="7">
        <v>0</v>
      </c>
      <c r="E75" s="7">
        <v>90291</v>
      </c>
      <c r="F75" s="7">
        <v>0</v>
      </c>
      <c r="G75" s="7">
        <v>0</v>
      </c>
      <c r="H75" s="2">
        <f>B75*0.1862</f>
        <v>0</v>
      </c>
      <c r="I75" s="2">
        <f>C75*0.2058</f>
        <v>0</v>
      </c>
      <c r="J75" s="2">
        <f t="shared" si="5"/>
        <v>0</v>
      </c>
      <c r="K75" s="2">
        <f>E75*0.2156</f>
        <v>19466.740000000002</v>
      </c>
      <c r="L75" s="2">
        <f>+H75+I75+J75+K75</f>
        <v>19466.740000000002</v>
      </c>
      <c r="M75" s="1"/>
    </row>
    <row r="76" spans="1:13" x14ac:dyDescent="0.2">
      <c r="A76" s="1" t="s">
        <v>54</v>
      </c>
      <c r="B76" s="7"/>
      <c r="C76" s="7"/>
      <c r="D76" s="7">
        <v>0</v>
      </c>
      <c r="E76" s="7"/>
      <c r="F76" s="7">
        <v>723087</v>
      </c>
      <c r="G76" s="7">
        <v>723087</v>
      </c>
      <c r="H76" s="2">
        <f t="shared" si="1"/>
        <v>0</v>
      </c>
      <c r="I76" s="2">
        <f t="shared" si="2"/>
        <v>0</v>
      </c>
      <c r="J76" s="2">
        <f t="shared" si="5"/>
        <v>0</v>
      </c>
      <c r="K76" s="2">
        <f t="shared" si="3"/>
        <v>0</v>
      </c>
      <c r="L76" s="2">
        <f t="shared" si="4"/>
        <v>0</v>
      </c>
      <c r="M76" s="1"/>
    </row>
    <row r="77" spans="1:13" x14ac:dyDescent="0.2">
      <c r="A77" s="1" t="s">
        <v>55</v>
      </c>
      <c r="B77" s="7"/>
      <c r="C77" s="7"/>
      <c r="D77" s="7">
        <v>3651</v>
      </c>
      <c r="E77" s="7">
        <v>219</v>
      </c>
      <c r="F77" s="7">
        <v>25207</v>
      </c>
      <c r="G77" s="7">
        <v>32960</v>
      </c>
      <c r="H77" s="2">
        <f t="shared" si="1"/>
        <v>0</v>
      </c>
      <c r="I77" s="2">
        <f t="shared" si="2"/>
        <v>0</v>
      </c>
      <c r="J77" s="2">
        <f t="shared" si="5"/>
        <v>966.05</v>
      </c>
      <c r="K77" s="2">
        <f t="shared" si="3"/>
        <v>47.22</v>
      </c>
      <c r="L77" s="2">
        <f t="shared" si="4"/>
        <v>1013.27</v>
      </c>
      <c r="M77" s="1"/>
    </row>
    <row r="78" spans="1:13" x14ac:dyDescent="0.2">
      <c r="A78" s="1" t="s">
        <v>733</v>
      </c>
      <c r="B78" s="7"/>
      <c r="C78" s="7"/>
      <c r="D78" s="7">
        <v>0</v>
      </c>
      <c r="E78" s="7"/>
      <c r="F78" s="7">
        <v>0</v>
      </c>
      <c r="G78" s="7">
        <v>295</v>
      </c>
      <c r="H78" s="2">
        <f>B78*0.1862</f>
        <v>0</v>
      </c>
      <c r="I78" s="2">
        <f>C78*0.2058</f>
        <v>0</v>
      </c>
      <c r="J78" s="2">
        <f t="shared" si="5"/>
        <v>0</v>
      </c>
      <c r="K78" s="2">
        <f>E78*0.2156</f>
        <v>0</v>
      </c>
      <c r="L78" s="2">
        <f>+H78+I78+J78+K78</f>
        <v>0</v>
      </c>
      <c r="M78" s="1"/>
    </row>
    <row r="79" spans="1:13" s="20" customFormat="1" x14ac:dyDescent="0.2">
      <c r="A79" s="18" t="s">
        <v>56</v>
      </c>
      <c r="B79" s="242"/>
      <c r="C79" s="242"/>
      <c r="D79" s="242">
        <v>125271</v>
      </c>
      <c r="E79" s="242"/>
      <c r="F79" s="242">
        <v>169940</v>
      </c>
      <c r="G79" s="242">
        <v>169094</v>
      </c>
      <c r="H79" s="2">
        <f t="shared" si="1"/>
        <v>0</v>
      </c>
      <c r="I79" s="2">
        <f t="shared" si="2"/>
        <v>0</v>
      </c>
      <c r="J79" s="2">
        <f t="shared" si="5"/>
        <v>33146.71</v>
      </c>
      <c r="K79" s="2">
        <f t="shared" si="3"/>
        <v>0</v>
      </c>
      <c r="L79" s="2">
        <f t="shared" si="4"/>
        <v>33146.71</v>
      </c>
      <c r="M79" s="18"/>
    </row>
    <row r="80" spans="1:13" x14ac:dyDescent="0.2">
      <c r="A80" s="1" t="s">
        <v>726</v>
      </c>
      <c r="B80" s="7"/>
      <c r="C80" s="7"/>
      <c r="D80" s="7">
        <v>179085</v>
      </c>
      <c r="E80" s="7"/>
      <c r="F80" s="7">
        <v>377237</v>
      </c>
      <c r="G80" s="7">
        <v>377237</v>
      </c>
      <c r="H80" s="2">
        <f>B80*0.1862</f>
        <v>0</v>
      </c>
      <c r="I80" s="2">
        <f>C80*0.2058</f>
        <v>0</v>
      </c>
      <c r="J80" s="2">
        <f>D80*0.2646-0.01</f>
        <v>47385.88</v>
      </c>
      <c r="K80" s="2">
        <f>E80*0.2156</f>
        <v>0</v>
      </c>
      <c r="L80" s="2">
        <f>+H80+I80+J80+K80</f>
        <v>47385.88</v>
      </c>
      <c r="M80" s="1"/>
    </row>
    <row r="81" spans="1:13" s="20" customFormat="1" x14ac:dyDescent="0.2">
      <c r="A81" s="18" t="s">
        <v>751</v>
      </c>
      <c r="B81" s="242"/>
      <c r="C81" s="242"/>
      <c r="D81" s="242"/>
      <c r="E81" s="242"/>
      <c r="F81" s="242"/>
      <c r="G81" s="242"/>
      <c r="H81" s="2">
        <f>B81*0.1862</f>
        <v>0</v>
      </c>
      <c r="I81" s="2">
        <f>C81*0.2058</f>
        <v>0</v>
      </c>
      <c r="J81" s="2">
        <f>D81*0.2646+0.01</f>
        <v>0.01</v>
      </c>
      <c r="K81" s="2">
        <f>E81*0.2156</f>
        <v>0</v>
      </c>
      <c r="L81" s="2">
        <f>+H81+I81+J81+K81</f>
        <v>0.01</v>
      </c>
      <c r="M81" s="18"/>
    </row>
    <row r="82" spans="1:13" x14ac:dyDescent="0.2">
      <c r="A82" s="1" t="s">
        <v>437</v>
      </c>
      <c r="B82" s="7"/>
      <c r="C82" s="7"/>
      <c r="D82" s="7">
        <v>2145267</v>
      </c>
      <c r="E82" s="7"/>
      <c r="F82" s="7">
        <v>0</v>
      </c>
      <c r="G82" s="7">
        <v>0</v>
      </c>
      <c r="H82" s="2">
        <f t="shared" si="1"/>
        <v>0</v>
      </c>
      <c r="I82" s="2">
        <f t="shared" si="2"/>
        <v>0</v>
      </c>
      <c r="J82" s="2">
        <f t="shared" ref="J82:J87" si="6">D82*0.2646</f>
        <v>567637.65</v>
      </c>
      <c r="K82" s="2">
        <f t="shared" si="3"/>
        <v>0</v>
      </c>
      <c r="L82" s="2">
        <f t="shared" si="4"/>
        <v>567637.65</v>
      </c>
      <c r="M82" s="1"/>
    </row>
    <row r="83" spans="1:13" x14ac:dyDescent="0.2">
      <c r="A83" s="1" t="s">
        <v>57</v>
      </c>
      <c r="B83" s="7"/>
      <c r="C83" s="7"/>
      <c r="D83" s="7">
        <v>144485</v>
      </c>
      <c r="E83" s="7"/>
      <c r="F83" s="7">
        <v>12981</v>
      </c>
      <c r="G83" s="7">
        <v>12981</v>
      </c>
      <c r="H83" s="2">
        <f t="shared" si="1"/>
        <v>0</v>
      </c>
      <c r="I83" s="2">
        <f t="shared" si="2"/>
        <v>0</v>
      </c>
      <c r="J83" s="2">
        <f t="shared" si="6"/>
        <v>38230.730000000003</v>
      </c>
      <c r="K83" s="2">
        <f t="shared" si="3"/>
        <v>0</v>
      </c>
      <c r="L83" s="2">
        <f t="shared" si="4"/>
        <v>38230.730000000003</v>
      </c>
      <c r="M83" s="1"/>
    </row>
    <row r="84" spans="1:13" x14ac:dyDescent="0.2">
      <c r="A84" s="1" t="s">
        <v>438</v>
      </c>
      <c r="B84" s="7"/>
      <c r="C84" s="7"/>
      <c r="D84" s="7">
        <v>2721176</v>
      </c>
      <c r="E84" s="7"/>
      <c r="F84" s="7">
        <v>0</v>
      </c>
      <c r="G84" s="7">
        <v>0</v>
      </c>
      <c r="H84" s="2">
        <f t="shared" si="1"/>
        <v>0</v>
      </c>
      <c r="I84" s="2">
        <f t="shared" si="2"/>
        <v>0</v>
      </c>
      <c r="J84" s="2">
        <f t="shared" si="6"/>
        <v>720023.17</v>
      </c>
      <c r="K84" s="2">
        <f t="shared" si="3"/>
        <v>0</v>
      </c>
      <c r="L84" s="2">
        <f t="shared" si="4"/>
        <v>720023.17</v>
      </c>
      <c r="M84" s="1"/>
    </row>
    <row r="85" spans="1:13" x14ac:dyDescent="0.2">
      <c r="A85" s="1" t="s">
        <v>439</v>
      </c>
      <c r="B85" s="7"/>
      <c r="C85" s="7"/>
      <c r="D85" s="7">
        <v>8801</v>
      </c>
      <c r="E85" s="7"/>
      <c r="F85" s="7">
        <v>0</v>
      </c>
      <c r="G85" s="7">
        <v>0</v>
      </c>
      <c r="H85" s="2">
        <f t="shared" si="1"/>
        <v>0</v>
      </c>
      <c r="I85" s="2">
        <f t="shared" si="2"/>
        <v>0</v>
      </c>
      <c r="J85" s="2">
        <f t="shared" si="6"/>
        <v>2328.7399999999998</v>
      </c>
      <c r="K85" s="2">
        <f t="shared" si="3"/>
        <v>0</v>
      </c>
      <c r="L85" s="2">
        <f t="shared" si="4"/>
        <v>2328.7399999999998</v>
      </c>
      <c r="M85" s="1"/>
    </row>
    <row r="86" spans="1:13" ht="13.5" customHeight="1" x14ac:dyDescent="0.2">
      <c r="A86" s="1" t="s">
        <v>765</v>
      </c>
      <c r="B86" s="7"/>
      <c r="C86" s="7"/>
      <c r="D86" s="7">
        <v>0</v>
      </c>
      <c r="E86" s="7"/>
      <c r="F86" s="7">
        <v>29260</v>
      </c>
      <c r="G86" s="7">
        <v>29260</v>
      </c>
      <c r="H86" s="2">
        <f>B86*0.1862</f>
        <v>0</v>
      </c>
      <c r="I86" s="2">
        <f>C86*0.2058</f>
        <v>0</v>
      </c>
      <c r="J86" s="2">
        <f t="shared" si="6"/>
        <v>0</v>
      </c>
      <c r="K86" s="2">
        <f>E86*0.2156</f>
        <v>0</v>
      </c>
      <c r="L86" s="2">
        <f>+H86+I86+J86+K86</f>
        <v>0</v>
      </c>
      <c r="M86" s="1"/>
    </row>
    <row r="87" spans="1:13" s="20" customFormat="1" x14ac:dyDescent="0.2">
      <c r="A87" s="18" t="s">
        <v>766</v>
      </c>
      <c r="B87" s="242"/>
      <c r="C87" s="242"/>
      <c r="D87" s="242">
        <v>0</v>
      </c>
      <c r="E87" s="242"/>
      <c r="F87" s="242">
        <v>11090</v>
      </c>
      <c r="G87" s="242">
        <v>11090</v>
      </c>
      <c r="H87" s="2">
        <f>B87*0.1862</f>
        <v>0</v>
      </c>
      <c r="I87" s="2">
        <f>C87*0.2058</f>
        <v>0</v>
      </c>
      <c r="J87" s="2">
        <f t="shared" si="6"/>
        <v>0</v>
      </c>
      <c r="K87" s="2">
        <f>E87*0.2156</f>
        <v>0</v>
      </c>
      <c r="L87" s="2">
        <f>+H87+I87+J87+K87</f>
        <v>0</v>
      </c>
      <c r="M87" s="18"/>
    </row>
    <row r="88" spans="1:13" x14ac:dyDescent="0.2">
      <c r="A88" s="1" t="s">
        <v>355</v>
      </c>
      <c r="B88" s="7"/>
      <c r="C88" s="7"/>
      <c r="D88" s="7">
        <v>138357</v>
      </c>
      <c r="E88" s="7"/>
      <c r="F88" s="7">
        <v>578030</v>
      </c>
      <c r="G88" s="7">
        <v>578030</v>
      </c>
      <c r="H88" s="2">
        <f t="shared" si="1"/>
        <v>0</v>
      </c>
      <c r="I88" s="2">
        <f t="shared" si="2"/>
        <v>0</v>
      </c>
      <c r="J88" s="2">
        <f>D88*0.2646-0.01</f>
        <v>36609.25</v>
      </c>
      <c r="K88" s="2">
        <f t="shared" si="3"/>
        <v>0</v>
      </c>
      <c r="L88" s="2">
        <f t="shared" si="4"/>
        <v>36609.25</v>
      </c>
      <c r="M88" s="1"/>
    </row>
    <row r="89" spans="1:13" s="20" customFormat="1" x14ac:dyDescent="0.2">
      <c r="A89" s="18" t="s">
        <v>752</v>
      </c>
      <c r="B89" s="242"/>
      <c r="C89" s="242"/>
      <c r="D89" s="242"/>
      <c r="E89" s="242"/>
      <c r="F89" s="242"/>
      <c r="G89" s="242"/>
      <c r="H89" s="2">
        <f>B89*0.1862</f>
        <v>0</v>
      </c>
      <c r="I89" s="2">
        <f>C89*0.2058</f>
        <v>0</v>
      </c>
      <c r="J89" s="2">
        <f>D89*0.2646+0.01</f>
        <v>0.01</v>
      </c>
      <c r="K89" s="2">
        <f>E89*0.2156</f>
        <v>0</v>
      </c>
      <c r="L89" s="2">
        <f>+H89+I89+J89+K89</f>
        <v>0.01</v>
      </c>
      <c r="M89" s="18"/>
    </row>
    <row r="90" spans="1:13" s="20" customFormat="1" x14ac:dyDescent="0.2">
      <c r="A90" s="18" t="s">
        <v>606</v>
      </c>
      <c r="B90" s="242"/>
      <c r="C90" s="242"/>
      <c r="D90" s="242">
        <v>2837</v>
      </c>
      <c r="E90" s="242"/>
      <c r="F90" s="242">
        <v>0</v>
      </c>
      <c r="G90" s="242">
        <v>0</v>
      </c>
      <c r="H90" s="2">
        <f>B90*0.1862</f>
        <v>0</v>
      </c>
      <c r="I90" s="2">
        <f>C90*0.2058</f>
        <v>0</v>
      </c>
      <c r="J90" s="2">
        <f>D90*0.2646-279.1</f>
        <v>471.57</v>
      </c>
      <c r="K90" s="2">
        <f>E90*0.2156</f>
        <v>0</v>
      </c>
      <c r="L90" s="2">
        <f>+H90+I90+J90+K90</f>
        <v>471.57</v>
      </c>
      <c r="M90" s="18"/>
    </row>
    <row r="91" spans="1:13" s="20" customFormat="1" x14ac:dyDescent="0.2">
      <c r="A91" s="18" t="s">
        <v>58</v>
      </c>
      <c r="B91" s="242"/>
      <c r="C91" s="242"/>
      <c r="D91" s="242">
        <v>3176331</v>
      </c>
      <c r="E91" s="242">
        <v>171</v>
      </c>
      <c r="F91" s="242">
        <v>1970434</v>
      </c>
      <c r="G91" s="242">
        <v>1968845</v>
      </c>
      <c r="H91" s="2">
        <f t="shared" si="1"/>
        <v>0</v>
      </c>
      <c r="I91" s="2">
        <f t="shared" si="2"/>
        <v>0</v>
      </c>
      <c r="J91" s="2">
        <f>D91*0.2646</f>
        <v>840457.18</v>
      </c>
      <c r="K91" s="2">
        <f t="shared" si="3"/>
        <v>36.869999999999997</v>
      </c>
      <c r="L91" s="2">
        <f t="shared" si="4"/>
        <v>840494.05</v>
      </c>
      <c r="M91" s="18"/>
    </row>
    <row r="92" spans="1:13" x14ac:dyDescent="0.2">
      <c r="A92" s="1" t="s">
        <v>59</v>
      </c>
      <c r="B92" s="7"/>
      <c r="C92" s="7"/>
      <c r="D92" s="7">
        <v>189626</v>
      </c>
      <c r="E92" s="7"/>
      <c r="F92" s="7">
        <v>0</v>
      </c>
      <c r="G92" s="7">
        <v>0</v>
      </c>
      <c r="H92" s="2">
        <f t="shared" si="1"/>
        <v>0</v>
      </c>
      <c r="I92" s="2">
        <f t="shared" si="2"/>
        <v>0</v>
      </c>
      <c r="J92" s="2">
        <f>D92*0.2646</f>
        <v>50175.040000000001</v>
      </c>
      <c r="K92" s="2">
        <f t="shared" si="3"/>
        <v>0</v>
      </c>
      <c r="L92" s="2">
        <f t="shared" si="4"/>
        <v>50175.040000000001</v>
      </c>
      <c r="M92" s="1"/>
    </row>
    <row r="93" spans="1:13" ht="13.5" customHeight="1" x14ac:dyDescent="0.2">
      <c r="A93" s="1" t="s">
        <v>460</v>
      </c>
      <c r="B93" s="7"/>
      <c r="C93" s="7"/>
      <c r="D93" s="7">
        <v>0</v>
      </c>
      <c r="E93" s="7"/>
      <c r="F93" s="7">
        <v>124583</v>
      </c>
      <c r="G93" s="7">
        <v>125203</v>
      </c>
      <c r="H93" s="2">
        <f t="shared" si="1"/>
        <v>0</v>
      </c>
      <c r="I93" s="2">
        <f t="shared" si="2"/>
        <v>0</v>
      </c>
      <c r="J93" s="2">
        <f>D93*0.2646</f>
        <v>0</v>
      </c>
      <c r="K93" s="2">
        <f t="shared" si="3"/>
        <v>0</v>
      </c>
      <c r="L93" s="2">
        <f t="shared" si="4"/>
        <v>0</v>
      </c>
      <c r="M93" s="1"/>
    </row>
    <row r="94" spans="1:13" s="20" customFormat="1" x14ac:dyDescent="0.2">
      <c r="A94" s="18" t="s">
        <v>60</v>
      </c>
      <c r="B94" s="242"/>
      <c r="C94" s="242"/>
      <c r="D94" s="242">
        <v>1437245</v>
      </c>
      <c r="E94" s="242"/>
      <c r="F94" s="242">
        <v>889520</v>
      </c>
      <c r="G94" s="242">
        <v>887438</v>
      </c>
      <c r="H94" s="2">
        <f t="shared" si="1"/>
        <v>0</v>
      </c>
      <c r="I94" s="2">
        <f t="shared" si="2"/>
        <v>0</v>
      </c>
      <c r="J94" s="2">
        <f>D94*0.2646-0.03</f>
        <v>380295</v>
      </c>
      <c r="K94" s="2">
        <f t="shared" si="3"/>
        <v>0</v>
      </c>
      <c r="L94" s="2">
        <f t="shared" si="4"/>
        <v>380295</v>
      </c>
      <c r="M94" s="18"/>
    </row>
    <row r="95" spans="1:13" ht="13.5" customHeight="1" x14ac:dyDescent="0.2">
      <c r="A95" s="1" t="s">
        <v>753</v>
      </c>
      <c r="B95" s="7"/>
      <c r="C95" s="7"/>
      <c r="D95" s="7"/>
      <c r="E95" s="7"/>
      <c r="F95" s="7"/>
      <c r="G95" s="7"/>
      <c r="H95" s="2">
        <f>B95*0.1862</f>
        <v>0</v>
      </c>
      <c r="I95" s="2">
        <f>C95*0.2058</f>
        <v>0</v>
      </c>
      <c r="J95" s="2">
        <f>D95*0.2646+0.03</f>
        <v>0.03</v>
      </c>
      <c r="K95" s="2">
        <f>E95*0.2156</f>
        <v>0</v>
      </c>
      <c r="L95" s="2">
        <f>+H95+I95+J95+K95</f>
        <v>0.03</v>
      </c>
      <c r="M95" s="1"/>
    </row>
    <row r="96" spans="1:13" s="20" customFormat="1" x14ac:dyDescent="0.2">
      <c r="A96" s="1" t="s">
        <v>461</v>
      </c>
      <c r="B96" s="7"/>
      <c r="C96" s="7"/>
      <c r="D96" s="7">
        <v>50790</v>
      </c>
      <c r="E96" s="7"/>
      <c r="F96" s="7">
        <v>69106</v>
      </c>
      <c r="G96" s="7">
        <v>67133</v>
      </c>
      <c r="H96" s="2">
        <f t="shared" si="1"/>
        <v>0</v>
      </c>
      <c r="I96" s="2">
        <f t="shared" si="2"/>
        <v>0</v>
      </c>
      <c r="J96" s="2">
        <f t="shared" ref="J96:J101" si="7">D96*0.2646</f>
        <v>13439.03</v>
      </c>
      <c r="K96" s="2">
        <f t="shared" si="3"/>
        <v>0</v>
      </c>
      <c r="L96" s="2">
        <f t="shared" si="4"/>
        <v>13439.03</v>
      </c>
      <c r="M96" s="1"/>
    </row>
    <row r="97" spans="1:13" s="20" customFormat="1" x14ac:dyDescent="0.2">
      <c r="A97" s="18" t="s">
        <v>61</v>
      </c>
      <c r="B97" s="242"/>
      <c r="C97" s="242"/>
      <c r="D97" s="242">
        <v>61407</v>
      </c>
      <c r="E97" s="242"/>
      <c r="F97" s="242">
        <v>62671</v>
      </c>
      <c r="G97" s="242">
        <v>62671</v>
      </c>
      <c r="H97" s="2">
        <f t="shared" si="1"/>
        <v>0</v>
      </c>
      <c r="I97" s="2">
        <f t="shared" si="2"/>
        <v>0</v>
      </c>
      <c r="J97" s="2">
        <f t="shared" si="7"/>
        <v>16248.29</v>
      </c>
      <c r="K97" s="2">
        <f t="shared" si="3"/>
        <v>0</v>
      </c>
      <c r="L97" s="2">
        <f t="shared" si="4"/>
        <v>16248.29</v>
      </c>
      <c r="M97" s="18"/>
    </row>
    <row r="98" spans="1:13" x14ac:dyDescent="0.2">
      <c r="A98" s="1" t="s">
        <v>62</v>
      </c>
      <c r="B98" s="7"/>
      <c r="C98" s="7"/>
      <c r="D98" s="7">
        <v>6913</v>
      </c>
      <c r="E98" s="7"/>
      <c r="F98" s="7">
        <v>10567</v>
      </c>
      <c r="G98" s="7">
        <v>10567</v>
      </c>
      <c r="H98" s="2">
        <f t="shared" si="1"/>
        <v>0</v>
      </c>
      <c r="I98" s="2">
        <f t="shared" si="2"/>
        <v>0</v>
      </c>
      <c r="J98" s="2">
        <f t="shared" si="7"/>
        <v>1829.18</v>
      </c>
      <c r="K98" s="2">
        <f t="shared" si="3"/>
        <v>0</v>
      </c>
      <c r="L98" s="2">
        <f t="shared" si="4"/>
        <v>1829.18</v>
      </c>
      <c r="M98" s="1"/>
    </row>
    <row r="99" spans="1:13" x14ac:dyDescent="0.2">
      <c r="A99" s="1" t="s">
        <v>63</v>
      </c>
      <c r="B99" s="7"/>
      <c r="C99" s="7"/>
      <c r="D99" s="7">
        <v>13589</v>
      </c>
      <c r="E99" s="7"/>
      <c r="F99" s="7">
        <v>18612</v>
      </c>
      <c r="G99" s="7">
        <v>18612</v>
      </c>
      <c r="H99" s="2">
        <f t="shared" si="1"/>
        <v>0</v>
      </c>
      <c r="I99" s="2">
        <f t="shared" si="2"/>
        <v>0</v>
      </c>
      <c r="J99" s="2">
        <f t="shared" si="7"/>
        <v>3595.65</v>
      </c>
      <c r="K99" s="2">
        <f t="shared" si="3"/>
        <v>0</v>
      </c>
      <c r="L99" s="2">
        <f t="shared" si="4"/>
        <v>3595.65</v>
      </c>
      <c r="M99" s="1"/>
    </row>
    <row r="100" spans="1:13" s="20" customFormat="1" x14ac:dyDescent="0.2">
      <c r="A100" s="18" t="s">
        <v>633</v>
      </c>
      <c r="B100" s="242"/>
      <c r="C100" s="242"/>
      <c r="D100" s="242">
        <v>451297</v>
      </c>
      <c r="E100" s="242"/>
      <c r="F100" s="242">
        <v>0</v>
      </c>
      <c r="G100" s="242">
        <v>0</v>
      </c>
      <c r="H100" s="2">
        <f t="shared" si="1"/>
        <v>0</v>
      </c>
      <c r="I100" s="2">
        <f t="shared" si="2"/>
        <v>0</v>
      </c>
      <c r="J100" s="2">
        <f t="shared" si="7"/>
        <v>119413.19</v>
      </c>
      <c r="K100" s="2">
        <f t="shared" si="3"/>
        <v>0</v>
      </c>
      <c r="L100" s="2">
        <f t="shared" si="4"/>
        <v>119413.19</v>
      </c>
      <c r="M100" s="18"/>
    </row>
    <row r="101" spans="1:13" s="20" customFormat="1" x14ac:dyDescent="0.2">
      <c r="A101" s="18" t="s">
        <v>569</v>
      </c>
      <c r="B101" s="242"/>
      <c r="C101" s="242"/>
      <c r="D101" s="242">
        <v>0</v>
      </c>
      <c r="E101" s="242"/>
      <c r="F101" s="242">
        <v>1812015</v>
      </c>
      <c r="G101" s="242">
        <v>1812015</v>
      </c>
      <c r="H101" s="2">
        <f t="shared" si="1"/>
        <v>0</v>
      </c>
      <c r="I101" s="2">
        <f t="shared" si="2"/>
        <v>0</v>
      </c>
      <c r="J101" s="2">
        <f t="shared" si="7"/>
        <v>0</v>
      </c>
      <c r="K101" s="2">
        <f t="shared" si="3"/>
        <v>0</v>
      </c>
      <c r="L101" s="2">
        <f t="shared" si="4"/>
        <v>0</v>
      </c>
      <c r="M101" s="18"/>
    </row>
    <row r="102" spans="1:13" s="20" customFormat="1" x14ac:dyDescent="0.2">
      <c r="A102" s="18" t="s">
        <v>441</v>
      </c>
      <c r="B102" s="242"/>
      <c r="C102" s="242"/>
      <c r="D102" s="242">
        <v>107688</v>
      </c>
      <c r="E102" s="242"/>
      <c r="F102" s="242">
        <v>0</v>
      </c>
      <c r="G102" s="242">
        <v>0</v>
      </c>
      <c r="H102" s="2">
        <f t="shared" ref="H102:H119" si="8">B102*0.1862</f>
        <v>0</v>
      </c>
      <c r="I102" s="2">
        <f t="shared" ref="I102:I119" si="9">C102*0.2058</f>
        <v>0</v>
      </c>
      <c r="J102" s="2">
        <f t="shared" ref="J102:J119" si="10">D102*0.2646</f>
        <v>28494.240000000002</v>
      </c>
      <c r="K102" s="2">
        <f t="shared" ref="K102:K119" si="11">E102*0.2156</f>
        <v>0</v>
      </c>
      <c r="L102" s="2">
        <f t="shared" ref="L102:L119" si="12">+H102+I102+J102+K102</f>
        <v>28494.240000000002</v>
      </c>
      <c r="M102" s="18"/>
    </row>
    <row r="103" spans="1:13" x14ac:dyDescent="0.2">
      <c r="A103" s="18" t="s">
        <v>65</v>
      </c>
      <c r="B103" s="242"/>
      <c r="C103" s="242"/>
      <c r="D103" s="242">
        <v>64109</v>
      </c>
      <c r="E103" s="242"/>
      <c r="F103" s="242">
        <v>0</v>
      </c>
      <c r="G103" s="242">
        <v>0</v>
      </c>
      <c r="H103" s="2">
        <f t="shared" si="8"/>
        <v>0</v>
      </c>
      <c r="I103" s="2">
        <f t="shared" si="9"/>
        <v>0</v>
      </c>
      <c r="J103" s="2">
        <f t="shared" si="10"/>
        <v>16963.240000000002</v>
      </c>
      <c r="K103" s="2">
        <f t="shared" si="11"/>
        <v>0</v>
      </c>
      <c r="L103" s="2">
        <f t="shared" si="12"/>
        <v>16963.240000000002</v>
      </c>
      <c r="M103" s="18"/>
    </row>
    <row r="104" spans="1:13" x14ac:dyDescent="0.2">
      <c r="A104" s="18" t="s">
        <v>475</v>
      </c>
      <c r="B104" s="242"/>
      <c r="C104" s="242"/>
      <c r="D104" s="242">
        <v>1244920</v>
      </c>
      <c r="E104" s="242"/>
      <c r="F104" s="242">
        <v>290257</v>
      </c>
      <c r="G104" s="242">
        <v>290257</v>
      </c>
      <c r="H104" s="2">
        <f t="shared" si="8"/>
        <v>0</v>
      </c>
      <c r="I104" s="2">
        <f t="shared" si="9"/>
        <v>0</v>
      </c>
      <c r="J104" s="2">
        <f>D104*0.2646-30.43</f>
        <v>329375.40000000002</v>
      </c>
      <c r="K104" s="2">
        <f t="shared" si="11"/>
        <v>0</v>
      </c>
      <c r="L104" s="2">
        <f t="shared" si="12"/>
        <v>329375.40000000002</v>
      </c>
      <c r="M104" s="18"/>
    </row>
    <row r="105" spans="1:13" x14ac:dyDescent="0.2">
      <c r="A105" s="18" t="s">
        <v>83</v>
      </c>
      <c r="B105" s="242"/>
      <c r="C105" s="242"/>
      <c r="D105" s="242">
        <v>290403</v>
      </c>
      <c r="E105" s="242"/>
      <c r="F105" s="242">
        <v>0</v>
      </c>
      <c r="G105" s="242">
        <v>0</v>
      </c>
      <c r="H105" s="2">
        <f t="shared" si="8"/>
        <v>0</v>
      </c>
      <c r="I105" s="2">
        <f t="shared" si="9"/>
        <v>0</v>
      </c>
      <c r="J105" s="2">
        <f t="shared" si="10"/>
        <v>76840.63</v>
      </c>
      <c r="K105" s="2">
        <f t="shared" si="11"/>
        <v>0</v>
      </c>
      <c r="L105" s="2">
        <f t="shared" si="12"/>
        <v>76840.63</v>
      </c>
      <c r="M105" s="18"/>
    </row>
    <row r="106" spans="1:13" x14ac:dyDescent="0.2">
      <c r="A106" s="18" t="s">
        <v>356</v>
      </c>
      <c r="B106" s="242"/>
      <c r="C106" s="242"/>
      <c r="D106" s="242">
        <v>2142194</v>
      </c>
      <c r="E106" s="242"/>
      <c r="F106" s="242">
        <v>8559</v>
      </c>
      <c r="G106" s="242">
        <v>8559</v>
      </c>
      <c r="H106" s="2">
        <f t="shared" si="8"/>
        <v>0</v>
      </c>
      <c r="I106" s="2">
        <f t="shared" si="9"/>
        <v>0</v>
      </c>
      <c r="J106" s="2">
        <f t="shared" si="10"/>
        <v>566824.53</v>
      </c>
      <c r="K106" s="2">
        <f t="shared" si="11"/>
        <v>0</v>
      </c>
      <c r="L106" s="2">
        <f t="shared" si="12"/>
        <v>566824.53</v>
      </c>
      <c r="M106" s="18"/>
    </row>
    <row r="107" spans="1:13" s="20" customFormat="1" x14ac:dyDescent="0.2">
      <c r="A107" s="18" t="s">
        <v>369</v>
      </c>
      <c r="B107" s="242"/>
      <c r="C107" s="242"/>
      <c r="D107" s="242">
        <v>52211</v>
      </c>
      <c r="E107" s="242"/>
      <c r="F107" s="242">
        <v>417030</v>
      </c>
      <c r="G107" s="242">
        <v>417030</v>
      </c>
      <c r="H107" s="2">
        <f t="shared" si="8"/>
        <v>0</v>
      </c>
      <c r="I107" s="2">
        <f t="shared" si="9"/>
        <v>0</v>
      </c>
      <c r="J107" s="2">
        <f>D107*0.2646-0.02</f>
        <v>13815.01</v>
      </c>
      <c r="K107" s="2">
        <f t="shared" si="11"/>
        <v>0</v>
      </c>
      <c r="L107" s="2">
        <f t="shared" si="12"/>
        <v>13815.01</v>
      </c>
      <c r="M107" s="18"/>
    </row>
    <row r="108" spans="1:13" x14ac:dyDescent="0.2">
      <c r="A108" s="1" t="s">
        <v>754</v>
      </c>
      <c r="B108" s="7"/>
      <c r="C108" s="7"/>
      <c r="D108" s="7"/>
      <c r="E108" s="7"/>
      <c r="F108" s="7"/>
      <c r="G108" s="7"/>
      <c r="H108" s="2">
        <f>B108*0.1862</f>
        <v>0</v>
      </c>
      <c r="I108" s="2">
        <f>C108*0.2058</f>
        <v>0</v>
      </c>
      <c r="J108" s="2">
        <f>D108*0.2646+0.02</f>
        <v>0.02</v>
      </c>
      <c r="K108" s="2">
        <f>E108*0.2156</f>
        <v>0</v>
      </c>
      <c r="L108" s="2">
        <f>+H108+I108+J108+K108</f>
        <v>0.02</v>
      </c>
      <c r="M108" s="1"/>
    </row>
    <row r="109" spans="1:13" x14ac:dyDescent="0.2">
      <c r="A109" s="1" t="s">
        <v>67</v>
      </c>
      <c r="B109" s="7"/>
      <c r="C109" s="7"/>
      <c r="D109" s="7">
        <v>10533</v>
      </c>
      <c r="E109" s="7"/>
      <c r="F109" s="7">
        <v>167213</v>
      </c>
      <c r="G109" s="7">
        <v>167213</v>
      </c>
      <c r="H109" s="2">
        <f t="shared" si="8"/>
        <v>0</v>
      </c>
      <c r="I109" s="2">
        <f t="shared" si="9"/>
        <v>0</v>
      </c>
      <c r="J109" s="2">
        <f t="shared" si="10"/>
        <v>2787.03</v>
      </c>
      <c r="K109" s="2">
        <f t="shared" si="11"/>
        <v>0</v>
      </c>
      <c r="L109" s="2">
        <f t="shared" si="12"/>
        <v>2787.03</v>
      </c>
      <c r="M109" s="1"/>
    </row>
    <row r="110" spans="1:13" s="89" customFormat="1" x14ac:dyDescent="0.2">
      <c r="A110" s="18" t="s">
        <v>69</v>
      </c>
      <c r="B110" s="242"/>
      <c r="C110" s="242"/>
      <c r="D110" s="242">
        <v>211251</v>
      </c>
      <c r="E110" s="242"/>
      <c r="F110" s="242">
        <v>0</v>
      </c>
      <c r="G110" s="242">
        <v>0</v>
      </c>
      <c r="H110" s="2">
        <f t="shared" si="8"/>
        <v>0</v>
      </c>
      <c r="I110" s="2">
        <f t="shared" si="9"/>
        <v>0</v>
      </c>
      <c r="J110" s="2">
        <f t="shared" si="10"/>
        <v>55897.01</v>
      </c>
      <c r="K110" s="2">
        <f t="shared" si="11"/>
        <v>0</v>
      </c>
      <c r="L110" s="2">
        <f t="shared" si="12"/>
        <v>55897.01</v>
      </c>
      <c r="M110" s="18"/>
    </row>
    <row r="111" spans="1:13" x14ac:dyDescent="0.2">
      <c r="A111" s="1" t="s">
        <v>570</v>
      </c>
      <c r="B111" s="7"/>
      <c r="C111" s="7"/>
      <c r="D111" s="7">
        <v>160248</v>
      </c>
      <c r="E111" s="7"/>
      <c r="F111" s="7">
        <v>0</v>
      </c>
      <c r="G111" s="7">
        <v>0</v>
      </c>
      <c r="H111" s="2">
        <f t="shared" si="8"/>
        <v>0</v>
      </c>
      <c r="I111" s="2">
        <f t="shared" si="9"/>
        <v>0</v>
      </c>
      <c r="J111" s="2">
        <f t="shared" si="10"/>
        <v>42401.62</v>
      </c>
      <c r="K111" s="2">
        <f t="shared" si="11"/>
        <v>0</v>
      </c>
      <c r="L111" s="2">
        <f t="shared" si="12"/>
        <v>42401.62</v>
      </c>
      <c r="M111" s="1"/>
    </row>
    <row r="112" spans="1:13" x14ac:dyDescent="0.2">
      <c r="A112" s="1" t="s">
        <v>442</v>
      </c>
      <c r="B112" s="7"/>
      <c r="C112" s="7"/>
      <c r="D112" s="7">
        <v>35354</v>
      </c>
      <c r="E112" s="7"/>
      <c r="F112" s="7">
        <v>0</v>
      </c>
      <c r="G112" s="7">
        <v>0</v>
      </c>
      <c r="H112" s="2">
        <f t="shared" si="8"/>
        <v>0</v>
      </c>
      <c r="I112" s="2">
        <f t="shared" si="9"/>
        <v>0</v>
      </c>
      <c r="J112" s="2">
        <f t="shared" si="10"/>
        <v>9354.67</v>
      </c>
      <c r="K112" s="2">
        <f t="shared" si="11"/>
        <v>0</v>
      </c>
      <c r="L112" s="2">
        <f t="shared" si="12"/>
        <v>9354.67</v>
      </c>
      <c r="M112" s="1"/>
    </row>
    <row r="113" spans="1:32" ht="12.75" customHeight="1" x14ac:dyDescent="0.2">
      <c r="A113" s="1" t="s">
        <v>714</v>
      </c>
      <c r="B113" s="7"/>
      <c r="C113" s="7"/>
      <c r="D113" s="7">
        <v>3302</v>
      </c>
      <c r="E113" s="7"/>
      <c r="F113" s="7">
        <v>0</v>
      </c>
      <c r="G113" s="7">
        <v>0</v>
      </c>
      <c r="H113" s="2">
        <f>B113*0.1862</f>
        <v>0</v>
      </c>
      <c r="I113" s="2">
        <f>C113*0.2058</f>
        <v>0</v>
      </c>
      <c r="J113" s="2">
        <f>D113*0.2646</f>
        <v>873.71</v>
      </c>
      <c r="K113" s="2">
        <f>E113*0.2156</f>
        <v>0</v>
      </c>
      <c r="L113" s="2">
        <f>+H113+I113+J113+K113</f>
        <v>873.71</v>
      </c>
      <c r="M113" s="1"/>
    </row>
    <row r="114" spans="1:32" x14ac:dyDescent="0.2">
      <c r="A114" s="1" t="s">
        <v>443</v>
      </c>
      <c r="B114" s="7"/>
      <c r="C114" s="7"/>
      <c r="D114" s="7">
        <v>3220</v>
      </c>
      <c r="E114" s="7"/>
      <c r="F114" s="7">
        <v>0</v>
      </c>
      <c r="G114" s="7">
        <v>0</v>
      </c>
      <c r="H114" s="2">
        <f t="shared" si="8"/>
        <v>0</v>
      </c>
      <c r="I114" s="2">
        <f t="shared" si="9"/>
        <v>0</v>
      </c>
      <c r="J114" s="2">
        <f t="shared" si="10"/>
        <v>852.01</v>
      </c>
      <c r="K114" s="2">
        <f t="shared" si="11"/>
        <v>0</v>
      </c>
      <c r="L114" s="2">
        <f t="shared" si="12"/>
        <v>852.01</v>
      </c>
      <c r="M114" s="1"/>
    </row>
    <row r="115" spans="1:32" x14ac:dyDescent="0.2">
      <c r="A115" s="1" t="s">
        <v>84</v>
      </c>
      <c r="B115" s="7"/>
      <c r="C115" s="7"/>
      <c r="D115" s="7">
        <v>2773</v>
      </c>
      <c r="E115" s="7"/>
      <c r="F115" s="7">
        <v>7799</v>
      </c>
      <c r="G115" s="7">
        <v>0</v>
      </c>
      <c r="H115" s="2">
        <f t="shared" si="8"/>
        <v>0</v>
      </c>
      <c r="I115" s="2">
        <f t="shared" si="9"/>
        <v>0</v>
      </c>
      <c r="J115" s="2">
        <f t="shared" si="10"/>
        <v>733.74</v>
      </c>
      <c r="K115" s="2">
        <f t="shared" si="11"/>
        <v>0</v>
      </c>
      <c r="L115" s="2">
        <f t="shared" si="12"/>
        <v>733.74</v>
      </c>
      <c r="M115" s="1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 spans="1:32" x14ac:dyDescent="0.2">
      <c r="A116" s="18" t="s">
        <v>571</v>
      </c>
      <c r="B116" s="242"/>
      <c r="C116" s="242"/>
      <c r="D116" s="242">
        <v>39136</v>
      </c>
      <c r="E116" s="242"/>
      <c r="F116" s="242">
        <v>665078</v>
      </c>
      <c r="G116" s="242">
        <v>665078</v>
      </c>
      <c r="H116" s="2">
        <f t="shared" si="8"/>
        <v>0</v>
      </c>
      <c r="I116" s="2">
        <f t="shared" si="9"/>
        <v>0</v>
      </c>
      <c r="J116" s="2">
        <f t="shared" si="10"/>
        <v>10355.39</v>
      </c>
      <c r="K116" s="2">
        <f t="shared" si="11"/>
        <v>0</v>
      </c>
      <c r="L116" s="2">
        <f t="shared" si="12"/>
        <v>10355.39</v>
      </c>
      <c r="M116" s="18"/>
      <c r="N116" s="242"/>
      <c r="O116" s="242"/>
      <c r="P116" s="242"/>
      <c r="Q116" s="242"/>
      <c r="R116" s="242"/>
      <c r="S116" s="242"/>
      <c r="T116" s="242"/>
      <c r="U116" s="242"/>
      <c r="V116" s="242"/>
      <c r="W116" s="242"/>
      <c r="X116" s="242"/>
      <c r="Y116" s="242"/>
      <c r="Z116" s="242"/>
      <c r="AA116" s="242"/>
      <c r="AB116" s="242"/>
      <c r="AC116" s="242"/>
      <c r="AD116" s="242"/>
      <c r="AE116" s="242"/>
      <c r="AF116" s="242"/>
    </row>
    <row r="117" spans="1:32" x14ac:dyDescent="0.2">
      <c r="A117" s="1" t="s">
        <v>761</v>
      </c>
      <c r="B117" s="7"/>
      <c r="C117" s="7"/>
      <c r="D117" s="7">
        <v>-4743</v>
      </c>
      <c r="E117" s="7"/>
      <c r="F117" s="7"/>
      <c r="G117" s="7"/>
      <c r="H117" s="2">
        <f>B117*0.1862</f>
        <v>0</v>
      </c>
      <c r="I117" s="2">
        <f>C117*0.2058</f>
        <v>0</v>
      </c>
      <c r="J117" s="2">
        <v>0</v>
      </c>
      <c r="K117" s="2">
        <f>E117*0.2156</f>
        <v>0</v>
      </c>
      <c r="L117" s="2">
        <f>+H117+I117+J117+K117-1255</f>
        <v>-1255</v>
      </c>
      <c r="M117" s="1"/>
    </row>
    <row r="118" spans="1:32" x14ac:dyDescent="0.2">
      <c r="A118" s="18" t="s">
        <v>70</v>
      </c>
      <c r="B118" s="242"/>
      <c r="C118" s="242"/>
      <c r="D118" s="242">
        <v>370144</v>
      </c>
      <c r="E118" s="242">
        <v>1844</v>
      </c>
      <c r="F118" s="242">
        <v>731508</v>
      </c>
      <c r="G118" s="242">
        <v>731508</v>
      </c>
      <c r="H118" s="2">
        <f t="shared" si="8"/>
        <v>0</v>
      </c>
      <c r="I118" s="2">
        <f t="shared" si="9"/>
        <v>0</v>
      </c>
      <c r="J118" s="2">
        <f t="shared" si="10"/>
        <v>97940.1</v>
      </c>
      <c r="K118" s="2">
        <f t="shared" si="11"/>
        <v>397.57</v>
      </c>
      <c r="L118" s="2">
        <f t="shared" si="12"/>
        <v>98337.67</v>
      </c>
      <c r="M118" s="18"/>
      <c r="N118" s="242"/>
      <c r="O118" s="242"/>
      <c r="P118" s="242"/>
      <c r="Q118" s="242"/>
      <c r="R118" s="242"/>
      <c r="S118" s="242"/>
      <c r="T118" s="242"/>
      <c r="U118" s="242"/>
      <c r="V118" s="242"/>
      <c r="W118" s="242"/>
      <c r="X118" s="242"/>
      <c r="Y118" s="242"/>
      <c r="Z118" s="242"/>
      <c r="AA118" s="242"/>
      <c r="AB118" s="242"/>
      <c r="AC118" s="242"/>
      <c r="AD118" s="242"/>
      <c r="AE118" s="242"/>
      <c r="AF118" s="242"/>
    </row>
    <row r="119" spans="1:32" x14ac:dyDescent="0.2">
      <c r="A119" s="1" t="s">
        <v>71</v>
      </c>
      <c r="B119" s="7"/>
      <c r="C119" s="7"/>
      <c r="D119" s="7">
        <v>40926</v>
      </c>
      <c r="E119" s="7"/>
      <c r="F119" s="7">
        <v>211741</v>
      </c>
      <c r="G119" s="7">
        <v>211741</v>
      </c>
      <c r="H119" s="2">
        <f t="shared" si="8"/>
        <v>0</v>
      </c>
      <c r="I119" s="2">
        <f t="shared" si="9"/>
        <v>0</v>
      </c>
      <c r="J119" s="2">
        <f t="shared" si="10"/>
        <v>10829.02</v>
      </c>
      <c r="K119" s="2">
        <f t="shared" si="11"/>
        <v>0</v>
      </c>
      <c r="L119" s="2">
        <f t="shared" si="12"/>
        <v>10829.02</v>
      </c>
      <c r="M119" s="1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</row>
    <row r="120" spans="1:32" x14ac:dyDescent="0.2">
      <c r="A120" s="1" t="s">
        <v>367</v>
      </c>
      <c r="B120" s="7"/>
      <c r="C120" s="7"/>
      <c r="D120" s="7">
        <v>14714</v>
      </c>
      <c r="E120" s="7"/>
      <c r="F120" s="7">
        <v>0</v>
      </c>
      <c r="G120" s="7">
        <v>0</v>
      </c>
      <c r="H120" s="2">
        <f>B120*0.1862</f>
        <v>0</v>
      </c>
      <c r="I120" s="2">
        <f>C120*0.2058</f>
        <v>0</v>
      </c>
      <c r="J120" s="2">
        <f>D120*0.2646</f>
        <v>3893.32</v>
      </c>
      <c r="K120" s="2">
        <f>E120*0.2156</f>
        <v>0</v>
      </c>
      <c r="L120" s="2">
        <f>+H120+I120+J120+K120</f>
        <v>3893.32</v>
      </c>
      <c r="M120" s="1"/>
    </row>
    <row r="121" spans="1:32" x14ac:dyDescent="0.2">
      <c r="A121" s="1" t="s">
        <v>734</v>
      </c>
      <c r="B121" s="7"/>
      <c r="C121" s="7"/>
      <c r="D121" s="7">
        <v>4520</v>
      </c>
      <c r="E121" s="7"/>
      <c r="F121" s="7">
        <v>0</v>
      </c>
      <c r="G121" s="7">
        <v>0</v>
      </c>
      <c r="H121" s="2">
        <f>B121*0.1862</f>
        <v>0</v>
      </c>
      <c r="I121" s="2">
        <f>C121*0.2058</f>
        <v>0</v>
      </c>
      <c r="J121" s="2">
        <f>D121*0.2646</f>
        <v>1195.99</v>
      </c>
      <c r="K121" s="2">
        <f>E121*0.2156</f>
        <v>0</v>
      </c>
      <c r="L121" s="2">
        <f>+H121+I121+J121+K121</f>
        <v>1195.99</v>
      </c>
      <c r="M121" s="1"/>
    </row>
    <row r="122" spans="1:32" x14ac:dyDescent="0.2">
      <c r="A122" s="10"/>
      <c r="B122" s="32"/>
      <c r="C122" s="32"/>
      <c r="D122" s="32"/>
      <c r="E122" s="32"/>
      <c r="F122" s="32"/>
      <c r="G122" s="32"/>
      <c r="H122" s="33"/>
      <c r="I122" s="33"/>
      <c r="J122" s="33"/>
      <c r="K122" s="33"/>
      <c r="L122" s="33"/>
      <c r="M122" s="90"/>
    </row>
    <row r="123" spans="1:32" s="142" customFormat="1" x14ac:dyDescent="0.2">
      <c r="A123" s="129" t="s">
        <v>72</v>
      </c>
      <c r="B123" s="284">
        <f t="shared" ref="B123:G123" si="13">SUM(B12:B122)</f>
        <v>0</v>
      </c>
      <c r="C123" s="284">
        <f t="shared" si="13"/>
        <v>-108</v>
      </c>
      <c r="D123" s="284">
        <f t="shared" si="13"/>
        <v>29932572</v>
      </c>
      <c r="E123" s="284">
        <f t="shared" si="13"/>
        <v>319412</v>
      </c>
      <c r="F123" s="284">
        <f t="shared" si="13"/>
        <v>20213586</v>
      </c>
      <c r="G123" s="284">
        <f t="shared" si="13"/>
        <v>19912244</v>
      </c>
      <c r="H123" s="285">
        <f>SUM(H13:H122)</f>
        <v>0</v>
      </c>
      <c r="I123" s="285">
        <f>SUM(I13:I122)</f>
        <v>-22.23</v>
      </c>
      <c r="J123" s="285">
        <f>SUM(J13:J122)</f>
        <v>7910056.5999999996</v>
      </c>
      <c r="K123" s="285">
        <f>SUM(K13:K122)</f>
        <v>68865.240000000005</v>
      </c>
      <c r="L123" s="285">
        <f>SUM(L13:L122)</f>
        <v>7977644.6100000003</v>
      </c>
      <c r="M123" s="284"/>
    </row>
    <row r="124" spans="1:32" hidden="1" x14ac:dyDescent="0.2">
      <c r="A124" s="128" t="s">
        <v>598</v>
      </c>
      <c r="B124" s="7">
        <v>0</v>
      </c>
      <c r="C124" s="7"/>
      <c r="D124" s="7"/>
      <c r="E124" s="7"/>
      <c r="F124" s="7"/>
      <c r="G124" s="7"/>
      <c r="H124" s="286"/>
      <c r="I124" s="286">
        <v>-22.23</v>
      </c>
      <c r="J124" s="286">
        <v>7910056.5999999996</v>
      </c>
      <c r="K124" s="286">
        <v>68865.240000000005</v>
      </c>
      <c r="L124" s="286">
        <v>7978899.6100000003</v>
      </c>
      <c r="M124" s="1"/>
    </row>
    <row r="125" spans="1:32" hidden="1" x14ac:dyDescent="0.2">
      <c r="A125" s="128" t="s">
        <v>689</v>
      </c>
      <c r="B125" s="7"/>
      <c r="C125" s="7"/>
      <c r="D125" s="7"/>
      <c r="E125" s="7"/>
      <c r="F125" s="7"/>
      <c r="G125" s="7"/>
      <c r="H125" s="286"/>
      <c r="I125" s="286"/>
      <c r="J125" s="286"/>
      <c r="K125" s="286"/>
      <c r="L125" s="286">
        <v>-1255</v>
      </c>
      <c r="M125" s="1"/>
    </row>
    <row r="126" spans="1:32" ht="13.5" hidden="1" thickBot="1" x14ac:dyDescent="0.25">
      <c r="A126" s="129" t="s">
        <v>316</v>
      </c>
      <c r="B126" s="34">
        <f t="shared" ref="B126:L126" si="14">+B123-B124-B125</f>
        <v>0</v>
      </c>
      <c r="C126" s="34">
        <f t="shared" si="14"/>
        <v>-108</v>
      </c>
      <c r="D126" s="34">
        <f t="shared" si="14"/>
        <v>29932572</v>
      </c>
      <c r="E126" s="34">
        <f t="shared" si="14"/>
        <v>319412</v>
      </c>
      <c r="F126" s="34">
        <f t="shared" si="14"/>
        <v>20213586</v>
      </c>
      <c r="G126" s="34">
        <f t="shared" si="14"/>
        <v>19912244</v>
      </c>
      <c r="H126" s="287">
        <f t="shared" si="14"/>
        <v>0</v>
      </c>
      <c r="I126" s="287">
        <f t="shared" si="14"/>
        <v>0</v>
      </c>
      <c r="J126" s="287">
        <f t="shared" si="14"/>
        <v>0</v>
      </c>
      <c r="K126" s="287">
        <f t="shared" si="14"/>
        <v>0</v>
      </c>
      <c r="L126" s="287">
        <f t="shared" si="14"/>
        <v>0</v>
      </c>
      <c r="M126" s="1"/>
    </row>
    <row r="127" spans="1:32" hidden="1" x14ac:dyDescent="0.2">
      <c r="A127" s="1"/>
      <c r="B127" s="7" t="s">
        <v>82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32" hidden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>
        <f>'s6, s6a'!L28</f>
        <v>5067.59</v>
      </c>
      <c r="M128" s="2"/>
    </row>
    <row r="129" spans="1:13" hidden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"/>
      <c r="L129" s="2"/>
      <c r="M129" s="1"/>
    </row>
    <row r="130" spans="1:13" hidden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78">
        <v>5067.59</v>
      </c>
      <c r="M130" s="1"/>
    </row>
    <row r="131" spans="1:13" hidden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1"/>
    </row>
    <row r="132" spans="1:13" hidden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>
        <f>ST12.65+_ST5+ST5.35</f>
        <v>20642411.82</v>
      </c>
      <c r="K132" s="1"/>
      <c r="L132" s="2">
        <f>+L126+L128-L130</f>
        <v>0</v>
      </c>
      <c r="M132" s="1"/>
    </row>
    <row r="133" spans="1:13" hidden="1" x14ac:dyDescent="0.2">
      <c r="A133" s="1"/>
      <c r="B133" s="1"/>
      <c r="C133" s="1"/>
      <c r="D133" s="1"/>
      <c r="E133" s="1"/>
      <c r="F133" s="1"/>
      <c r="G133" s="1"/>
      <c r="H133" s="1" t="s">
        <v>493</v>
      </c>
      <c r="I133" s="1"/>
      <c r="J133" s="231">
        <v>20642411.82</v>
      </c>
      <c r="K133" s="1"/>
      <c r="L133" s="1"/>
      <c r="M133" s="1"/>
    </row>
    <row r="134" spans="1:13" hidden="1" x14ac:dyDescent="0.2">
      <c r="J134" s="220">
        <f>J132-J133</f>
        <v>0</v>
      </c>
    </row>
    <row r="135" spans="1:13" hidden="1" x14ac:dyDescent="0.2"/>
    <row r="136" spans="1:13" hidden="1" x14ac:dyDescent="0.2"/>
    <row r="137" spans="1:13" hidden="1" x14ac:dyDescent="0.2"/>
    <row r="138" spans="1:13" hidden="1" x14ac:dyDescent="0.2"/>
    <row r="139" spans="1:13" hidden="1" x14ac:dyDescent="0.2"/>
    <row r="140" spans="1:13" hidden="1" x14ac:dyDescent="0.2">
      <c r="M140" s="1" t="s">
        <v>80</v>
      </c>
    </row>
    <row r="141" spans="1:13" hidden="1" x14ac:dyDescent="0.2"/>
    <row r="142" spans="1:13" hidden="1" x14ac:dyDescent="0.2"/>
    <row r="143" spans="1:13" hidden="1" x14ac:dyDescent="0.2"/>
    <row r="144" spans="1:13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</sheetData>
  <phoneticPr fontId="0" type="noConversion"/>
  <pageMargins left="0.75" right="0.75" top="1" bottom="1" header="0.5" footer="0.5"/>
  <pageSetup scale="58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81"/>
  <sheetViews>
    <sheetView zoomScaleNormal="100" workbookViewId="0"/>
  </sheetViews>
  <sheetFormatPr defaultRowHeight="12.75" x14ac:dyDescent="0.2"/>
  <cols>
    <col min="1" max="1" width="16" customWidth="1"/>
    <col min="2" max="2" width="30" bestFit="1" customWidth="1"/>
    <col min="3" max="3" width="11.5703125" bestFit="1" customWidth="1"/>
    <col min="4" max="4" width="16.5703125" style="151" customWidth="1"/>
    <col min="5" max="5" width="12.28515625" customWidth="1"/>
    <col min="6" max="6" width="13.85546875" customWidth="1"/>
    <col min="7" max="7" width="13.140625" customWidth="1"/>
  </cols>
  <sheetData>
    <row r="1" spans="1:7" x14ac:dyDescent="0.2">
      <c r="A1" t="s">
        <v>504</v>
      </c>
    </row>
    <row r="2" spans="1:7" x14ac:dyDescent="0.2">
      <c r="A2" t="s">
        <v>505</v>
      </c>
      <c r="B2" t="str">
        <f>+'s1'!$A$2</f>
        <v>DECEMBER 2004</v>
      </c>
      <c r="C2" t="s">
        <v>556</v>
      </c>
      <c r="G2" t="s">
        <v>12</v>
      </c>
    </row>
    <row r="3" spans="1:7" x14ac:dyDescent="0.2">
      <c r="C3" t="s">
        <v>557</v>
      </c>
      <c r="D3" s="172" t="s">
        <v>552</v>
      </c>
      <c r="E3" t="s">
        <v>553</v>
      </c>
      <c r="F3" t="s">
        <v>555</v>
      </c>
      <c r="G3" t="s">
        <v>554</v>
      </c>
    </row>
    <row r="4" spans="1:7" x14ac:dyDescent="0.2">
      <c r="A4" s="255">
        <v>3921</v>
      </c>
      <c r="B4" s="256" t="s">
        <v>525</v>
      </c>
      <c r="C4" s="162">
        <f>-SUM(C6:C8)/2</f>
        <v>126049.36</v>
      </c>
      <c r="G4" s="11">
        <f>+C4+E4</f>
        <v>126049.36</v>
      </c>
    </row>
    <row r="5" spans="1:7" x14ac:dyDescent="0.2">
      <c r="A5" s="255">
        <v>3922</v>
      </c>
      <c r="B5" s="256" t="s">
        <v>526</v>
      </c>
      <c r="C5" s="162">
        <f>+C4</f>
        <v>126049.36</v>
      </c>
      <c r="G5" s="11">
        <f>+C5+E5</f>
        <v>126049.36</v>
      </c>
    </row>
    <row r="6" spans="1:7" x14ac:dyDescent="0.2">
      <c r="A6" s="255">
        <v>3924</v>
      </c>
      <c r="B6" s="256" t="s">
        <v>549</v>
      </c>
      <c r="C6" s="257">
        <f>-'s4'!C8</f>
        <v>-138687.82999999999</v>
      </c>
      <c r="E6" s="11">
        <f>-'s4'!D8</f>
        <v>-24646.86</v>
      </c>
      <c r="F6" s="11">
        <f>+'s4'!F8</f>
        <v>0</v>
      </c>
      <c r="G6" s="11">
        <f>+C6+E6+F6</f>
        <v>-163334.69</v>
      </c>
    </row>
    <row r="7" spans="1:7" x14ac:dyDescent="0.2">
      <c r="A7" s="255">
        <v>3925</v>
      </c>
      <c r="B7" s="256" t="s">
        <v>550</v>
      </c>
      <c r="C7" s="257">
        <f>-'s4'!C9</f>
        <v>-54803.99</v>
      </c>
      <c r="E7" s="11">
        <f>-'s4'!D9</f>
        <v>-9741.84</v>
      </c>
      <c r="F7" s="11">
        <f>+'s4'!F9</f>
        <v>0</v>
      </c>
      <c r="G7" s="11">
        <f>+C7+E7+F7</f>
        <v>-64545.83</v>
      </c>
    </row>
    <row r="8" spans="1:7" x14ac:dyDescent="0.2">
      <c r="A8" s="255">
        <v>3926</v>
      </c>
      <c r="B8" s="256" t="s">
        <v>551</v>
      </c>
      <c r="C8" s="257">
        <f>-LessWP535</f>
        <v>-58606.9</v>
      </c>
      <c r="E8" s="11">
        <f>-'s4'!D10</f>
        <v>-10423.74</v>
      </c>
      <c r="F8" s="11">
        <f>-LessAF535</f>
        <v>-16174.16</v>
      </c>
      <c r="G8" s="11">
        <f>+C8+E8+F8</f>
        <v>-85204.800000000003</v>
      </c>
    </row>
    <row r="9" spans="1:7" x14ac:dyDescent="0.2">
      <c r="A9" t="s">
        <v>527</v>
      </c>
      <c r="E9" s="11" t="s">
        <v>82</v>
      </c>
      <c r="G9" s="11" t="s">
        <v>82</v>
      </c>
    </row>
    <row r="10" spans="1:7" x14ac:dyDescent="0.2">
      <c r="A10" t="s">
        <v>524</v>
      </c>
      <c r="B10" t="str">
        <f>+'s1'!$A$2</f>
        <v>DECEMBER 2004</v>
      </c>
    </row>
    <row r="11" spans="1:7" x14ac:dyDescent="0.2">
      <c r="D11" s="172"/>
    </row>
    <row r="12" spans="1:7" x14ac:dyDescent="0.2">
      <c r="A12" s="258">
        <v>3904</v>
      </c>
      <c r="B12" s="259" t="s">
        <v>506</v>
      </c>
      <c r="C12" s="259"/>
      <c r="D12" s="151">
        <f>+'s3, s3b, s3d'!E121</f>
        <v>105956.51</v>
      </c>
      <c r="E12" s="11">
        <f>-'s4'!D15-'s4'!D16</f>
        <v>0</v>
      </c>
      <c r="F12" s="151">
        <f>-SUM('s4'!F15:F16)</f>
        <v>-1344.14</v>
      </c>
      <c r="G12" s="162">
        <f>+D12+E12+F12</f>
        <v>104612.37</v>
      </c>
    </row>
    <row r="13" spans="1:7" x14ac:dyDescent="0.2">
      <c r="A13" s="258">
        <v>3905</v>
      </c>
      <c r="B13" s="259" t="s">
        <v>507</v>
      </c>
      <c r="C13" s="259"/>
      <c r="D13" s="151">
        <f>+'s3, s3b, s3d'!E122</f>
        <v>84990.49</v>
      </c>
      <c r="E13" s="11">
        <f>-'s4'!D17-'s4'!D18</f>
        <v>-1958.75</v>
      </c>
      <c r="F13" s="151">
        <f>-SUM('s4'!F17:F18)</f>
        <v>-312.13</v>
      </c>
      <c r="G13" s="162">
        <f t="shared" ref="G13:G52" si="0">+D13+E13+F13</f>
        <v>82719.61</v>
      </c>
    </row>
    <row r="14" spans="1:7" x14ac:dyDescent="0.2">
      <c r="A14" s="258">
        <v>3906</v>
      </c>
      <c r="B14" s="259" t="s">
        <v>508</v>
      </c>
      <c r="C14" s="259"/>
      <c r="D14" s="151">
        <f>+'s3, s3b, s3d'!E125</f>
        <v>1613857.62</v>
      </c>
      <c r="E14" s="11">
        <f>-'s4'!D19-'s4'!D20</f>
        <v>-1201</v>
      </c>
      <c r="F14" s="151">
        <f>-SUM('s4'!F19:F20)</f>
        <v>-27266.99</v>
      </c>
      <c r="G14" s="162">
        <f t="shared" si="0"/>
        <v>1585389.63</v>
      </c>
    </row>
    <row r="15" spans="1:7" x14ac:dyDescent="0.2">
      <c r="A15" s="258">
        <v>3907</v>
      </c>
      <c r="B15" s="259" t="s">
        <v>509</v>
      </c>
      <c r="C15" s="259"/>
      <c r="D15" s="151">
        <f>+'s3, s3b, s3d'!E132</f>
        <v>83092.83</v>
      </c>
      <c r="E15" s="11">
        <f>-'s4'!D21-'s4'!D22</f>
        <v>-2404.44</v>
      </c>
      <c r="F15" s="151">
        <f>-SUM('s4'!F21:F22)</f>
        <v>-410.18</v>
      </c>
      <c r="G15" s="162">
        <f t="shared" si="0"/>
        <v>80278.210000000006</v>
      </c>
    </row>
    <row r="16" spans="1:7" x14ac:dyDescent="0.2">
      <c r="A16" s="258">
        <v>3908</v>
      </c>
      <c r="B16" s="259" t="s">
        <v>510</v>
      </c>
      <c r="C16" s="259"/>
      <c r="D16" s="151">
        <f>+'s3, s3b, s3d'!E133</f>
        <v>187842.96</v>
      </c>
      <c r="E16" s="11">
        <f>-'s4'!D23-'s4'!D24</f>
        <v>-604.85</v>
      </c>
      <c r="F16" s="151">
        <f>-SUM('s4'!F23:F24)</f>
        <v>-421.63</v>
      </c>
      <c r="G16" s="162">
        <f t="shared" si="0"/>
        <v>186816.48</v>
      </c>
    </row>
    <row r="17" spans="1:7" x14ac:dyDescent="0.2">
      <c r="A17" s="258">
        <v>3909</v>
      </c>
      <c r="B17" s="259" t="s">
        <v>511</v>
      </c>
      <c r="C17" s="259"/>
      <c r="D17" s="151">
        <f>+'s3, s3b, s3d'!E139</f>
        <v>45789.91</v>
      </c>
      <c r="E17" s="11">
        <f>-'s4'!D25-'s4'!D26</f>
        <v>0</v>
      </c>
      <c r="F17" s="151">
        <f>-SUM('s4'!F25:F26)</f>
        <v>-2.35</v>
      </c>
      <c r="G17" s="162">
        <f t="shared" si="0"/>
        <v>45787.56</v>
      </c>
    </row>
    <row r="18" spans="1:7" x14ac:dyDescent="0.2">
      <c r="A18" s="258">
        <v>3910</v>
      </c>
      <c r="B18" s="259" t="s">
        <v>512</v>
      </c>
      <c r="C18" s="259"/>
      <c r="D18" s="151">
        <f>+'s3, s3b, s3d'!E140</f>
        <v>60082.12</v>
      </c>
      <c r="E18" s="11">
        <f>-'s4'!D27-'s4'!D28</f>
        <v>-37.49</v>
      </c>
      <c r="F18" s="151">
        <f>-SUM('s4'!F27:F28)</f>
        <v>-22.17</v>
      </c>
      <c r="G18" s="162">
        <f t="shared" si="0"/>
        <v>60022.46</v>
      </c>
    </row>
    <row r="19" spans="1:7" x14ac:dyDescent="0.2">
      <c r="A19" s="258">
        <v>3911</v>
      </c>
      <c r="B19" s="259" t="s">
        <v>513</v>
      </c>
      <c r="C19" s="259"/>
      <c r="D19" s="151">
        <f>+'s3, s3b, s3d'!E141</f>
        <v>114680.98</v>
      </c>
      <c r="E19" s="11">
        <f>-'s4'!D29-'s4'!D30</f>
        <v>-1036.06</v>
      </c>
      <c r="F19" s="151">
        <f>-SUM('s4'!F29:F30)</f>
        <v>-309.66000000000003</v>
      </c>
      <c r="G19" s="162">
        <f t="shared" si="0"/>
        <v>113335.26</v>
      </c>
    </row>
    <row r="20" spans="1:7" x14ac:dyDescent="0.2">
      <c r="A20" s="258">
        <v>3912</v>
      </c>
      <c r="B20" s="259" t="s">
        <v>514</v>
      </c>
      <c r="C20" s="259"/>
      <c r="D20" s="151">
        <f>+'s3, s3b, s3d'!E144</f>
        <v>77849.7</v>
      </c>
      <c r="E20" s="11">
        <f>-'s4'!D31-'s4'!D32</f>
        <v>-156.80000000000001</v>
      </c>
      <c r="F20" s="151">
        <f>-SUM('s4'!F31:F32)</f>
        <v>-92.19</v>
      </c>
      <c r="G20" s="162">
        <f t="shared" si="0"/>
        <v>77600.710000000006</v>
      </c>
    </row>
    <row r="21" spans="1:7" x14ac:dyDescent="0.2">
      <c r="A21" s="258">
        <v>3913</v>
      </c>
      <c r="B21" s="259" t="s">
        <v>515</v>
      </c>
      <c r="C21" s="259"/>
      <c r="D21" s="151">
        <f>+'s3, s3b, s3d'!E147</f>
        <v>125792.35</v>
      </c>
      <c r="E21" s="11">
        <f>-'s4'!D33-'s4'!D34</f>
        <v>-40.04</v>
      </c>
      <c r="F21" s="151">
        <f>-SUM('s4'!F33:F34)</f>
        <v>-43.31</v>
      </c>
      <c r="G21" s="162">
        <f t="shared" si="0"/>
        <v>125709</v>
      </c>
    </row>
    <row r="22" spans="1:7" x14ac:dyDescent="0.2">
      <c r="A22" s="258">
        <v>3914</v>
      </c>
      <c r="B22" s="259" t="s">
        <v>516</v>
      </c>
      <c r="C22" s="259"/>
      <c r="D22" s="151">
        <f>+'s3, s3b, s3d'!E150</f>
        <v>68248.899999999994</v>
      </c>
      <c r="E22" s="11">
        <f>-'s4'!D35-'s4'!D36</f>
        <v>-2127.67</v>
      </c>
      <c r="F22" s="151">
        <f>-SUM('s4'!F35:F36)</f>
        <v>-654.70000000000005</v>
      </c>
      <c r="G22" s="162">
        <f t="shared" si="0"/>
        <v>65466.53</v>
      </c>
    </row>
    <row r="23" spans="1:7" x14ac:dyDescent="0.2">
      <c r="A23" s="258">
        <v>3915</v>
      </c>
      <c r="B23" s="259" t="s">
        <v>517</v>
      </c>
      <c r="C23" s="259"/>
      <c r="D23" s="151">
        <f>+'s3, s3b, s3d'!E154</f>
        <v>45379.25</v>
      </c>
      <c r="E23" s="11">
        <f>-'s4'!D37-'s4'!D38</f>
        <v>-3555.73</v>
      </c>
      <c r="F23" s="151">
        <f>-SUM('s4'!F37:F38)</f>
        <v>-104.73</v>
      </c>
      <c r="G23" s="162">
        <f t="shared" si="0"/>
        <v>41718.79</v>
      </c>
    </row>
    <row r="24" spans="1:7" x14ac:dyDescent="0.2">
      <c r="A24" s="258">
        <v>3916</v>
      </c>
      <c r="B24" s="259" t="s">
        <v>518</v>
      </c>
      <c r="C24" s="259"/>
      <c r="D24" s="151">
        <f>+'s3, s3b, s3d'!E155</f>
        <v>208213.98</v>
      </c>
      <c r="E24" s="11">
        <f>-'s4'!D39-'s4'!D40</f>
        <v>-483.77</v>
      </c>
      <c r="F24" s="151">
        <f>-SUM('s4'!F39:F40)</f>
        <v>-340.32</v>
      </c>
      <c r="G24" s="162">
        <f t="shared" si="0"/>
        <v>207389.89</v>
      </c>
    </row>
    <row r="25" spans="1:7" x14ac:dyDescent="0.2">
      <c r="A25" s="258">
        <v>3917</v>
      </c>
      <c r="B25" s="259" t="s">
        <v>519</v>
      </c>
      <c r="C25" s="259"/>
      <c r="D25" s="151">
        <f>+'s3, s3b, s3d'!E160</f>
        <v>87954.79</v>
      </c>
      <c r="E25" s="11">
        <f>-'s4'!D41-'s4'!D42</f>
        <v>-525.97</v>
      </c>
      <c r="F25" s="151">
        <f>-SUM('s4'!F41:F42)</f>
        <v>-71.2</v>
      </c>
      <c r="G25" s="162">
        <f t="shared" si="0"/>
        <v>87357.62</v>
      </c>
    </row>
    <row r="26" spans="1:7" x14ac:dyDescent="0.2">
      <c r="A26" s="258">
        <v>3918</v>
      </c>
      <c r="B26" s="259" t="s">
        <v>520</v>
      </c>
      <c r="C26" s="259"/>
      <c r="D26" s="151">
        <f>+'s3, s3b, s3d'!E163</f>
        <v>7095.07</v>
      </c>
      <c r="E26" s="11">
        <f>-'s4'!D43-'s4'!D44</f>
        <v>0</v>
      </c>
      <c r="F26" s="151">
        <f>-SUM('s4'!F43:F44)</f>
        <v>-5.76</v>
      </c>
      <c r="G26" s="162">
        <f t="shared" si="0"/>
        <v>7089.31</v>
      </c>
    </row>
    <row r="27" spans="1:7" x14ac:dyDescent="0.2">
      <c r="A27" s="258">
        <v>3919</v>
      </c>
      <c r="B27" s="259" t="s">
        <v>521</v>
      </c>
      <c r="C27" s="259"/>
      <c r="D27" s="151">
        <f>+'s3, s3b, s3d'!E164</f>
        <v>384872.77</v>
      </c>
      <c r="E27" s="11">
        <f>-'s4'!D45-'s4'!D46</f>
        <v>-1164.55</v>
      </c>
      <c r="F27" s="151">
        <f>-SUM('s4'!F45:F46)</f>
        <v>-7032.38</v>
      </c>
      <c r="G27" s="162">
        <f t="shared" si="0"/>
        <v>376675.84000000003</v>
      </c>
    </row>
    <row r="28" spans="1:7" x14ac:dyDescent="0.2">
      <c r="A28" s="258">
        <v>3920</v>
      </c>
      <c r="B28" s="259" t="s">
        <v>522</v>
      </c>
      <c r="C28" s="259"/>
      <c r="D28" s="151">
        <f>+'s3, s3b, s3d'!E168</f>
        <v>118178.15</v>
      </c>
      <c r="E28" s="11">
        <f>-'s4'!D47-'s4'!D48</f>
        <v>-616.03</v>
      </c>
      <c r="F28" s="151">
        <f>-SUM('s4'!F47:F48)</f>
        <v>-315.08999999999997</v>
      </c>
      <c r="G28" s="162">
        <f t="shared" si="0"/>
        <v>117247.03</v>
      </c>
    </row>
    <row r="29" spans="1:7" x14ac:dyDescent="0.2">
      <c r="A29" s="260">
        <v>3940</v>
      </c>
      <c r="B29" s="256" t="s">
        <v>528</v>
      </c>
      <c r="C29" s="256"/>
      <c r="D29" s="151">
        <f>+'s3, s3b, s3d'!E123</f>
        <v>9703.9</v>
      </c>
      <c r="G29" s="162">
        <f t="shared" si="0"/>
        <v>9703.9</v>
      </c>
    </row>
    <row r="30" spans="1:7" x14ac:dyDescent="0.2">
      <c r="A30" s="260">
        <v>3941</v>
      </c>
      <c r="B30" s="256" t="s">
        <v>529</v>
      </c>
      <c r="C30" s="256"/>
      <c r="D30" s="151">
        <f>+'s3, s3b, s3d'!E126</f>
        <v>23105.69</v>
      </c>
      <c r="G30" s="162">
        <f t="shared" si="0"/>
        <v>23105.69</v>
      </c>
    </row>
    <row r="31" spans="1:7" x14ac:dyDescent="0.2">
      <c r="A31" s="260">
        <v>3942</v>
      </c>
      <c r="B31" s="256" t="s">
        <v>530</v>
      </c>
      <c r="C31" s="256"/>
      <c r="D31" s="151">
        <f>+'s3, s3b, s3d'!E127</f>
        <v>243941.37</v>
      </c>
      <c r="G31" s="162">
        <f t="shared" si="0"/>
        <v>243941.37</v>
      </c>
    </row>
    <row r="32" spans="1:7" x14ac:dyDescent="0.2">
      <c r="A32" s="260">
        <v>3943</v>
      </c>
      <c r="B32" s="256" t="s">
        <v>531</v>
      </c>
      <c r="C32" s="256"/>
      <c r="D32" s="151">
        <f>+'s3, s3b, s3d'!E128</f>
        <v>464383.94</v>
      </c>
      <c r="G32" s="162">
        <f t="shared" si="0"/>
        <v>464383.94</v>
      </c>
    </row>
    <row r="33" spans="1:7" x14ac:dyDescent="0.2">
      <c r="A33" s="260">
        <v>3944</v>
      </c>
      <c r="B33" s="256" t="s">
        <v>532</v>
      </c>
      <c r="C33" s="256"/>
      <c r="D33" s="151">
        <f>+'s3, s3b, s3d'!E129</f>
        <v>12991.2</v>
      </c>
      <c r="G33" s="162">
        <f t="shared" si="0"/>
        <v>12991.2</v>
      </c>
    </row>
    <row r="34" spans="1:7" x14ac:dyDescent="0.2">
      <c r="A34" s="260">
        <v>3945</v>
      </c>
      <c r="B34" s="256" t="s">
        <v>533</v>
      </c>
      <c r="C34" s="256"/>
      <c r="D34" s="151">
        <f>+'s3, s3b, s3d'!E130</f>
        <v>133722.5</v>
      </c>
      <c r="G34" s="162">
        <f t="shared" si="0"/>
        <v>133722.5</v>
      </c>
    </row>
    <row r="35" spans="1:7" x14ac:dyDescent="0.2">
      <c r="A35" s="260">
        <v>3946</v>
      </c>
      <c r="B35" s="256" t="s">
        <v>534</v>
      </c>
      <c r="C35" s="256"/>
      <c r="D35" s="151">
        <f>+'s3, s3b, s3d'!E134</f>
        <v>3054.49</v>
      </c>
      <c r="G35" s="162">
        <f t="shared" si="0"/>
        <v>3054.49</v>
      </c>
    </row>
    <row r="36" spans="1:7" x14ac:dyDescent="0.2">
      <c r="A36" s="260">
        <v>3947</v>
      </c>
      <c r="B36" s="256" t="s">
        <v>535</v>
      </c>
      <c r="C36" s="256"/>
      <c r="D36" s="151">
        <f>+'s3, s3b, s3d'!E135</f>
        <v>31488.68</v>
      </c>
      <c r="G36" s="162">
        <f t="shared" si="0"/>
        <v>31488.68</v>
      </c>
    </row>
    <row r="37" spans="1:7" x14ac:dyDescent="0.2">
      <c r="A37" s="260">
        <v>3948</v>
      </c>
      <c r="B37" s="256" t="s">
        <v>536</v>
      </c>
      <c r="C37" s="256"/>
      <c r="D37" s="151">
        <f>+'s3, s3b, s3d'!E136</f>
        <v>2500.7600000000002</v>
      </c>
      <c r="G37" s="162">
        <f t="shared" si="0"/>
        <v>2500.7600000000002</v>
      </c>
    </row>
    <row r="38" spans="1:7" x14ac:dyDescent="0.2">
      <c r="A38" s="260">
        <v>3949</v>
      </c>
      <c r="B38" s="256" t="s">
        <v>537</v>
      </c>
      <c r="C38" s="256"/>
      <c r="D38" s="151">
        <f>+'s3, s3b, s3d'!E137</f>
        <v>7570.21</v>
      </c>
      <c r="G38" s="162">
        <f t="shared" si="0"/>
        <v>7570.21</v>
      </c>
    </row>
    <row r="39" spans="1:7" x14ac:dyDescent="0.2">
      <c r="A39" s="260">
        <v>3950</v>
      </c>
      <c r="B39" s="256" t="s">
        <v>538</v>
      </c>
      <c r="C39" s="256"/>
      <c r="D39" s="151">
        <f>+'s3, s3b, s3d'!E142</f>
        <v>14570.87</v>
      </c>
      <c r="G39" s="162">
        <f t="shared" si="0"/>
        <v>14570.87</v>
      </c>
    </row>
    <row r="40" spans="1:7" x14ac:dyDescent="0.2">
      <c r="A40" s="260">
        <v>3951</v>
      </c>
      <c r="B40" s="256" t="s">
        <v>539</v>
      </c>
      <c r="C40" s="256"/>
      <c r="D40" s="151">
        <f>+'s3, s3b, s3d'!E145</f>
        <v>35.049999999999997</v>
      </c>
      <c r="G40" s="162">
        <f t="shared" si="0"/>
        <v>35.049999999999997</v>
      </c>
    </row>
    <row r="41" spans="1:7" x14ac:dyDescent="0.2">
      <c r="A41" s="260">
        <v>3952</v>
      </c>
      <c r="B41" s="256" t="s">
        <v>540</v>
      </c>
      <c r="C41" s="256"/>
      <c r="D41" s="151">
        <f>+'s3, s3b, s3d'!E148</f>
        <v>7492.35</v>
      </c>
      <c r="G41" s="162">
        <f t="shared" si="0"/>
        <v>7492.35</v>
      </c>
    </row>
    <row r="42" spans="1:7" x14ac:dyDescent="0.2">
      <c r="A42" s="260">
        <v>3953</v>
      </c>
      <c r="B42" s="256" t="s">
        <v>541</v>
      </c>
      <c r="C42" s="256"/>
      <c r="D42" s="151">
        <f>+'s3, s3b, s3d'!E152</f>
        <v>13780.62</v>
      </c>
      <c r="G42" s="162">
        <f t="shared" si="0"/>
        <v>13780.62</v>
      </c>
    </row>
    <row r="43" spans="1:7" x14ac:dyDescent="0.2">
      <c r="A43" s="260">
        <v>3954</v>
      </c>
      <c r="B43" s="256" t="s">
        <v>542</v>
      </c>
      <c r="C43" s="256"/>
      <c r="D43" s="151">
        <f>+'s3, s3b, s3d'!E151</f>
        <v>3047.32</v>
      </c>
      <c r="G43" s="162">
        <f t="shared" si="0"/>
        <v>3047.32</v>
      </c>
    </row>
    <row r="44" spans="1:7" x14ac:dyDescent="0.2">
      <c r="A44" s="260">
        <v>3955</v>
      </c>
      <c r="B44" s="256" t="s">
        <v>543</v>
      </c>
      <c r="C44" s="256"/>
      <c r="D44" s="151">
        <f>+'s3, s3b, s3d'!E156</f>
        <v>19007.46</v>
      </c>
      <c r="G44" s="162">
        <f t="shared" si="0"/>
        <v>19007.46</v>
      </c>
    </row>
    <row r="45" spans="1:7" x14ac:dyDescent="0.2">
      <c r="A45" s="260">
        <v>3956</v>
      </c>
      <c r="B45" s="256" t="s">
        <v>579</v>
      </c>
      <c r="C45" s="256"/>
      <c r="D45" s="151">
        <f>+'s3, s3b, s3d'!E157</f>
        <v>4258.88</v>
      </c>
      <c r="G45" s="162">
        <f t="shared" si="0"/>
        <v>4258.88</v>
      </c>
    </row>
    <row r="46" spans="1:7" x14ac:dyDescent="0.2">
      <c r="A46" s="260">
        <v>3957</v>
      </c>
      <c r="B46" s="256" t="s">
        <v>544</v>
      </c>
      <c r="C46" s="256"/>
      <c r="D46" s="151">
        <f>+'s3, s3b, s3d'!E158</f>
        <v>735.1</v>
      </c>
      <c r="G46" s="162">
        <f t="shared" si="0"/>
        <v>735.1</v>
      </c>
    </row>
    <row r="47" spans="1:7" x14ac:dyDescent="0.2">
      <c r="A47" s="260">
        <v>3958</v>
      </c>
      <c r="B47" s="256" t="s">
        <v>545</v>
      </c>
      <c r="C47" s="256"/>
      <c r="D47" s="151">
        <f>+'s3, s3b, s3d'!E161</f>
        <v>6595.33</v>
      </c>
      <c r="G47" s="162">
        <f t="shared" si="0"/>
        <v>6595.33</v>
      </c>
    </row>
    <row r="48" spans="1:7" x14ac:dyDescent="0.2">
      <c r="A48" s="260">
        <v>3959</v>
      </c>
      <c r="B48" s="256" t="s">
        <v>546</v>
      </c>
      <c r="C48" s="256"/>
      <c r="D48" s="151">
        <f>+'s3, s3b, s3d'!E165</f>
        <v>203641.36</v>
      </c>
      <c r="G48" s="162">
        <f t="shared" si="0"/>
        <v>203641.36</v>
      </c>
    </row>
    <row r="49" spans="1:7" x14ac:dyDescent="0.2">
      <c r="A49" s="260">
        <v>3960</v>
      </c>
      <c r="B49" s="256" t="s">
        <v>547</v>
      </c>
      <c r="C49" s="256"/>
      <c r="D49" s="151">
        <f>+'s3, s3b, s3d'!E166</f>
        <v>73236.789999999994</v>
      </c>
      <c r="G49" s="162">
        <f t="shared" si="0"/>
        <v>73236.789999999994</v>
      </c>
    </row>
    <row r="50" spans="1:7" x14ac:dyDescent="0.2">
      <c r="A50" s="260">
        <v>3961</v>
      </c>
      <c r="B50" s="256" t="s">
        <v>548</v>
      </c>
      <c r="C50" s="256"/>
      <c r="D50" s="151">
        <f>+'s3, s3b, s3d'!E169</f>
        <v>14933.67</v>
      </c>
      <c r="G50" s="162">
        <f t="shared" si="0"/>
        <v>14933.67</v>
      </c>
    </row>
    <row r="51" spans="1:7" x14ac:dyDescent="0.2">
      <c r="A51" s="258">
        <v>3926</v>
      </c>
      <c r="B51" s="259" t="s">
        <v>551</v>
      </c>
      <c r="C51" s="259"/>
      <c r="D51" s="151">
        <f>-SUM(D11:D50)</f>
        <v>-4713675.92</v>
      </c>
      <c r="G51" s="162">
        <f t="shared" si="0"/>
        <v>-4713675.92</v>
      </c>
    </row>
    <row r="52" spans="1:7" x14ac:dyDescent="0.2">
      <c r="A52" s="280">
        <v>3999</v>
      </c>
      <c r="B52" s="280" t="s">
        <v>578</v>
      </c>
      <c r="C52" s="280"/>
      <c r="D52" s="281"/>
      <c r="E52" s="282">
        <f>-SUM(E6:E28)</f>
        <v>60725.59</v>
      </c>
      <c r="F52" s="275"/>
      <c r="G52" s="162">
        <f t="shared" si="0"/>
        <v>60725.59</v>
      </c>
    </row>
    <row r="53" spans="1:7" x14ac:dyDescent="0.2">
      <c r="A53" s="255">
        <v>3923</v>
      </c>
      <c r="B53" s="255" t="s">
        <v>523</v>
      </c>
      <c r="C53" s="255"/>
      <c r="F53" s="151">
        <f>-SUM(F6:F28)</f>
        <v>54923.09</v>
      </c>
      <c r="G53" s="162">
        <f>+F53</f>
        <v>54923.09</v>
      </c>
    </row>
    <row r="54" spans="1:7" x14ac:dyDescent="0.2">
      <c r="C54" s="151">
        <f>SUM(C4:C53)</f>
        <v>0</v>
      </c>
      <c r="D54" s="151">
        <f>SUM(D4:D53)</f>
        <v>0</v>
      </c>
      <c r="E54" s="151">
        <f>SUM(E4:E53)</f>
        <v>0</v>
      </c>
      <c r="F54" s="151">
        <f>SUM(F4:F53)</f>
        <v>0</v>
      </c>
      <c r="G54" s="151">
        <f>+C54+D54+E54+F54</f>
        <v>0</v>
      </c>
    </row>
    <row r="55" spans="1:7" ht="13.5" thickBot="1" x14ac:dyDescent="0.25">
      <c r="F55" t="s">
        <v>580</v>
      </c>
      <c r="G55" s="283">
        <f>SUM(G4:G53)</f>
        <v>0</v>
      </c>
    </row>
    <row r="56" spans="1:7" ht="13.5" thickTop="1" x14ac:dyDescent="0.2"/>
    <row r="57" spans="1:7" x14ac:dyDescent="0.2">
      <c r="A57" s="256"/>
      <c r="B57" s="256"/>
      <c r="C57" s="256"/>
    </row>
    <row r="58" spans="1:7" x14ac:dyDescent="0.2">
      <c r="A58" s="256"/>
      <c r="B58" s="256"/>
      <c r="C58" s="256"/>
    </row>
    <row r="60" spans="1:7" x14ac:dyDescent="0.2">
      <c r="A60" s="255"/>
      <c r="B60" s="255"/>
      <c r="C60" s="255"/>
    </row>
    <row r="61" spans="1:7" x14ac:dyDescent="0.2">
      <c r="A61" s="255"/>
      <c r="B61" s="255"/>
      <c r="C61" s="255"/>
    </row>
    <row r="62" spans="1:7" x14ac:dyDescent="0.2">
      <c r="A62" s="255"/>
      <c r="B62" s="255"/>
      <c r="C62" s="255"/>
    </row>
    <row r="63" spans="1:7" x14ac:dyDescent="0.2">
      <c r="A63" s="255"/>
      <c r="B63" s="255"/>
      <c r="C63" s="255"/>
    </row>
    <row r="64" spans="1:7" x14ac:dyDescent="0.2">
      <c r="A64" s="255"/>
      <c r="B64" s="255"/>
      <c r="C64" s="255"/>
    </row>
    <row r="65" spans="1:3" x14ac:dyDescent="0.2">
      <c r="A65" s="255"/>
      <c r="B65" s="255"/>
      <c r="C65" s="255"/>
    </row>
    <row r="66" spans="1:3" x14ac:dyDescent="0.2">
      <c r="A66" s="255"/>
      <c r="B66" s="255"/>
      <c r="C66" s="255"/>
    </row>
    <row r="67" spans="1:3" x14ac:dyDescent="0.2">
      <c r="A67" s="255"/>
      <c r="B67" s="255"/>
      <c r="C67" s="255"/>
    </row>
    <row r="68" spans="1:3" x14ac:dyDescent="0.2">
      <c r="A68" s="255"/>
      <c r="B68" s="255"/>
      <c r="C68" s="255"/>
    </row>
    <row r="69" spans="1:3" x14ac:dyDescent="0.2">
      <c r="A69" s="255"/>
      <c r="B69" s="255"/>
      <c r="C69" s="255"/>
    </row>
    <row r="70" spans="1:3" x14ac:dyDescent="0.2">
      <c r="A70" s="255"/>
      <c r="B70" s="255"/>
      <c r="C70" s="255"/>
    </row>
    <row r="71" spans="1:3" x14ac:dyDescent="0.2">
      <c r="A71" s="255"/>
      <c r="B71" s="255"/>
      <c r="C71" s="255"/>
    </row>
    <row r="72" spans="1:3" x14ac:dyDescent="0.2">
      <c r="A72" s="255"/>
      <c r="B72" s="255"/>
      <c r="C72" s="255"/>
    </row>
    <row r="73" spans="1:3" x14ac:dyDescent="0.2">
      <c r="A73" s="255"/>
      <c r="B73" s="255"/>
      <c r="C73" s="255"/>
    </row>
    <row r="74" spans="1:3" x14ac:dyDescent="0.2">
      <c r="A74" s="255"/>
      <c r="B74" s="255"/>
      <c r="C74" s="255"/>
    </row>
    <row r="75" spans="1:3" x14ac:dyDescent="0.2">
      <c r="A75" s="255"/>
      <c r="B75" s="255"/>
      <c r="C75" s="255"/>
    </row>
    <row r="76" spans="1:3" x14ac:dyDescent="0.2">
      <c r="A76" s="255"/>
      <c r="B76" s="255"/>
      <c r="C76" s="255"/>
    </row>
    <row r="81" spans="2:3" x14ac:dyDescent="0.2">
      <c r="B81" s="256"/>
      <c r="C81" s="256"/>
    </row>
  </sheetData>
  <phoneticPr fontId="0" type="noConversion"/>
  <pageMargins left="0" right="0" top="0" bottom="0" header="0.25" footer="0.25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1"/>
  <sheetViews>
    <sheetView workbookViewId="0">
      <selection activeCell="A7" sqref="A7"/>
    </sheetView>
  </sheetViews>
  <sheetFormatPr defaultRowHeight="12.75" x14ac:dyDescent="0.2"/>
  <cols>
    <col min="1" max="1" width="2.7109375" customWidth="1"/>
    <col min="2" max="2" width="6.28515625" customWidth="1"/>
    <col min="3" max="3" width="33.28515625" customWidth="1"/>
    <col min="4" max="4" width="15.28515625" hidden="1" customWidth="1"/>
    <col min="5" max="5" width="2.85546875" customWidth="1"/>
    <col min="7" max="7" width="35.28515625" customWidth="1"/>
    <col min="8" max="8" width="14" hidden="1" customWidth="1"/>
  </cols>
  <sheetData>
    <row r="1" spans="1:8" ht="15.75" x14ac:dyDescent="0.25">
      <c r="A1" s="63" t="s">
        <v>0</v>
      </c>
      <c r="C1" s="1"/>
      <c r="D1" s="1"/>
      <c r="E1" s="1"/>
    </row>
    <row r="2" spans="1:8" ht="15.75" x14ac:dyDescent="0.25">
      <c r="A2" s="117" t="str">
        <f>ReportMonth</f>
        <v>DECEMBER 2004</v>
      </c>
      <c r="C2" s="1"/>
      <c r="D2" s="1"/>
      <c r="E2" s="1"/>
    </row>
    <row r="3" spans="1:8" ht="15.75" x14ac:dyDescent="0.25">
      <c r="A3" s="96" t="s">
        <v>81</v>
      </c>
      <c r="B3" s="43"/>
      <c r="C3" s="42"/>
      <c r="D3" s="42"/>
      <c r="E3" s="42"/>
      <c r="F3" s="43"/>
      <c r="G3" s="43"/>
    </row>
    <row r="4" spans="1:8" ht="9" customHeight="1" thickBot="1" x14ac:dyDescent="0.25">
      <c r="A4" s="1"/>
      <c r="B4" s="105"/>
      <c r="C4" s="106"/>
      <c r="D4" s="106"/>
      <c r="E4" s="106"/>
      <c r="F4" s="246"/>
      <c r="G4" s="247"/>
    </row>
    <row r="5" spans="1:8" ht="19.5" customHeight="1" x14ac:dyDescent="0.2">
      <c r="A5" s="104"/>
      <c r="B5" s="43"/>
      <c r="C5" s="42" t="s">
        <v>503</v>
      </c>
      <c r="D5" s="42"/>
      <c r="E5" s="42"/>
      <c r="F5" s="43"/>
      <c r="G5" s="43"/>
    </row>
    <row r="6" spans="1:8" ht="9" customHeight="1" x14ac:dyDescent="0.2">
      <c r="A6" s="103"/>
      <c r="B6" s="43"/>
      <c r="C6" s="42"/>
      <c r="D6" s="1"/>
      <c r="E6" s="1"/>
    </row>
    <row r="7" spans="1:8" ht="12.75" customHeight="1" x14ac:dyDescent="0.2"/>
    <row r="8" spans="1:8" ht="12.75" customHeight="1" x14ac:dyDescent="0.2">
      <c r="B8" s="20">
        <v>14533</v>
      </c>
      <c r="C8" s="20" t="s">
        <v>781</v>
      </c>
      <c r="D8" s="248"/>
      <c r="E8" s="1" t="s">
        <v>500</v>
      </c>
      <c r="F8" s="254">
        <v>22620</v>
      </c>
      <c r="G8" s="250" t="s">
        <v>777</v>
      </c>
    </row>
    <row r="9" spans="1:8" x14ac:dyDescent="0.2">
      <c r="A9" s="1" t="s">
        <v>500</v>
      </c>
      <c r="B9" s="20">
        <v>13420</v>
      </c>
      <c r="C9" s="20" t="s">
        <v>468</v>
      </c>
      <c r="D9" s="20"/>
      <c r="E9" s="1"/>
      <c r="F9" s="254">
        <v>13474</v>
      </c>
      <c r="G9" s="250" t="s">
        <v>623</v>
      </c>
    </row>
    <row r="10" spans="1:8" x14ac:dyDescent="0.2">
      <c r="A10" s="1"/>
      <c r="B10" s="20">
        <v>14858</v>
      </c>
      <c r="C10" s="20" t="s">
        <v>469</v>
      </c>
      <c r="D10" s="20"/>
      <c r="E10" s="20"/>
      <c r="F10" s="249">
        <v>14828</v>
      </c>
      <c r="G10" s="245" t="s">
        <v>477</v>
      </c>
      <c r="H10" t="s">
        <v>467</v>
      </c>
    </row>
    <row r="11" spans="1:8" x14ac:dyDescent="0.2">
      <c r="A11" s="1" t="s">
        <v>500</v>
      </c>
      <c r="B11" s="20">
        <v>14542</v>
      </c>
      <c r="C11" s="20" t="s">
        <v>470</v>
      </c>
      <c r="D11" s="20"/>
      <c r="E11" s="20" t="s">
        <v>500</v>
      </c>
      <c r="F11" s="249">
        <v>14829</v>
      </c>
      <c r="G11" s="245" t="s">
        <v>478</v>
      </c>
    </row>
    <row r="12" spans="1:8" x14ac:dyDescent="0.2">
      <c r="A12" s="1"/>
      <c r="B12" s="20">
        <v>13428</v>
      </c>
      <c r="C12" s="20" t="s">
        <v>471</v>
      </c>
      <c r="D12" s="20"/>
      <c r="E12" s="20" t="s">
        <v>500</v>
      </c>
      <c r="F12" s="254">
        <v>13479</v>
      </c>
      <c r="G12" s="250" t="s">
        <v>619</v>
      </c>
      <c r="H12" t="s">
        <v>467</v>
      </c>
    </row>
    <row r="13" spans="1:8" x14ac:dyDescent="0.2">
      <c r="A13" s="1"/>
      <c r="B13" s="20">
        <v>14543</v>
      </c>
      <c r="C13" s="20" t="s">
        <v>583</v>
      </c>
      <c r="D13" s="20"/>
      <c r="E13" s="20"/>
      <c r="F13" s="254">
        <v>14830</v>
      </c>
      <c r="G13" s="250" t="s">
        <v>586</v>
      </c>
    </row>
    <row r="14" spans="1:8" x14ac:dyDescent="0.2">
      <c r="A14" s="1"/>
      <c r="B14" s="20">
        <v>13426</v>
      </c>
      <c r="C14" s="20" t="s">
        <v>783</v>
      </c>
      <c r="D14" s="20"/>
      <c r="E14" s="20"/>
      <c r="F14" s="254">
        <v>14831</v>
      </c>
      <c r="G14" s="250" t="s">
        <v>501</v>
      </c>
    </row>
    <row r="15" spans="1:8" x14ac:dyDescent="0.2">
      <c r="A15" s="1"/>
      <c r="B15" s="20">
        <v>13663</v>
      </c>
      <c r="C15" s="20" t="s">
        <v>620</v>
      </c>
      <c r="D15" s="20"/>
      <c r="E15" s="20"/>
      <c r="F15" s="254">
        <v>14873</v>
      </c>
      <c r="G15" s="250" t="s">
        <v>582</v>
      </c>
    </row>
    <row r="16" spans="1:8" x14ac:dyDescent="0.2">
      <c r="A16" s="1" t="s">
        <v>500</v>
      </c>
      <c r="B16" s="20">
        <v>15103</v>
      </c>
      <c r="C16" s="20" t="s">
        <v>782</v>
      </c>
      <c r="D16" s="20"/>
      <c r="E16" s="20"/>
      <c r="F16" s="254">
        <v>26713</v>
      </c>
      <c r="G16" s="250" t="s">
        <v>778</v>
      </c>
    </row>
    <row r="17" spans="1:8" x14ac:dyDescent="0.2">
      <c r="A17" s="1" t="s">
        <v>500</v>
      </c>
      <c r="B17" s="20">
        <v>14323</v>
      </c>
      <c r="C17" s="20" t="s">
        <v>357</v>
      </c>
      <c r="D17" s="20"/>
      <c r="E17" s="20" t="s">
        <v>500</v>
      </c>
      <c r="F17" s="254">
        <v>14867</v>
      </c>
      <c r="G17" s="250" t="s">
        <v>479</v>
      </c>
    </row>
    <row r="18" spans="1:8" x14ac:dyDescent="0.2">
      <c r="A18" s="1"/>
      <c r="B18" s="20">
        <v>14887</v>
      </c>
      <c r="C18" s="20" t="s">
        <v>784</v>
      </c>
      <c r="D18" s="20"/>
      <c r="E18" s="20"/>
      <c r="F18" s="254">
        <v>26768</v>
      </c>
      <c r="G18" s="250" t="s">
        <v>779</v>
      </c>
    </row>
    <row r="19" spans="1:8" x14ac:dyDescent="0.2">
      <c r="A19" s="1"/>
      <c r="B19" s="20">
        <v>13889</v>
      </c>
      <c r="C19" s="20" t="s">
        <v>584</v>
      </c>
      <c r="D19" s="20"/>
      <c r="E19" s="20" t="s">
        <v>500</v>
      </c>
      <c r="F19" s="249">
        <v>14838</v>
      </c>
      <c r="G19" s="245" t="s">
        <v>480</v>
      </c>
    </row>
    <row r="20" spans="1:8" x14ac:dyDescent="0.2">
      <c r="A20" s="1"/>
      <c r="B20" s="20">
        <v>13882</v>
      </c>
      <c r="C20" s="20" t="s">
        <v>497</v>
      </c>
      <c r="D20" s="20"/>
      <c r="E20" s="20"/>
      <c r="F20" s="249">
        <v>14839</v>
      </c>
      <c r="G20" s="250" t="s">
        <v>481</v>
      </c>
      <c r="H20" t="s">
        <v>467</v>
      </c>
    </row>
    <row r="21" spans="1:8" x14ac:dyDescent="0.2">
      <c r="A21" s="1"/>
      <c r="B21" s="20">
        <v>13441</v>
      </c>
      <c r="C21" s="20" t="s">
        <v>621</v>
      </c>
      <c r="D21" s="20"/>
      <c r="E21" s="20"/>
      <c r="F21" s="249">
        <v>14882</v>
      </c>
      <c r="G21" s="245" t="s">
        <v>624</v>
      </c>
    </row>
    <row r="22" spans="1:8" x14ac:dyDescent="0.2">
      <c r="A22" s="1"/>
      <c r="B22" s="20">
        <v>13447</v>
      </c>
      <c r="C22" s="20" t="s">
        <v>622</v>
      </c>
      <c r="D22" s="20"/>
      <c r="E22" s="20" t="s">
        <v>500</v>
      </c>
      <c r="F22" s="249">
        <v>14841</v>
      </c>
      <c r="G22" s="20" t="s">
        <v>614</v>
      </c>
    </row>
    <row r="23" spans="1:8" x14ac:dyDescent="0.2">
      <c r="A23" s="1"/>
      <c r="B23" s="20">
        <v>14884</v>
      </c>
      <c r="C23" s="20" t="s">
        <v>785</v>
      </c>
      <c r="D23" s="20"/>
      <c r="E23" s="20" t="s">
        <v>500</v>
      </c>
      <c r="F23" s="249">
        <v>14847</v>
      </c>
      <c r="G23" s="245" t="s">
        <v>482</v>
      </c>
    </row>
    <row r="24" spans="1:8" x14ac:dyDescent="0.2">
      <c r="A24" s="1"/>
      <c r="B24" s="20">
        <v>14561</v>
      </c>
      <c r="C24" s="20" t="s">
        <v>786</v>
      </c>
      <c r="D24" s="20"/>
      <c r="E24" s="20"/>
      <c r="F24" s="249">
        <v>14849</v>
      </c>
      <c r="G24" s="250" t="s">
        <v>483</v>
      </c>
    </row>
    <row r="25" spans="1:8" x14ac:dyDescent="0.2">
      <c r="A25" s="1"/>
      <c r="B25" s="20">
        <v>26643</v>
      </c>
      <c r="C25" s="20" t="s">
        <v>787</v>
      </c>
      <c r="D25" s="20"/>
      <c r="E25" s="20"/>
      <c r="F25" s="254">
        <v>14850</v>
      </c>
      <c r="G25" s="250" t="s">
        <v>502</v>
      </c>
    </row>
    <row r="26" spans="1:8" x14ac:dyDescent="0.2">
      <c r="A26" s="1"/>
      <c r="B26" s="20">
        <v>14812</v>
      </c>
      <c r="C26" s="20" t="s">
        <v>585</v>
      </c>
      <c r="D26" s="20"/>
      <c r="E26" s="20" t="s">
        <v>500</v>
      </c>
      <c r="F26" s="249">
        <v>14080</v>
      </c>
      <c r="G26" s="250" t="s">
        <v>484</v>
      </c>
      <c r="H26" t="s">
        <v>467</v>
      </c>
    </row>
    <row r="27" spans="1:8" x14ac:dyDescent="0.2">
      <c r="A27" s="1" t="s">
        <v>500</v>
      </c>
      <c r="B27" s="20">
        <v>14245</v>
      </c>
      <c r="C27" s="20" t="s">
        <v>472</v>
      </c>
      <c r="D27" s="20"/>
      <c r="E27" s="20" t="s">
        <v>500</v>
      </c>
      <c r="F27" s="254">
        <v>14865</v>
      </c>
      <c r="G27" s="250" t="s">
        <v>625</v>
      </c>
    </row>
    <row r="28" spans="1:8" x14ac:dyDescent="0.2">
      <c r="A28" s="1"/>
      <c r="B28" s="251">
        <v>14321</v>
      </c>
      <c r="C28" s="20" t="s">
        <v>473</v>
      </c>
      <c r="D28" s="20"/>
      <c r="E28" s="20"/>
      <c r="F28" s="254">
        <v>14855</v>
      </c>
      <c r="G28" s="250" t="s">
        <v>780</v>
      </c>
    </row>
    <row r="29" spans="1:8" x14ac:dyDescent="0.2">
      <c r="A29" s="1" t="s">
        <v>500</v>
      </c>
      <c r="B29" s="251">
        <v>14877</v>
      </c>
      <c r="C29" s="20" t="s">
        <v>581</v>
      </c>
      <c r="D29" s="20"/>
      <c r="F29">
        <v>13504</v>
      </c>
      <c r="G29" s="250" t="s">
        <v>485</v>
      </c>
    </row>
    <row r="30" spans="1:8" x14ac:dyDescent="0.2">
      <c r="A30" s="1" t="s">
        <v>500</v>
      </c>
      <c r="B30" s="251">
        <v>14813</v>
      </c>
      <c r="C30" s="20" t="s">
        <v>605</v>
      </c>
      <c r="D30" s="20"/>
      <c r="E30" s="20"/>
      <c r="F30" s="20"/>
    </row>
    <row r="31" spans="1:8" x14ac:dyDescent="0.2">
      <c r="A31" s="1"/>
      <c r="B31" s="249">
        <v>14814</v>
      </c>
      <c r="C31" s="245" t="s">
        <v>776</v>
      </c>
    </row>
  </sheetData>
  <phoneticPr fontId="0" type="noConversion"/>
  <pageMargins left="0.75" right="0.75" top="0.53" bottom="0.56000000000000005" header="0.5" footer="0.31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619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8" sqref="A8"/>
    </sheetView>
  </sheetViews>
  <sheetFormatPr defaultRowHeight="12.75" x14ac:dyDescent="0.2"/>
  <cols>
    <col min="1" max="1" width="27.7109375" customWidth="1"/>
    <col min="2" max="2" width="13.42578125" customWidth="1"/>
    <col min="3" max="3" width="12" customWidth="1"/>
    <col min="4" max="4" width="13.85546875" customWidth="1"/>
    <col min="5" max="5" width="10.42578125" customWidth="1"/>
    <col min="6" max="6" width="11.85546875" customWidth="1"/>
    <col min="7" max="7" width="13" customWidth="1"/>
    <col min="8" max="8" width="10.85546875" customWidth="1"/>
    <col min="9" max="9" width="11.85546875" customWidth="1"/>
    <col min="10" max="11" width="9.85546875" customWidth="1"/>
    <col min="12" max="12" width="10.7109375" customWidth="1"/>
    <col min="13" max="13" width="9.7109375" customWidth="1"/>
    <col min="14" max="14" width="11.140625" customWidth="1"/>
    <col min="15" max="15" width="11.42578125" customWidth="1"/>
    <col min="16" max="16" width="10" customWidth="1"/>
    <col min="17" max="17" width="12.28515625" customWidth="1"/>
    <col min="18" max="18" width="12.7109375" customWidth="1"/>
    <col min="19" max="19" width="14.5703125" customWidth="1"/>
    <col min="20" max="20" width="13.28515625" hidden="1" customWidth="1"/>
    <col min="21" max="21" width="0" hidden="1" customWidth="1"/>
  </cols>
  <sheetData>
    <row r="1" spans="1:24" ht="15.75" x14ac:dyDescent="0.25">
      <c r="A1" s="63" t="s">
        <v>85</v>
      </c>
      <c r="B1" s="1" t="s">
        <v>86</v>
      </c>
      <c r="C1" s="1"/>
      <c r="D1" s="1"/>
      <c r="E1" s="1"/>
      <c r="F1" s="62"/>
      <c r="G1" s="62"/>
      <c r="I1" s="62"/>
      <c r="J1" s="6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4" ht="15.75" x14ac:dyDescent="0.25">
      <c r="A2" s="117" t="str">
        <f>ReportMonth</f>
        <v>DECEMBER 2004</v>
      </c>
      <c r="B2" s="1"/>
      <c r="C2" s="1"/>
      <c r="D2" s="1"/>
      <c r="E2" s="1"/>
      <c r="F2" s="62"/>
      <c r="G2" s="62"/>
      <c r="I2" s="62"/>
      <c r="J2" s="62"/>
      <c r="K2" s="1"/>
      <c r="L2" s="1"/>
      <c r="M2" s="1"/>
      <c r="N2" s="1"/>
      <c r="O2" s="1"/>
      <c r="P2" s="1"/>
      <c r="Q2" s="1"/>
      <c r="R2" s="1"/>
      <c r="S2" s="10"/>
      <c r="T2" s="1"/>
    </row>
    <row r="3" spans="1:24" ht="15" x14ac:dyDescent="0.2">
      <c r="A3" s="87" t="s">
        <v>3</v>
      </c>
      <c r="B3" s="42"/>
      <c r="C3" s="42"/>
      <c r="D3" s="42"/>
      <c r="E3" s="42"/>
      <c r="F3" s="87"/>
      <c r="G3" s="87"/>
      <c r="H3" s="87"/>
      <c r="I3" s="87"/>
      <c r="J3" s="87"/>
      <c r="K3" s="42"/>
      <c r="L3" s="42"/>
      <c r="M3" s="42"/>
      <c r="N3" s="42"/>
      <c r="O3" s="42"/>
      <c r="P3" s="42"/>
      <c r="Q3" s="42"/>
      <c r="R3" s="42"/>
      <c r="S3" s="88"/>
      <c r="T3" s="1"/>
    </row>
    <row r="4" spans="1:24" ht="15" x14ac:dyDescent="0.2">
      <c r="A4" s="87" t="s">
        <v>445</v>
      </c>
      <c r="B4" s="42"/>
      <c r="C4" s="42"/>
      <c r="D4" s="42"/>
      <c r="E4" s="42"/>
      <c r="F4" s="87"/>
      <c r="G4" s="87"/>
      <c r="H4" s="87"/>
      <c r="I4" s="87"/>
      <c r="J4" s="87"/>
      <c r="K4" s="42"/>
      <c r="L4" s="42"/>
      <c r="M4" s="42"/>
      <c r="N4" s="42"/>
      <c r="O4" s="42"/>
      <c r="P4" s="42"/>
      <c r="Q4" s="42"/>
      <c r="R4" s="42"/>
      <c r="S4" s="88"/>
      <c r="T4" s="1"/>
    </row>
    <row r="5" spans="1:24" ht="15" x14ac:dyDescent="0.2">
      <c r="A5" s="87" t="s">
        <v>87</v>
      </c>
      <c r="B5" s="42"/>
      <c r="C5" s="42"/>
      <c r="D5" s="42"/>
      <c r="E5" s="42"/>
      <c r="F5" s="43"/>
      <c r="G5" s="87"/>
      <c r="H5" s="87"/>
      <c r="I5" s="87"/>
      <c r="J5" s="87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4" ht="29.25" customHeight="1" x14ac:dyDescent="0.25">
      <c r="A6" s="118" t="s">
        <v>88</v>
      </c>
      <c r="B6" s="43"/>
      <c r="C6" s="43"/>
      <c r="D6" s="43"/>
      <c r="E6" s="43"/>
      <c r="F6" s="43"/>
      <c r="G6" s="43"/>
      <c r="H6" s="42"/>
      <c r="I6" s="42"/>
      <c r="J6" s="42"/>
      <c r="K6" s="42"/>
      <c r="L6" s="43"/>
      <c r="M6" s="43"/>
      <c r="N6" s="42"/>
      <c r="O6" s="42"/>
      <c r="P6" s="42"/>
      <c r="Q6" s="42"/>
      <c r="R6" s="42"/>
      <c r="S6" s="42"/>
      <c r="T6" s="86"/>
      <c r="U6" s="86"/>
      <c r="V6" s="86" t="s">
        <v>82</v>
      </c>
      <c r="W6" s="85"/>
      <c r="X6" s="85"/>
    </row>
    <row r="9" spans="1:24" x14ac:dyDescent="0.2">
      <c r="A9" s="1"/>
      <c r="B9" s="6" t="s">
        <v>21</v>
      </c>
      <c r="C9" s="6" t="s">
        <v>22</v>
      </c>
      <c r="D9" s="6" t="s">
        <v>23</v>
      </c>
      <c r="E9" s="6" t="s">
        <v>24</v>
      </c>
      <c r="F9" s="6" t="s">
        <v>25</v>
      </c>
      <c r="G9" s="6" t="s">
        <v>26</v>
      </c>
      <c r="H9" s="6" t="s">
        <v>27</v>
      </c>
      <c r="I9" s="6" t="s">
        <v>28</v>
      </c>
      <c r="J9" s="6" t="s">
        <v>29</v>
      </c>
      <c r="K9" s="6" t="s">
        <v>30</v>
      </c>
      <c r="L9" s="6" t="s">
        <v>31</v>
      </c>
      <c r="M9" s="6" t="s">
        <v>32</v>
      </c>
      <c r="N9" s="6" t="s">
        <v>33</v>
      </c>
      <c r="O9" s="6" t="s">
        <v>34</v>
      </c>
      <c r="P9" s="6" t="s">
        <v>35</v>
      </c>
      <c r="Q9" s="6" t="s">
        <v>36</v>
      </c>
      <c r="R9" s="6" t="s">
        <v>37</v>
      </c>
      <c r="S9" s="5" t="s">
        <v>12</v>
      </c>
      <c r="T9" s="1"/>
    </row>
    <row r="10" spans="1:24" x14ac:dyDescent="0.2">
      <c r="A10" s="110" t="s">
        <v>13</v>
      </c>
      <c r="B10" s="38" t="s">
        <v>89</v>
      </c>
      <c r="C10" s="38" t="s">
        <v>89</v>
      </c>
      <c r="D10" s="38" t="s">
        <v>89</v>
      </c>
      <c r="E10" s="38" t="s">
        <v>90</v>
      </c>
      <c r="F10" s="38" t="s">
        <v>90</v>
      </c>
      <c r="G10" s="38" t="s">
        <v>90</v>
      </c>
      <c r="H10" s="38" t="s">
        <v>90</v>
      </c>
      <c r="I10" s="38" t="s">
        <v>89</v>
      </c>
      <c r="J10" s="38" t="s">
        <v>89</v>
      </c>
      <c r="K10" s="38" t="s">
        <v>90</v>
      </c>
      <c r="L10" s="38" t="s">
        <v>89</v>
      </c>
      <c r="M10" s="38" t="s">
        <v>89</v>
      </c>
      <c r="N10" s="38" t="s">
        <v>90</v>
      </c>
      <c r="O10" s="38" t="s">
        <v>89</v>
      </c>
      <c r="P10" s="38" t="s">
        <v>90</v>
      </c>
      <c r="Q10" s="38" t="s">
        <v>89</v>
      </c>
      <c r="R10" s="38" t="s">
        <v>89</v>
      </c>
      <c r="S10" s="40" t="s">
        <v>18</v>
      </c>
      <c r="T10" s="1"/>
    </row>
    <row r="11" spans="1:24" s="89" customFormat="1" ht="12.75" customHeight="1" x14ac:dyDescent="0.2">
      <c r="A11" s="10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10"/>
    </row>
    <row r="12" spans="1:24" x14ac:dyDescent="0.2">
      <c r="A12" s="1" t="s">
        <v>717</v>
      </c>
      <c r="B12" s="2">
        <f>+'s1'!AF13</f>
        <v>0</v>
      </c>
      <c r="C12" s="2">
        <f>+'s1'!AG13</f>
        <v>0</v>
      </c>
      <c r="D12" s="2">
        <f>+'s1'!AH13</f>
        <v>409.78</v>
      </c>
      <c r="E12" s="2">
        <f>+'s1'!AI13</f>
        <v>0</v>
      </c>
      <c r="F12" s="2">
        <f>+'s1'!AJ13</f>
        <v>0</v>
      </c>
      <c r="G12" s="2">
        <f>+'s1'!AK13</f>
        <v>0</v>
      </c>
      <c r="H12" s="2">
        <f>+'s1'!AL13</f>
        <v>0</v>
      </c>
      <c r="I12" s="2">
        <f>+'s1'!AM13</f>
        <v>0</v>
      </c>
      <c r="J12" s="2">
        <f>+'s1'!AN13</f>
        <v>0</v>
      </c>
      <c r="K12" s="2">
        <f>+'s1'!AO13</f>
        <v>0</v>
      </c>
      <c r="L12" s="2">
        <f>+'s1'!AP13</f>
        <v>0</v>
      </c>
      <c r="M12" s="2">
        <f>+'s1'!AQ13</f>
        <v>0</v>
      </c>
      <c r="N12" s="2">
        <f>+'s1'!AR13</f>
        <v>0</v>
      </c>
      <c r="O12" s="2">
        <f>+'s1'!AS13</f>
        <v>0</v>
      </c>
      <c r="P12" s="2">
        <f>+'s1'!AT13</f>
        <v>0</v>
      </c>
      <c r="Q12" s="2">
        <f>+'s1'!AU13</f>
        <v>0</v>
      </c>
      <c r="R12" s="2">
        <f>+'s1'!AV13</f>
        <v>0</v>
      </c>
      <c r="S12" s="2">
        <f>SUM(B12:R12)</f>
        <v>409.78</v>
      </c>
      <c r="T12" s="2"/>
    </row>
    <row r="13" spans="1:24" x14ac:dyDescent="0.2">
      <c r="A13" s="1" t="s">
        <v>39</v>
      </c>
      <c r="B13" s="2">
        <f>+'s1'!AF14</f>
        <v>0</v>
      </c>
      <c r="C13" s="2">
        <f>+'s1'!AG14</f>
        <v>0</v>
      </c>
      <c r="D13" s="2">
        <f>+'s1'!AH14</f>
        <v>0</v>
      </c>
      <c r="E13" s="2">
        <f>+'s1'!AI14</f>
        <v>0</v>
      </c>
      <c r="F13" s="2">
        <f>+'s1'!AJ14</f>
        <v>9434.5</v>
      </c>
      <c r="G13" s="2">
        <f>+'s1'!AK14</f>
        <v>0</v>
      </c>
      <c r="H13" s="2">
        <f>+'s1'!AL14</f>
        <v>625.66999999999996</v>
      </c>
      <c r="I13" s="2">
        <f>+'s1'!AM14</f>
        <v>1284.81</v>
      </c>
      <c r="J13" s="2">
        <f>+'s1'!AN14</f>
        <v>6059.16</v>
      </c>
      <c r="K13" s="2">
        <f>+'s1'!AO14</f>
        <v>0</v>
      </c>
      <c r="L13" s="2">
        <f>+'s1'!AP14</f>
        <v>0</v>
      </c>
      <c r="M13" s="2">
        <f>+'s1'!AQ14</f>
        <v>0</v>
      </c>
      <c r="N13" s="2">
        <f>+'s1'!AR14</f>
        <v>0</v>
      </c>
      <c r="O13" s="2">
        <f>+'s1'!AS14</f>
        <v>0</v>
      </c>
      <c r="P13" s="2">
        <f>+'s1'!AT14</f>
        <v>0</v>
      </c>
      <c r="Q13" s="2">
        <f>+'s1'!AU14</f>
        <v>0</v>
      </c>
      <c r="R13" s="2">
        <f>+'s1'!AV14</f>
        <v>710.01</v>
      </c>
      <c r="S13" s="2">
        <f t="shared" ref="S13:S82" si="0">SUM(B13:R13)</f>
        <v>18114.150000000001</v>
      </c>
      <c r="T13" s="2"/>
    </row>
    <row r="14" spans="1:24" x14ac:dyDescent="0.2">
      <c r="A14" s="1" t="s">
        <v>350</v>
      </c>
      <c r="B14" s="2">
        <f>+'s1'!AF15</f>
        <v>0</v>
      </c>
      <c r="C14" s="2">
        <f>+'s1'!AG15</f>
        <v>0</v>
      </c>
      <c r="D14" s="2">
        <f>+'s1'!AH15</f>
        <v>0</v>
      </c>
      <c r="E14" s="2">
        <f>+'s1'!AI15</f>
        <v>0</v>
      </c>
      <c r="F14" s="2">
        <f>+'s1'!AJ15</f>
        <v>0</v>
      </c>
      <c r="G14" s="2">
        <f>+'s1'!AK15</f>
        <v>0</v>
      </c>
      <c r="H14" s="2">
        <f>+'s1'!AL15</f>
        <v>0</v>
      </c>
      <c r="I14" s="2">
        <f>+'s1'!AM15</f>
        <v>0</v>
      </c>
      <c r="J14" s="2">
        <f>+'s1'!AN15</f>
        <v>1468.71</v>
      </c>
      <c r="K14" s="2">
        <f>+'s1'!AO15</f>
        <v>0</v>
      </c>
      <c r="L14" s="2">
        <f>+'s1'!AP15</f>
        <v>0</v>
      </c>
      <c r="M14" s="2">
        <f>+'s1'!AQ15</f>
        <v>0</v>
      </c>
      <c r="N14" s="2">
        <f>+'s1'!AR15</f>
        <v>0</v>
      </c>
      <c r="O14" s="2">
        <f>+'s1'!AS15</f>
        <v>0</v>
      </c>
      <c r="P14" s="2">
        <f>+'s1'!AT15</f>
        <v>0</v>
      </c>
      <c r="Q14" s="2">
        <f>+'s1'!AU15</f>
        <v>0</v>
      </c>
      <c r="R14" s="2">
        <f>+'s1'!AV15</f>
        <v>0</v>
      </c>
      <c r="S14" s="2">
        <f t="shared" si="0"/>
        <v>1468.71</v>
      </c>
      <c r="T14" s="2"/>
    </row>
    <row r="15" spans="1:24" x14ac:dyDescent="0.2">
      <c r="A15" s="7" t="s">
        <v>40</v>
      </c>
      <c r="B15" s="2">
        <f>+'s1'!AF16</f>
        <v>0</v>
      </c>
      <c r="C15" s="2">
        <f>+'s1'!AG16</f>
        <v>0</v>
      </c>
      <c r="D15" s="2">
        <f>+'s1'!AH16</f>
        <v>17.899999999999999</v>
      </c>
      <c r="E15" s="2">
        <f>+'s1'!AI16</f>
        <v>0</v>
      </c>
      <c r="F15" s="2">
        <f>+'s1'!AJ16</f>
        <v>0</v>
      </c>
      <c r="G15" s="2">
        <f>+'s1'!AK16</f>
        <v>0</v>
      </c>
      <c r="H15" s="2">
        <f>+'s1'!AL16</f>
        <v>0</v>
      </c>
      <c r="I15" s="2">
        <f>+'s1'!AM16</f>
        <v>0</v>
      </c>
      <c r="J15" s="2">
        <f>+'s1'!AN16</f>
        <v>0</v>
      </c>
      <c r="K15" s="2">
        <f>+'s1'!AO16</f>
        <v>0</v>
      </c>
      <c r="L15" s="2">
        <f>+'s1'!AP16</f>
        <v>0</v>
      </c>
      <c r="M15" s="2">
        <f>+'s1'!AQ16</f>
        <v>0</v>
      </c>
      <c r="N15" s="2">
        <f>+'s1'!AR16</f>
        <v>0</v>
      </c>
      <c r="O15" s="2">
        <f>+'s1'!AS16</f>
        <v>0</v>
      </c>
      <c r="P15" s="2">
        <f>+'s1'!AT16</f>
        <v>0</v>
      </c>
      <c r="Q15" s="2">
        <f>+'s1'!AU16</f>
        <v>0</v>
      </c>
      <c r="R15" s="2">
        <f>+'s1'!AV16</f>
        <v>0</v>
      </c>
      <c r="S15" s="2">
        <f t="shared" si="0"/>
        <v>17.899999999999999</v>
      </c>
      <c r="T15" s="2"/>
    </row>
    <row r="16" spans="1:24" x14ac:dyDescent="0.2">
      <c r="A16" s="18" t="s">
        <v>607</v>
      </c>
      <c r="B16" s="2">
        <f>+'s1'!AF17</f>
        <v>0</v>
      </c>
      <c r="C16" s="2">
        <f>+'s1'!AG17</f>
        <v>0</v>
      </c>
      <c r="D16" s="2">
        <f>+'s1'!AH17</f>
        <v>441.18</v>
      </c>
      <c r="E16" s="2">
        <f>+'s1'!AI17</f>
        <v>0</v>
      </c>
      <c r="F16" s="2">
        <f>+'s1'!AJ17</f>
        <v>0</v>
      </c>
      <c r="G16" s="2">
        <f>+'s1'!AK17</f>
        <v>0</v>
      </c>
      <c r="H16" s="2">
        <f>+'s1'!AL17</f>
        <v>0</v>
      </c>
      <c r="I16" s="2">
        <f>+'s1'!AM17</f>
        <v>0</v>
      </c>
      <c r="J16" s="2">
        <f>+'s1'!AN17</f>
        <v>0</v>
      </c>
      <c r="K16" s="2">
        <f>+'s1'!AO17</f>
        <v>0</v>
      </c>
      <c r="L16" s="2">
        <f>+'s1'!AP17</f>
        <v>0</v>
      </c>
      <c r="M16" s="2">
        <f>+'s1'!AQ17</f>
        <v>0</v>
      </c>
      <c r="N16" s="2">
        <f>+'s1'!AR17</f>
        <v>0</v>
      </c>
      <c r="O16" s="2">
        <f>+'s1'!AS17</f>
        <v>0</v>
      </c>
      <c r="P16" s="2">
        <f>+'s1'!AT17</f>
        <v>0</v>
      </c>
      <c r="Q16" s="2">
        <f>+'s1'!AU17</f>
        <v>17.64</v>
      </c>
      <c r="R16" s="2">
        <f>+'s1'!AV17</f>
        <v>0</v>
      </c>
      <c r="S16" s="2">
        <f t="shared" si="0"/>
        <v>458.82</v>
      </c>
      <c r="T16" s="1"/>
    </row>
    <row r="17" spans="1:20" s="20" customFormat="1" x14ac:dyDescent="0.2">
      <c r="A17" s="1" t="s">
        <v>487</v>
      </c>
      <c r="B17" s="2">
        <f>+'s1'!AF18</f>
        <v>0</v>
      </c>
      <c r="C17" s="2">
        <f>+'s1'!AG18</f>
        <v>0</v>
      </c>
      <c r="D17" s="2">
        <f>+'s1'!AH18</f>
        <v>17432.990000000002</v>
      </c>
      <c r="E17" s="2">
        <f>+'s1'!AI18</f>
        <v>0</v>
      </c>
      <c r="F17" s="2">
        <f>+'s1'!AJ18</f>
        <v>0</v>
      </c>
      <c r="G17" s="2">
        <f>+'s1'!AK18</f>
        <v>0</v>
      </c>
      <c r="H17" s="2">
        <f>+'s1'!AL18</f>
        <v>0</v>
      </c>
      <c r="I17" s="2">
        <f>+'s1'!AM18</f>
        <v>0</v>
      </c>
      <c r="J17" s="2">
        <f>+'s1'!AN18</f>
        <v>0</v>
      </c>
      <c r="K17" s="2">
        <f>+'s1'!AO18</f>
        <v>0</v>
      </c>
      <c r="L17" s="2">
        <f>+'s1'!AP18</f>
        <v>0</v>
      </c>
      <c r="M17" s="2">
        <f>+'s1'!AQ18</f>
        <v>0</v>
      </c>
      <c r="N17" s="2">
        <f>+'s1'!AR18</f>
        <v>0</v>
      </c>
      <c r="O17" s="2">
        <f>+'s1'!AS18</f>
        <v>0</v>
      </c>
      <c r="P17" s="2">
        <f>+'s1'!AT18</f>
        <v>0</v>
      </c>
      <c r="Q17" s="2">
        <f>+'s1'!AU18</f>
        <v>0</v>
      </c>
      <c r="R17" s="2">
        <f>+'s1'!AV18</f>
        <v>0</v>
      </c>
      <c r="S17" s="2">
        <f t="shared" si="0"/>
        <v>17432.990000000002</v>
      </c>
      <c r="T17" s="78"/>
    </row>
    <row r="18" spans="1:20" x14ac:dyDescent="0.2">
      <c r="A18" s="1" t="s">
        <v>718</v>
      </c>
      <c r="B18" s="2">
        <f>+'s1'!AF19</f>
        <v>0</v>
      </c>
      <c r="C18" s="2">
        <f>+'s1'!AG19</f>
        <v>0</v>
      </c>
      <c r="D18" s="2">
        <f>+'s1'!AH19</f>
        <v>0</v>
      </c>
      <c r="E18" s="2">
        <f>+'s1'!AI19</f>
        <v>0</v>
      </c>
      <c r="F18" s="2">
        <f>+'s1'!AJ19</f>
        <v>0</v>
      </c>
      <c r="G18" s="2">
        <f>+'s1'!AK19</f>
        <v>0</v>
      </c>
      <c r="H18" s="2">
        <f>+'s1'!AL19</f>
        <v>0</v>
      </c>
      <c r="I18" s="2">
        <f>+'s1'!AM19</f>
        <v>2468.4499999999998</v>
      </c>
      <c r="J18" s="2">
        <f>+'s1'!AN19</f>
        <v>0</v>
      </c>
      <c r="K18" s="2">
        <f>+'s1'!AO19</f>
        <v>0</v>
      </c>
      <c r="L18" s="2">
        <f>+'s1'!AP19</f>
        <v>0</v>
      </c>
      <c r="M18" s="2">
        <f>+'s1'!AQ19</f>
        <v>0</v>
      </c>
      <c r="N18" s="2">
        <f>+'s1'!AR19</f>
        <v>0</v>
      </c>
      <c r="O18" s="2">
        <f>+'s1'!AS19</f>
        <v>0</v>
      </c>
      <c r="P18" s="2">
        <f>+'s1'!AT19</f>
        <v>0</v>
      </c>
      <c r="Q18" s="2">
        <f>+'s1'!AU19</f>
        <v>8613.26</v>
      </c>
      <c r="R18" s="2">
        <f>+'s1'!AV19</f>
        <v>0</v>
      </c>
      <c r="S18" s="2">
        <f>SUM(B18:R18)</f>
        <v>11081.71</v>
      </c>
      <c r="T18" s="1"/>
    </row>
    <row r="19" spans="1:20" x14ac:dyDescent="0.2">
      <c r="A19" s="1" t="s">
        <v>41</v>
      </c>
      <c r="B19" s="2">
        <f>+'s1'!AF20</f>
        <v>0</v>
      </c>
      <c r="C19" s="2">
        <f>+'s1'!AG20</f>
        <v>0</v>
      </c>
      <c r="D19" s="2">
        <f>+'s1'!AH20</f>
        <v>0</v>
      </c>
      <c r="E19" s="2">
        <f>+'s1'!AI20</f>
        <v>0</v>
      </c>
      <c r="F19" s="2">
        <f>+'s1'!AJ20</f>
        <v>0</v>
      </c>
      <c r="G19" s="2">
        <f>+'s1'!AK20</f>
        <v>0</v>
      </c>
      <c r="H19" s="2">
        <f>+'s1'!AL20</f>
        <v>0</v>
      </c>
      <c r="I19" s="2">
        <f>+'s1'!AM20</f>
        <v>0</v>
      </c>
      <c r="J19" s="2">
        <f>+'s1'!AN20</f>
        <v>449.82</v>
      </c>
      <c r="K19" s="2">
        <f>+'s1'!AO20</f>
        <v>0</v>
      </c>
      <c r="L19" s="2">
        <f>+'s1'!AP20</f>
        <v>0</v>
      </c>
      <c r="M19" s="2">
        <f>+'s1'!AQ20</f>
        <v>0</v>
      </c>
      <c r="N19" s="2">
        <f>+'s1'!AR20</f>
        <v>0</v>
      </c>
      <c r="O19" s="2">
        <f>+'s1'!AS20</f>
        <v>0</v>
      </c>
      <c r="P19" s="2">
        <f>+'s1'!AT20</f>
        <v>0</v>
      </c>
      <c r="Q19" s="2">
        <f>+'s1'!AU20</f>
        <v>0</v>
      </c>
      <c r="R19" s="2">
        <f>+'s1'!AV20</f>
        <v>0</v>
      </c>
      <c r="S19" s="2">
        <f t="shared" si="0"/>
        <v>449.82</v>
      </c>
      <c r="T19" s="1"/>
    </row>
    <row r="20" spans="1:20" x14ac:dyDescent="0.2">
      <c r="A20" s="1" t="s">
        <v>432</v>
      </c>
      <c r="B20" s="2">
        <f>+'s1'!AF21</f>
        <v>0</v>
      </c>
      <c r="C20" s="2">
        <f>+'s1'!AG21</f>
        <v>0</v>
      </c>
      <c r="D20" s="2">
        <f>+'s1'!AH21</f>
        <v>85740.37</v>
      </c>
      <c r="E20" s="2">
        <f>+'s1'!AI21</f>
        <v>0</v>
      </c>
      <c r="F20" s="2">
        <f>+'s1'!AJ21</f>
        <v>0</v>
      </c>
      <c r="G20" s="2">
        <f>+'s1'!AK21</f>
        <v>0</v>
      </c>
      <c r="H20" s="2">
        <f>+'s1'!AL21</f>
        <v>0</v>
      </c>
      <c r="I20" s="2">
        <f>+'s1'!AM21</f>
        <v>0</v>
      </c>
      <c r="J20" s="2">
        <f>+'s1'!AN21</f>
        <v>0</v>
      </c>
      <c r="K20" s="2">
        <f>+'s1'!AO21</f>
        <v>0</v>
      </c>
      <c r="L20" s="2">
        <f>+'s1'!AP21</f>
        <v>0</v>
      </c>
      <c r="M20" s="2">
        <f>+'s1'!AQ21</f>
        <v>0</v>
      </c>
      <c r="N20" s="2">
        <f>+'s1'!AR21</f>
        <v>0</v>
      </c>
      <c r="O20" s="2">
        <f>+'s1'!AS21</f>
        <v>0</v>
      </c>
      <c r="P20" s="2">
        <f>+'s1'!AT21</f>
        <v>0</v>
      </c>
      <c r="Q20" s="2">
        <f>+'s1'!AU21</f>
        <v>27452.959999999999</v>
      </c>
      <c r="R20" s="2">
        <f>+'s1'!AV21</f>
        <v>0</v>
      </c>
      <c r="S20" s="2">
        <f t="shared" si="0"/>
        <v>113193.33</v>
      </c>
      <c r="T20" s="2"/>
    </row>
    <row r="21" spans="1:20" ht="12" customHeight="1" x14ac:dyDescent="0.2">
      <c r="A21" s="1" t="s">
        <v>719</v>
      </c>
      <c r="B21" s="2">
        <f>+'s1'!AF22</f>
        <v>2197.15</v>
      </c>
      <c r="C21" s="2">
        <f>+'s1'!AG22</f>
        <v>0</v>
      </c>
      <c r="D21" s="2">
        <f>+'s1'!AH22</f>
        <v>0</v>
      </c>
      <c r="E21" s="2">
        <f>+'s1'!AI22</f>
        <v>0</v>
      </c>
      <c r="F21" s="2">
        <f>+'s1'!AJ22</f>
        <v>0</v>
      </c>
      <c r="G21" s="2">
        <f>+'s1'!AK22</f>
        <v>0</v>
      </c>
      <c r="H21" s="2">
        <f>+'s1'!AL22</f>
        <v>0</v>
      </c>
      <c r="I21" s="2">
        <f>+'s1'!AM22</f>
        <v>0</v>
      </c>
      <c r="J21" s="2">
        <f>+'s1'!AN22</f>
        <v>0</v>
      </c>
      <c r="K21" s="2">
        <f>+'s1'!AO22</f>
        <v>0</v>
      </c>
      <c r="L21" s="2">
        <f>+'s1'!AP22</f>
        <v>0</v>
      </c>
      <c r="M21" s="2">
        <f>+'s1'!AQ22</f>
        <v>0</v>
      </c>
      <c r="N21" s="2">
        <f>+'s1'!AR22</f>
        <v>0</v>
      </c>
      <c r="O21" s="2">
        <f>+'s1'!AS22</f>
        <v>0</v>
      </c>
      <c r="P21" s="2">
        <f>+'s1'!AT22</f>
        <v>0</v>
      </c>
      <c r="Q21" s="2">
        <f>+'s1'!AU22</f>
        <v>0</v>
      </c>
      <c r="R21" s="2">
        <f>+'s1'!AV22</f>
        <v>0</v>
      </c>
      <c r="S21" s="2">
        <f>SUM(B21:R21)</f>
        <v>2197.15</v>
      </c>
      <c r="T21" s="2"/>
    </row>
    <row r="22" spans="1:20" ht="12" customHeight="1" x14ac:dyDescent="0.2">
      <c r="A22" s="1" t="s">
        <v>446</v>
      </c>
      <c r="B22" s="2">
        <f>+'s1'!AF23</f>
        <v>0</v>
      </c>
      <c r="C22" s="2">
        <f>+'s1'!AG23</f>
        <v>26569.1</v>
      </c>
      <c r="D22" s="2">
        <f>+'s1'!AH23</f>
        <v>0</v>
      </c>
      <c r="E22" s="2">
        <f>+'s1'!AI23</f>
        <v>1925.27</v>
      </c>
      <c r="F22" s="2">
        <f>+'s1'!AJ23</f>
        <v>0</v>
      </c>
      <c r="G22" s="2">
        <f>+'s1'!AK23</f>
        <v>0</v>
      </c>
      <c r="H22" s="2">
        <f>+'s1'!AL23</f>
        <v>0</v>
      </c>
      <c r="I22" s="2">
        <f>+'s1'!AM23</f>
        <v>0</v>
      </c>
      <c r="J22" s="2">
        <f>+'s1'!AN23</f>
        <v>0</v>
      </c>
      <c r="K22" s="2">
        <f>+'s1'!AO23</f>
        <v>0</v>
      </c>
      <c r="L22" s="2">
        <f>+'s1'!AP23</f>
        <v>0</v>
      </c>
      <c r="M22" s="2">
        <f>+'s1'!AQ23</f>
        <v>0</v>
      </c>
      <c r="N22" s="2">
        <f>+'s1'!AR23</f>
        <v>0</v>
      </c>
      <c r="O22" s="2">
        <f>+'s1'!AS23</f>
        <v>0</v>
      </c>
      <c r="P22" s="2">
        <f>+'s1'!AT23</f>
        <v>0</v>
      </c>
      <c r="Q22" s="2">
        <f>+'s1'!AU23</f>
        <v>0</v>
      </c>
      <c r="R22" s="2">
        <f>+'s1'!AV23</f>
        <v>0</v>
      </c>
      <c r="S22" s="2">
        <f>SUM(B22:R22)</f>
        <v>28494.37</v>
      </c>
      <c r="T22" s="2"/>
    </row>
    <row r="23" spans="1:20" x14ac:dyDescent="0.2">
      <c r="A23" s="1" t="s">
        <v>447</v>
      </c>
      <c r="B23" s="2">
        <f>+'s1'!AF24</f>
        <v>85033.88</v>
      </c>
      <c r="C23" s="2">
        <f>+'s1'!AG24</f>
        <v>8948.42</v>
      </c>
      <c r="D23" s="2">
        <f>+'s1'!AH24</f>
        <v>393.2</v>
      </c>
      <c r="E23" s="2">
        <f>+'s1'!AI24</f>
        <v>22240.59</v>
      </c>
      <c r="F23" s="2">
        <f>+'s1'!AJ24</f>
        <v>12221.62</v>
      </c>
      <c r="G23" s="2">
        <f>+'s1'!AK24</f>
        <v>0</v>
      </c>
      <c r="H23" s="2">
        <f>+'s1'!AL24</f>
        <v>1502.61</v>
      </c>
      <c r="I23" s="2">
        <f>+'s1'!AM24</f>
        <v>16164.59</v>
      </c>
      <c r="J23" s="2">
        <f>+'s1'!AN24</f>
        <v>9821.25</v>
      </c>
      <c r="K23" s="2">
        <f>+'s1'!AO24</f>
        <v>0</v>
      </c>
      <c r="L23" s="2">
        <f>+'s1'!AP24</f>
        <v>21293.95</v>
      </c>
      <c r="M23" s="2">
        <f>+'s1'!AQ24</f>
        <v>2255.7199999999998</v>
      </c>
      <c r="N23" s="2">
        <f>+'s1'!AR24</f>
        <v>996.07</v>
      </c>
      <c r="O23" s="2">
        <f>+'s1'!AS24</f>
        <v>6706.9</v>
      </c>
      <c r="P23" s="2">
        <f>+'s1'!AT24</f>
        <v>0</v>
      </c>
      <c r="Q23" s="2">
        <f>+'s1'!AU24</f>
        <v>508079.28</v>
      </c>
      <c r="R23" s="2">
        <f>+'s1'!AV24</f>
        <v>3985.32</v>
      </c>
      <c r="S23" s="2">
        <f t="shared" si="0"/>
        <v>699643.4</v>
      </c>
      <c r="T23" s="2"/>
    </row>
    <row r="24" spans="1:20" s="20" customFormat="1" ht="13.5" customHeight="1" x14ac:dyDescent="0.2">
      <c r="A24" s="1" t="s">
        <v>368</v>
      </c>
      <c r="B24" s="2">
        <f>+'s1'!AF25</f>
        <v>0</v>
      </c>
      <c r="C24" s="2">
        <f>+'s1'!AG25</f>
        <v>0</v>
      </c>
      <c r="D24" s="2">
        <f>+'s1'!AH25</f>
        <v>0</v>
      </c>
      <c r="E24" s="2">
        <f>+'s1'!AI25</f>
        <v>0</v>
      </c>
      <c r="F24" s="2">
        <f>+'s1'!AJ25</f>
        <v>0</v>
      </c>
      <c r="G24" s="2">
        <f>+'s1'!AK25</f>
        <v>0</v>
      </c>
      <c r="H24" s="2">
        <f>+'s1'!AL25</f>
        <v>0</v>
      </c>
      <c r="I24" s="2">
        <f>+'s1'!AM25</f>
        <v>0</v>
      </c>
      <c r="J24" s="2">
        <f>+'s1'!AN25</f>
        <v>0</v>
      </c>
      <c r="K24" s="2">
        <f>+'s1'!AO25</f>
        <v>0</v>
      </c>
      <c r="L24" s="2">
        <f>+'s1'!AP25</f>
        <v>11211.63</v>
      </c>
      <c r="M24" s="2">
        <f>+'s1'!AQ25</f>
        <v>0</v>
      </c>
      <c r="N24" s="2">
        <f>+'s1'!AR25</f>
        <v>0</v>
      </c>
      <c r="O24" s="2">
        <f>+'s1'!AS25</f>
        <v>0</v>
      </c>
      <c r="P24" s="2">
        <f>+'s1'!AT25</f>
        <v>0</v>
      </c>
      <c r="Q24" s="2">
        <f>+'s1'!AU25</f>
        <v>0</v>
      </c>
      <c r="R24" s="2">
        <f>+'s1'!AV25</f>
        <v>0</v>
      </c>
      <c r="S24" s="2">
        <f t="shared" si="0"/>
        <v>11211.63</v>
      </c>
      <c r="T24" s="78"/>
    </row>
    <row r="25" spans="1:20" x14ac:dyDescent="0.2">
      <c r="A25" s="1" t="s">
        <v>755</v>
      </c>
      <c r="B25" s="2">
        <f>+'s1'!AF26</f>
        <v>0</v>
      </c>
      <c r="C25" s="2">
        <f>+'s1'!AG26</f>
        <v>0</v>
      </c>
      <c r="D25" s="2">
        <f>+'s1'!AH26</f>
        <v>0</v>
      </c>
      <c r="E25" s="2">
        <f>+'s1'!AI26</f>
        <v>0</v>
      </c>
      <c r="F25" s="2">
        <f>+'s1'!AJ26</f>
        <v>0</v>
      </c>
      <c r="G25" s="2">
        <f>+'s1'!AK26</f>
        <v>0</v>
      </c>
      <c r="H25" s="2">
        <f>+'s1'!AL26</f>
        <v>0</v>
      </c>
      <c r="I25" s="2">
        <f>+'s1'!AM26</f>
        <v>0</v>
      </c>
      <c r="J25" s="2">
        <f>+'s1'!AN26</f>
        <v>0</v>
      </c>
      <c r="K25" s="2">
        <f>+'s1'!AO26</f>
        <v>0</v>
      </c>
      <c r="L25" s="2">
        <f>+'s1'!AP26</f>
        <v>0</v>
      </c>
      <c r="M25" s="2">
        <f>+'s1'!AQ26</f>
        <v>0</v>
      </c>
      <c r="N25" s="2">
        <f>+'s1'!AR26</f>
        <v>0</v>
      </c>
      <c r="O25" s="2">
        <f>+'s1'!AS26</f>
        <v>0</v>
      </c>
      <c r="P25" s="2">
        <f>+'s1'!AT26</f>
        <v>0</v>
      </c>
      <c r="Q25" s="2">
        <f>+'s1'!AU26</f>
        <v>0</v>
      </c>
      <c r="R25" s="2">
        <f>+'s1'!AV26</f>
        <v>0</v>
      </c>
      <c r="S25" s="2">
        <f>SUM(B25:R25)</f>
        <v>0</v>
      </c>
      <c r="T25" s="2"/>
    </row>
    <row r="26" spans="1:20" x14ac:dyDescent="0.2">
      <c r="A26" s="1" t="s">
        <v>448</v>
      </c>
      <c r="B26" s="2">
        <f>+'s1'!AF27</f>
        <v>98775.360000000001</v>
      </c>
      <c r="C26" s="2">
        <f>+'s1'!AG27</f>
        <v>0</v>
      </c>
      <c r="D26" s="2">
        <f>+'s1'!AH27</f>
        <v>882974.96</v>
      </c>
      <c r="E26" s="2">
        <f>+'s1'!AI27</f>
        <v>27392.37</v>
      </c>
      <c r="F26" s="2">
        <f>+'s1'!AJ27</f>
        <v>0</v>
      </c>
      <c r="G26" s="2">
        <f>+'s1'!AK27</f>
        <v>0</v>
      </c>
      <c r="H26" s="2">
        <f>+'s1'!AL27</f>
        <v>0</v>
      </c>
      <c r="I26" s="2">
        <f>+'s1'!AM27</f>
        <v>0</v>
      </c>
      <c r="J26" s="2">
        <f>+'s1'!AN27</f>
        <v>0</v>
      </c>
      <c r="K26" s="2">
        <f>+'s1'!AO27</f>
        <v>0</v>
      </c>
      <c r="L26" s="2">
        <f>+'s1'!AP27</f>
        <v>0</v>
      </c>
      <c r="M26" s="2">
        <f>+'s1'!AQ27</f>
        <v>0</v>
      </c>
      <c r="N26" s="2">
        <f>+'s1'!AR27</f>
        <v>0</v>
      </c>
      <c r="O26" s="2">
        <f>+'s1'!AS27</f>
        <v>0</v>
      </c>
      <c r="P26" s="2">
        <f>+'s1'!AT27</f>
        <v>0</v>
      </c>
      <c r="Q26" s="2">
        <f>+'s1'!AU27</f>
        <v>206634.08</v>
      </c>
      <c r="R26" s="2">
        <f>+'s1'!AV27</f>
        <v>0</v>
      </c>
      <c r="S26" s="2">
        <f t="shared" si="0"/>
        <v>1215776.77</v>
      </c>
      <c r="T26" s="2"/>
    </row>
    <row r="27" spans="1:20" ht="13.5" customHeight="1" x14ac:dyDescent="0.2">
      <c r="A27" s="1" t="s">
        <v>353</v>
      </c>
      <c r="B27" s="2">
        <f>+'s1'!AF28</f>
        <v>0</v>
      </c>
      <c r="C27" s="2">
        <f>+'s1'!AG28</f>
        <v>0</v>
      </c>
      <c r="D27" s="2">
        <f>+'s1'!AH28</f>
        <v>123278.82</v>
      </c>
      <c r="E27" s="2">
        <f>+'s1'!AI28</f>
        <v>0</v>
      </c>
      <c r="F27" s="2">
        <f>+'s1'!AJ28</f>
        <v>0</v>
      </c>
      <c r="G27" s="2">
        <f>+'s1'!AK28</f>
        <v>0</v>
      </c>
      <c r="H27" s="2">
        <f>+'s1'!AL28</f>
        <v>0</v>
      </c>
      <c r="I27" s="2">
        <f>+'s1'!AM28</f>
        <v>0</v>
      </c>
      <c r="J27" s="2">
        <f>+'s1'!AN28</f>
        <v>0</v>
      </c>
      <c r="K27" s="2">
        <f>+'s1'!AO28</f>
        <v>0</v>
      </c>
      <c r="L27" s="2">
        <f>+'s1'!AP28</f>
        <v>578.5</v>
      </c>
      <c r="M27" s="2">
        <f>+'s1'!AQ28</f>
        <v>0</v>
      </c>
      <c r="N27" s="2">
        <f>+'s1'!AR28</f>
        <v>0</v>
      </c>
      <c r="O27" s="2">
        <f>+'s1'!AS28</f>
        <v>0</v>
      </c>
      <c r="P27" s="2">
        <f>+'s1'!AT28</f>
        <v>0</v>
      </c>
      <c r="Q27" s="2">
        <f>+'s1'!AU28</f>
        <v>0</v>
      </c>
      <c r="R27" s="2">
        <f>+'s1'!AV28</f>
        <v>0</v>
      </c>
      <c r="S27" s="2">
        <f t="shared" si="0"/>
        <v>123857.32</v>
      </c>
      <c r="T27" s="2"/>
    </row>
    <row r="28" spans="1:20" x14ac:dyDescent="0.2">
      <c r="A28" s="18" t="s">
        <v>488</v>
      </c>
      <c r="B28" s="2">
        <f>+'s1'!AF29</f>
        <v>0</v>
      </c>
      <c r="C28" s="2">
        <f>+'s1'!AG29</f>
        <v>0</v>
      </c>
      <c r="D28" s="2">
        <f>+'s1'!AH29</f>
        <v>0</v>
      </c>
      <c r="E28" s="2">
        <f>+'s1'!AI29</f>
        <v>0</v>
      </c>
      <c r="F28" s="2">
        <f>+'s1'!AJ29</f>
        <v>1829.66</v>
      </c>
      <c r="G28" s="2">
        <f>+'s1'!AK29</f>
        <v>0</v>
      </c>
      <c r="H28" s="2">
        <f>+'s1'!AL29</f>
        <v>0</v>
      </c>
      <c r="I28" s="2">
        <f>+'s1'!AM29</f>
        <v>0</v>
      </c>
      <c r="J28" s="2">
        <f>+'s1'!AN29</f>
        <v>0</v>
      </c>
      <c r="K28" s="2">
        <f>+'s1'!AO29</f>
        <v>0</v>
      </c>
      <c r="L28" s="2">
        <f>+'s1'!AP29</f>
        <v>0</v>
      </c>
      <c r="M28" s="2">
        <f>+'s1'!AQ29</f>
        <v>0</v>
      </c>
      <c r="N28" s="2">
        <f>+'s1'!AR29</f>
        <v>0</v>
      </c>
      <c r="O28" s="2">
        <f>+'s1'!AS29</f>
        <v>0</v>
      </c>
      <c r="P28" s="2">
        <f>+'s1'!AT29</f>
        <v>0</v>
      </c>
      <c r="Q28" s="2">
        <f>+'s1'!AU29</f>
        <v>0</v>
      </c>
      <c r="R28" s="2">
        <f>+'s1'!AV29</f>
        <v>0</v>
      </c>
      <c r="S28" s="2">
        <f t="shared" si="0"/>
        <v>1829.66</v>
      </c>
      <c r="T28" s="2"/>
    </row>
    <row r="29" spans="1:20" x14ac:dyDescent="0.2">
      <c r="A29" s="1" t="s">
        <v>301</v>
      </c>
      <c r="B29" s="2">
        <f>+'s1'!AF30</f>
        <v>0</v>
      </c>
      <c r="C29" s="2">
        <f>+'s1'!AG30</f>
        <v>0</v>
      </c>
      <c r="D29" s="2">
        <f>+'s1'!AH30</f>
        <v>9500.82</v>
      </c>
      <c r="E29" s="2">
        <f>+'s1'!AI30</f>
        <v>0</v>
      </c>
      <c r="F29" s="2">
        <f>+'s1'!AJ30</f>
        <v>0</v>
      </c>
      <c r="G29" s="2">
        <f>+'s1'!AK30</f>
        <v>0</v>
      </c>
      <c r="H29" s="2">
        <f>+'s1'!AL30</f>
        <v>0</v>
      </c>
      <c r="I29" s="2">
        <f>+'s1'!AM30</f>
        <v>0</v>
      </c>
      <c r="J29" s="2">
        <f>+'s1'!AN30</f>
        <v>0</v>
      </c>
      <c r="K29" s="2">
        <f>+'s1'!AO30</f>
        <v>0</v>
      </c>
      <c r="L29" s="2">
        <f>+'s1'!AP30</f>
        <v>0</v>
      </c>
      <c r="M29" s="2">
        <f>+'s1'!AQ30</f>
        <v>0</v>
      </c>
      <c r="N29" s="2">
        <f>+'s1'!AR30</f>
        <v>0</v>
      </c>
      <c r="O29" s="2">
        <f>+'s1'!AS30</f>
        <v>0</v>
      </c>
      <c r="P29" s="2">
        <f>+'s1'!AT30</f>
        <v>0</v>
      </c>
      <c r="Q29" s="2">
        <f>+'s1'!AU30</f>
        <v>0</v>
      </c>
      <c r="R29" s="2">
        <f>+'s1'!AV30</f>
        <v>0</v>
      </c>
      <c r="S29" s="2">
        <f t="shared" si="0"/>
        <v>9500.82</v>
      </c>
      <c r="T29" s="2"/>
    </row>
    <row r="30" spans="1:20" x14ac:dyDescent="0.2">
      <c r="A30" s="18" t="s">
        <v>632</v>
      </c>
      <c r="B30" s="2">
        <f>+'s1'!AF31</f>
        <v>0</v>
      </c>
      <c r="C30" s="2">
        <f>+'s1'!AG31</f>
        <v>0</v>
      </c>
      <c r="D30" s="2">
        <f>+'s1'!AH31</f>
        <v>0</v>
      </c>
      <c r="E30" s="2">
        <f>+'s1'!AI31</f>
        <v>0</v>
      </c>
      <c r="F30" s="2">
        <f>+'s1'!AJ31</f>
        <v>16.11</v>
      </c>
      <c r="G30" s="2">
        <f>+'s1'!AK31</f>
        <v>0</v>
      </c>
      <c r="H30" s="2">
        <f>+'s1'!AL31</f>
        <v>0</v>
      </c>
      <c r="I30" s="2">
        <f>+'s1'!AM31</f>
        <v>0</v>
      </c>
      <c r="J30" s="2">
        <f>+'s1'!AN31</f>
        <v>0</v>
      </c>
      <c r="K30" s="2">
        <f>+'s1'!AO31</f>
        <v>0</v>
      </c>
      <c r="L30" s="2">
        <f>+'s1'!AP31</f>
        <v>0</v>
      </c>
      <c r="M30" s="2">
        <f>+'s1'!AQ31</f>
        <v>0</v>
      </c>
      <c r="N30" s="2">
        <f>+'s1'!AR31</f>
        <v>0</v>
      </c>
      <c r="O30" s="2">
        <f>+'s1'!AS31</f>
        <v>0</v>
      </c>
      <c r="P30" s="2">
        <f>+'s1'!AT31</f>
        <v>0</v>
      </c>
      <c r="Q30" s="2">
        <f>+'s1'!AU31</f>
        <v>0</v>
      </c>
      <c r="R30" s="2">
        <f>+'s1'!AV31</f>
        <v>0</v>
      </c>
      <c r="S30" s="2">
        <f t="shared" si="0"/>
        <v>16.11</v>
      </c>
      <c r="T30" s="1"/>
    </row>
    <row r="31" spans="1:20" x14ac:dyDescent="0.2">
      <c r="A31" s="1" t="s">
        <v>42</v>
      </c>
      <c r="B31" s="2">
        <f>+'s1'!AF32</f>
        <v>15367.35</v>
      </c>
      <c r="C31" s="2">
        <f>+'s1'!AG32</f>
        <v>0</v>
      </c>
      <c r="D31" s="2">
        <f>+'s1'!AH32</f>
        <v>0</v>
      </c>
      <c r="E31" s="2">
        <f>+'s1'!AI32</f>
        <v>2834.08</v>
      </c>
      <c r="F31" s="2">
        <f>+'s1'!AJ32</f>
        <v>0</v>
      </c>
      <c r="G31" s="2">
        <f>+'s1'!AK32</f>
        <v>0</v>
      </c>
      <c r="H31" s="2">
        <f>+'s1'!AL32</f>
        <v>0</v>
      </c>
      <c r="I31" s="2">
        <f>+'s1'!AM32</f>
        <v>749.7</v>
      </c>
      <c r="J31" s="2">
        <f>+'s1'!AN32</f>
        <v>0</v>
      </c>
      <c r="K31" s="2">
        <f>+'s1'!AO32</f>
        <v>0</v>
      </c>
      <c r="L31" s="2">
        <f>+'s1'!AP32</f>
        <v>14301.54</v>
      </c>
      <c r="M31" s="2">
        <f>+'s1'!AQ32</f>
        <v>0</v>
      </c>
      <c r="N31" s="2">
        <f>+'s1'!AR32</f>
        <v>0</v>
      </c>
      <c r="O31" s="2">
        <f>+'s1'!AS32</f>
        <v>0</v>
      </c>
      <c r="P31" s="2">
        <f>+'s1'!AT32</f>
        <v>999.72</v>
      </c>
      <c r="Q31" s="2">
        <f>+'s1'!AU32</f>
        <v>7197.12</v>
      </c>
      <c r="R31" s="2">
        <f>+'s1'!AV32</f>
        <v>0</v>
      </c>
      <c r="S31" s="2">
        <f t="shared" si="0"/>
        <v>41449.51</v>
      </c>
      <c r="T31" s="1"/>
    </row>
    <row r="32" spans="1:20" x14ac:dyDescent="0.2">
      <c r="A32" s="1" t="s">
        <v>449</v>
      </c>
      <c r="B32" s="2">
        <f>+'s1'!AF33</f>
        <v>0</v>
      </c>
      <c r="C32" s="2">
        <f>+'s1'!AG33</f>
        <v>0</v>
      </c>
      <c r="D32" s="2">
        <f>+'s1'!AH33</f>
        <v>0</v>
      </c>
      <c r="E32" s="2">
        <f>+'s1'!AI33</f>
        <v>0</v>
      </c>
      <c r="F32" s="2">
        <f>+'s1'!AJ33</f>
        <v>5017.5600000000004</v>
      </c>
      <c r="G32" s="2">
        <f>+'s1'!AK33</f>
        <v>0</v>
      </c>
      <c r="H32" s="2">
        <f>+'s1'!AL33</f>
        <v>0</v>
      </c>
      <c r="I32" s="2">
        <f>+'s1'!AM33</f>
        <v>20543.63</v>
      </c>
      <c r="J32" s="2">
        <f>+'s1'!AN33</f>
        <v>0</v>
      </c>
      <c r="K32" s="2">
        <f>+'s1'!AO33</f>
        <v>0</v>
      </c>
      <c r="L32" s="2">
        <f>+'s1'!AP33</f>
        <v>0</v>
      </c>
      <c r="M32" s="2">
        <f>+'s1'!AQ33</f>
        <v>0</v>
      </c>
      <c r="N32" s="2">
        <f>+'s1'!AR33</f>
        <v>0</v>
      </c>
      <c r="O32" s="2">
        <f>+'s1'!AS33</f>
        <v>0</v>
      </c>
      <c r="P32" s="2">
        <f>+'s1'!AT33</f>
        <v>0</v>
      </c>
      <c r="Q32" s="2">
        <f>+'s1'!AU33</f>
        <v>0</v>
      </c>
      <c r="R32" s="2">
        <f>+'s1'!AV33</f>
        <v>0</v>
      </c>
      <c r="S32" s="2">
        <f>SUM(B32:R32)</f>
        <v>25561.19</v>
      </c>
      <c r="T32" s="2"/>
    </row>
    <row r="33" spans="1:20" x14ac:dyDescent="0.2">
      <c r="A33" s="1" t="s">
        <v>43</v>
      </c>
      <c r="B33" s="2">
        <f>+'s1'!AF34</f>
        <v>0</v>
      </c>
      <c r="C33" s="2">
        <f>+'s1'!AG34</f>
        <v>0</v>
      </c>
      <c r="D33" s="2">
        <f>+'s1'!AH34</f>
        <v>334484.3</v>
      </c>
      <c r="E33" s="2">
        <f>+'s1'!AI34</f>
        <v>0</v>
      </c>
      <c r="F33" s="2">
        <f>+'s1'!AJ34</f>
        <v>0</v>
      </c>
      <c r="G33" s="2">
        <f>+'s1'!AK34</f>
        <v>0</v>
      </c>
      <c r="H33" s="2">
        <f>+'s1'!AL34</f>
        <v>0</v>
      </c>
      <c r="I33" s="2">
        <f>+'s1'!AM34</f>
        <v>0</v>
      </c>
      <c r="J33" s="2">
        <f>+'s1'!AN34</f>
        <v>0</v>
      </c>
      <c r="K33" s="2">
        <f>+'s1'!AO34</f>
        <v>0</v>
      </c>
      <c r="L33" s="2">
        <f>+'s1'!AP34</f>
        <v>0</v>
      </c>
      <c r="M33" s="2">
        <f>+'s1'!AQ34</f>
        <v>0</v>
      </c>
      <c r="N33" s="2">
        <f>+'s1'!AR34</f>
        <v>0</v>
      </c>
      <c r="O33" s="2">
        <f>+'s1'!AS34</f>
        <v>0</v>
      </c>
      <c r="P33" s="2">
        <f>+'s1'!AT34</f>
        <v>0</v>
      </c>
      <c r="Q33" s="2">
        <f>+'s1'!AU34</f>
        <v>778.28</v>
      </c>
      <c r="R33" s="2">
        <f>+'s1'!AV34</f>
        <v>0</v>
      </c>
      <c r="S33" s="2">
        <f t="shared" si="0"/>
        <v>335262.58</v>
      </c>
      <c r="T33" s="2"/>
    </row>
    <row r="34" spans="1:20" x14ac:dyDescent="0.2">
      <c r="A34" s="1" t="s">
        <v>44</v>
      </c>
      <c r="B34" s="2">
        <f>+'s1'!AF35</f>
        <v>0</v>
      </c>
      <c r="C34" s="2">
        <f>+'s1'!AG35</f>
        <v>0</v>
      </c>
      <c r="D34" s="2">
        <f>+'s1'!AH35</f>
        <v>0</v>
      </c>
      <c r="E34" s="2">
        <f>+'s1'!AI35</f>
        <v>0</v>
      </c>
      <c r="F34" s="2">
        <f>+'s1'!AJ35</f>
        <v>0</v>
      </c>
      <c r="G34" s="2">
        <f>+'s1'!AK35</f>
        <v>0</v>
      </c>
      <c r="H34" s="2">
        <f>+'s1'!AL35</f>
        <v>78.44</v>
      </c>
      <c r="I34" s="2">
        <f>+'s1'!AM35</f>
        <v>0</v>
      </c>
      <c r="J34" s="2">
        <f>+'s1'!AN35</f>
        <v>0</v>
      </c>
      <c r="K34" s="2">
        <f>+'s1'!AO35</f>
        <v>0</v>
      </c>
      <c r="L34" s="2">
        <f>+'s1'!AP35</f>
        <v>0</v>
      </c>
      <c r="M34" s="2">
        <f>+'s1'!AQ35</f>
        <v>0</v>
      </c>
      <c r="N34" s="2">
        <f>+'s1'!AR35</f>
        <v>79.34</v>
      </c>
      <c r="O34" s="2">
        <f>+'s1'!AS35</f>
        <v>0</v>
      </c>
      <c r="P34" s="2">
        <f>+'s1'!AT35</f>
        <v>0</v>
      </c>
      <c r="Q34" s="2">
        <f>+'s1'!AU35</f>
        <v>0</v>
      </c>
      <c r="R34" s="2">
        <f>+'s1'!AV35</f>
        <v>2146.35</v>
      </c>
      <c r="S34" s="2">
        <f t="shared" si="0"/>
        <v>2304.13</v>
      </c>
      <c r="T34" s="2"/>
    </row>
    <row r="35" spans="1:20" x14ac:dyDescent="0.2">
      <c r="A35" s="18" t="s">
        <v>45</v>
      </c>
      <c r="B35" s="2">
        <f>+'s1'!AF36</f>
        <v>0</v>
      </c>
      <c r="C35" s="2">
        <f>+'s1'!AG36</f>
        <v>0</v>
      </c>
      <c r="D35" s="2">
        <f>+'s1'!AH36</f>
        <v>121671.37</v>
      </c>
      <c r="E35" s="2">
        <f>+'s1'!AI36</f>
        <v>0</v>
      </c>
      <c r="F35" s="2">
        <f>+'s1'!AJ36</f>
        <v>0</v>
      </c>
      <c r="G35" s="2">
        <f>+'s1'!AK36</f>
        <v>0</v>
      </c>
      <c r="H35" s="2">
        <f>+'s1'!AL36</f>
        <v>0</v>
      </c>
      <c r="I35" s="2">
        <f>+'s1'!AM36</f>
        <v>0</v>
      </c>
      <c r="J35" s="2">
        <f>+'s1'!AN36</f>
        <v>0</v>
      </c>
      <c r="K35" s="2">
        <f>+'s1'!AO36</f>
        <v>0</v>
      </c>
      <c r="L35" s="2">
        <f>+'s1'!AP36</f>
        <v>0</v>
      </c>
      <c r="M35" s="2">
        <f>+'s1'!AQ36</f>
        <v>0</v>
      </c>
      <c r="N35" s="2">
        <f>+'s1'!AR36</f>
        <v>0</v>
      </c>
      <c r="O35" s="2">
        <f>+'s1'!AS36</f>
        <v>0</v>
      </c>
      <c r="P35" s="2">
        <f>+'s1'!AT36</f>
        <v>0</v>
      </c>
      <c r="Q35" s="2">
        <f>+'s1'!AU36</f>
        <v>0</v>
      </c>
      <c r="R35" s="2">
        <f>+'s1'!AV36</f>
        <v>0</v>
      </c>
      <c r="S35" s="2">
        <f t="shared" si="0"/>
        <v>121671.37</v>
      </c>
      <c r="T35" s="2"/>
    </row>
    <row r="36" spans="1:20" x14ac:dyDescent="0.2">
      <c r="A36" s="18" t="s">
        <v>610</v>
      </c>
      <c r="B36" s="2">
        <f>+'s1'!AF37</f>
        <v>0</v>
      </c>
      <c r="C36" s="2">
        <f>+'s1'!AG37</f>
        <v>0</v>
      </c>
      <c r="D36" s="2">
        <f>+'s1'!AH37</f>
        <v>0</v>
      </c>
      <c r="E36" s="2">
        <f>+'s1'!AI37</f>
        <v>0</v>
      </c>
      <c r="F36" s="2">
        <f>+'s1'!AJ37</f>
        <v>0</v>
      </c>
      <c r="G36" s="2">
        <f>+'s1'!AK37</f>
        <v>0</v>
      </c>
      <c r="H36" s="2">
        <f>+'s1'!AL37</f>
        <v>0</v>
      </c>
      <c r="I36" s="2">
        <f>+'s1'!AM37</f>
        <v>0</v>
      </c>
      <c r="J36" s="2">
        <f>+'s1'!AN37</f>
        <v>0</v>
      </c>
      <c r="K36" s="2">
        <f>+'s1'!AO37</f>
        <v>0</v>
      </c>
      <c r="L36" s="2">
        <f>+'s1'!AP37</f>
        <v>0</v>
      </c>
      <c r="M36" s="2">
        <f>+'s1'!AQ37</f>
        <v>0</v>
      </c>
      <c r="N36" s="2">
        <f>+'s1'!AR37</f>
        <v>0</v>
      </c>
      <c r="O36" s="2">
        <f>+'s1'!AS37</f>
        <v>0</v>
      </c>
      <c r="P36" s="2">
        <f>+'s1'!AT37</f>
        <v>0</v>
      </c>
      <c r="Q36" s="2">
        <f>+'s1'!AU37</f>
        <v>9.5299999999999994</v>
      </c>
      <c r="R36" s="2">
        <f>+'s1'!AV37</f>
        <v>0</v>
      </c>
      <c r="S36" s="2">
        <f t="shared" si="0"/>
        <v>9.5299999999999994</v>
      </c>
      <c r="T36" s="1"/>
    </row>
    <row r="37" spans="1:20" x14ac:dyDescent="0.2">
      <c r="A37" s="18" t="s">
        <v>603</v>
      </c>
      <c r="B37" s="2">
        <f>+'s1'!AF38</f>
        <v>0</v>
      </c>
      <c r="C37" s="2">
        <f>+'s1'!AG38</f>
        <v>0</v>
      </c>
      <c r="D37" s="2">
        <f>+'s1'!AH38</f>
        <v>2019.07</v>
      </c>
      <c r="E37" s="2">
        <f>+'s1'!AI38</f>
        <v>0</v>
      </c>
      <c r="F37" s="2">
        <f>+'s1'!AJ38</f>
        <v>0</v>
      </c>
      <c r="G37" s="2">
        <f>+'s1'!AK38</f>
        <v>0</v>
      </c>
      <c r="H37" s="2">
        <f>+'s1'!AL38</f>
        <v>0</v>
      </c>
      <c r="I37" s="2">
        <f>+'s1'!AM38</f>
        <v>0</v>
      </c>
      <c r="J37" s="2">
        <f>+'s1'!AN38</f>
        <v>0</v>
      </c>
      <c r="K37" s="2">
        <f>+'s1'!AO38</f>
        <v>0</v>
      </c>
      <c r="L37" s="2">
        <f>+'s1'!AP38</f>
        <v>0</v>
      </c>
      <c r="M37" s="2">
        <f>+'s1'!AQ38</f>
        <v>0</v>
      </c>
      <c r="N37" s="2">
        <f>+'s1'!AR38</f>
        <v>0</v>
      </c>
      <c r="O37" s="2">
        <f>+'s1'!AS38</f>
        <v>0</v>
      </c>
      <c r="P37" s="2">
        <f>+'s1'!AT38</f>
        <v>0</v>
      </c>
      <c r="Q37" s="2">
        <f>+'s1'!AU38</f>
        <v>29867.52</v>
      </c>
      <c r="R37" s="2">
        <f>+'s1'!AV38</f>
        <v>0</v>
      </c>
      <c r="S37" s="2">
        <f t="shared" si="0"/>
        <v>31886.59</v>
      </c>
      <c r="T37" s="2"/>
    </row>
    <row r="38" spans="1:20" x14ac:dyDescent="0.2">
      <c r="A38" s="1" t="s">
        <v>46</v>
      </c>
      <c r="B38" s="2">
        <f>+'s1'!AF39</f>
        <v>0</v>
      </c>
      <c r="C38" s="2">
        <f>+'s1'!AG39</f>
        <v>0</v>
      </c>
      <c r="D38" s="2">
        <f>+'s1'!AH39</f>
        <v>0</v>
      </c>
      <c r="E38" s="2">
        <f>+'s1'!AI39</f>
        <v>0</v>
      </c>
      <c r="F38" s="2">
        <f>+'s1'!AJ39</f>
        <v>4707.1000000000004</v>
      </c>
      <c r="G38" s="2">
        <f>+'s1'!AK39</f>
        <v>0</v>
      </c>
      <c r="H38" s="2">
        <f>+'s1'!AL39</f>
        <v>0</v>
      </c>
      <c r="I38" s="2">
        <f>+'s1'!AM39</f>
        <v>0</v>
      </c>
      <c r="J38" s="2">
        <f>+'s1'!AN39</f>
        <v>0</v>
      </c>
      <c r="K38" s="2">
        <f>+'s1'!AO39</f>
        <v>0</v>
      </c>
      <c r="L38" s="2">
        <f>+'s1'!AP39</f>
        <v>0</v>
      </c>
      <c r="M38" s="2">
        <f>+'s1'!AQ39</f>
        <v>0</v>
      </c>
      <c r="N38" s="2">
        <f>+'s1'!AR39</f>
        <v>0</v>
      </c>
      <c r="O38" s="2">
        <f>+'s1'!AS39</f>
        <v>0</v>
      </c>
      <c r="P38" s="2">
        <f>+'s1'!AT39</f>
        <v>0</v>
      </c>
      <c r="Q38" s="2">
        <f>+'s1'!AU39</f>
        <v>0</v>
      </c>
      <c r="R38" s="2">
        <f>+'s1'!AV39</f>
        <v>0</v>
      </c>
      <c r="S38" s="2">
        <f t="shared" si="0"/>
        <v>4707.1000000000004</v>
      </c>
      <c r="T38" s="1"/>
    </row>
    <row r="39" spans="1:20" x14ac:dyDescent="0.2">
      <c r="A39" s="1" t="s">
        <v>450</v>
      </c>
      <c r="B39" s="2">
        <f>+'s1'!AF40</f>
        <v>0</v>
      </c>
      <c r="C39" s="2">
        <f>+'s1'!AG40</f>
        <v>0</v>
      </c>
      <c r="D39" s="2">
        <f>+'s1'!AH40</f>
        <v>591.12</v>
      </c>
      <c r="E39" s="2">
        <f>+'s1'!AI40</f>
        <v>0</v>
      </c>
      <c r="F39" s="2">
        <f>+'s1'!AJ40</f>
        <v>0</v>
      </c>
      <c r="G39" s="2">
        <f>+'s1'!AK40</f>
        <v>0</v>
      </c>
      <c r="H39" s="2">
        <f>+'s1'!AL40</f>
        <v>0</v>
      </c>
      <c r="I39" s="2">
        <f>+'s1'!AM40</f>
        <v>0</v>
      </c>
      <c r="J39" s="2">
        <f>+'s1'!AN40</f>
        <v>0</v>
      </c>
      <c r="K39" s="2">
        <f>+'s1'!AO40</f>
        <v>0</v>
      </c>
      <c r="L39" s="2">
        <f>+'s1'!AP40</f>
        <v>0</v>
      </c>
      <c r="M39" s="2">
        <f>+'s1'!AQ40</f>
        <v>0</v>
      </c>
      <c r="N39" s="2">
        <f>+'s1'!AR40</f>
        <v>0</v>
      </c>
      <c r="O39" s="2">
        <f>+'s1'!AS40</f>
        <v>0</v>
      </c>
      <c r="P39" s="2">
        <f>+'s1'!AT40</f>
        <v>0</v>
      </c>
      <c r="Q39" s="2">
        <f>+'s1'!AU40</f>
        <v>0</v>
      </c>
      <c r="R39" s="2">
        <f>+'s1'!AV40</f>
        <v>0</v>
      </c>
      <c r="S39" s="2">
        <f t="shared" si="0"/>
        <v>591.12</v>
      </c>
      <c r="T39" s="2"/>
    </row>
    <row r="40" spans="1:20" x14ac:dyDescent="0.2">
      <c r="A40" s="1" t="s">
        <v>433</v>
      </c>
      <c r="B40" s="2">
        <f>+'s1'!AF41</f>
        <v>0</v>
      </c>
      <c r="C40" s="2">
        <f>+'s1'!AG41</f>
        <v>0</v>
      </c>
      <c r="D40" s="2">
        <f>+'s1'!AH41</f>
        <v>427272.02</v>
      </c>
      <c r="E40" s="2">
        <f>+'s1'!AI41</f>
        <v>0</v>
      </c>
      <c r="F40" s="2">
        <f>+'s1'!AJ41</f>
        <v>0</v>
      </c>
      <c r="G40" s="2">
        <f>+'s1'!AK41</f>
        <v>0</v>
      </c>
      <c r="H40" s="2">
        <f>+'s1'!AL41</f>
        <v>0</v>
      </c>
      <c r="I40" s="2">
        <f>+'s1'!AM41</f>
        <v>0</v>
      </c>
      <c r="J40" s="2">
        <f>+'s1'!AN41</f>
        <v>0</v>
      </c>
      <c r="K40" s="2">
        <f>+'s1'!AO41</f>
        <v>0</v>
      </c>
      <c r="L40" s="2">
        <f>+'s1'!AP41</f>
        <v>0</v>
      </c>
      <c r="M40" s="2">
        <f>+'s1'!AQ41</f>
        <v>0</v>
      </c>
      <c r="N40" s="2">
        <f>+'s1'!AR41</f>
        <v>5558.48</v>
      </c>
      <c r="O40" s="2">
        <f>+'s1'!AS41</f>
        <v>0</v>
      </c>
      <c r="P40" s="2">
        <f>+'s1'!AT41</f>
        <v>0</v>
      </c>
      <c r="Q40" s="2">
        <f>+'s1'!AU41</f>
        <v>0</v>
      </c>
      <c r="R40" s="2">
        <f>+'s1'!AV41</f>
        <v>0</v>
      </c>
      <c r="S40" s="2">
        <f>SUM(B40:R40)</f>
        <v>432830.5</v>
      </c>
      <c r="T40" s="2"/>
    </row>
    <row r="41" spans="1:20" x14ac:dyDescent="0.2">
      <c r="A41" s="1" t="s">
        <v>451</v>
      </c>
      <c r="B41" s="2">
        <f>+'s1'!AF42</f>
        <v>0</v>
      </c>
      <c r="C41" s="2">
        <f>+'s1'!AG42</f>
        <v>0</v>
      </c>
      <c r="D41" s="2">
        <f>+'s1'!AH42</f>
        <v>18525.7</v>
      </c>
      <c r="E41" s="2">
        <f>+'s1'!AI42</f>
        <v>0</v>
      </c>
      <c r="F41" s="2">
        <f>+'s1'!AJ42</f>
        <v>1723.35</v>
      </c>
      <c r="G41" s="2">
        <f>+'s1'!AK42</f>
        <v>0</v>
      </c>
      <c r="H41" s="2">
        <f>+'s1'!AL42</f>
        <v>0</v>
      </c>
      <c r="I41" s="2">
        <f>+'s1'!AM42</f>
        <v>0</v>
      </c>
      <c r="J41" s="2">
        <f>+'s1'!AN42</f>
        <v>0</v>
      </c>
      <c r="K41" s="2">
        <f>+'s1'!AO42</f>
        <v>0</v>
      </c>
      <c r="L41" s="2">
        <f>+'s1'!AP42</f>
        <v>0</v>
      </c>
      <c r="M41" s="2">
        <f>+'s1'!AQ42</f>
        <v>0</v>
      </c>
      <c r="N41" s="2">
        <f>+'s1'!AR42</f>
        <v>0</v>
      </c>
      <c r="O41" s="2">
        <f>+'s1'!AS42</f>
        <v>0</v>
      </c>
      <c r="P41" s="2">
        <f>+'s1'!AT42</f>
        <v>0</v>
      </c>
      <c r="Q41" s="2">
        <f>+'s1'!AU42</f>
        <v>1058.58</v>
      </c>
      <c r="R41" s="2">
        <f>+'s1'!AV42</f>
        <v>0</v>
      </c>
      <c r="S41" s="2">
        <f t="shared" si="0"/>
        <v>21307.63</v>
      </c>
      <c r="T41" s="2"/>
    </row>
    <row r="42" spans="1:20" x14ac:dyDescent="0.2">
      <c r="A42" s="1" t="s">
        <v>756</v>
      </c>
      <c r="B42" s="2">
        <f>+'s1'!AF43</f>
        <v>0</v>
      </c>
      <c r="C42" s="2">
        <f>+'s1'!AG43</f>
        <v>0</v>
      </c>
      <c r="D42" s="2">
        <f>+'s1'!AH43</f>
        <v>0</v>
      </c>
      <c r="E42" s="2">
        <f>+'s1'!AI43</f>
        <v>0</v>
      </c>
      <c r="F42" s="2">
        <f>+'s1'!AJ43</f>
        <v>0</v>
      </c>
      <c r="G42" s="2">
        <f>+'s1'!AK43</f>
        <v>0</v>
      </c>
      <c r="H42" s="2">
        <f>+'s1'!AL43</f>
        <v>0</v>
      </c>
      <c r="I42" s="2">
        <f>+'s1'!AM43</f>
        <v>0</v>
      </c>
      <c r="J42" s="2">
        <f>+'s1'!AN43</f>
        <v>0</v>
      </c>
      <c r="K42" s="2">
        <f>+'s1'!AO43</f>
        <v>0</v>
      </c>
      <c r="L42" s="2">
        <f>+'s1'!AP43</f>
        <v>0</v>
      </c>
      <c r="M42" s="2">
        <f>+'s1'!AQ43</f>
        <v>0</v>
      </c>
      <c r="N42" s="2">
        <f>+'s1'!AR43</f>
        <v>0</v>
      </c>
      <c r="O42" s="2">
        <f>+'s1'!AS43</f>
        <v>0</v>
      </c>
      <c r="P42" s="2">
        <f>+'s1'!AT43</f>
        <v>0</v>
      </c>
      <c r="Q42" s="2">
        <f>+'s1'!AU43</f>
        <v>0</v>
      </c>
      <c r="R42" s="2">
        <f>+'s1'!AV43</f>
        <v>0</v>
      </c>
      <c r="S42" s="2">
        <f>SUM(B42:R42)</f>
        <v>0</v>
      </c>
      <c r="T42" s="2"/>
    </row>
    <row r="43" spans="1:20" x14ac:dyDescent="0.2">
      <c r="A43" s="1" t="s">
        <v>760</v>
      </c>
      <c r="B43" s="2">
        <f>+'s1'!AF44</f>
        <v>0</v>
      </c>
      <c r="C43" s="2">
        <f>+'s1'!AG44</f>
        <v>0</v>
      </c>
      <c r="D43" s="2">
        <f>+'s1'!AH44</f>
        <v>156.11000000000001</v>
      </c>
      <c r="E43" s="2">
        <f>+'s1'!AI44</f>
        <v>0</v>
      </c>
      <c r="F43" s="2">
        <f>+'s1'!AJ44</f>
        <v>119.87</v>
      </c>
      <c r="G43" s="2">
        <f>+'s1'!AK44</f>
        <v>0</v>
      </c>
      <c r="H43" s="2">
        <f>+'s1'!AL44</f>
        <v>0</v>
      </c>
      <c r="I43" s="2">
        <f>+'s1'!AM44</f>
        <v>0</v>
      </c>
      <c r="J43" s="2">
        <f>+'s1'!AN44</f>
        <v>0</v>
      </c>
      <c r="K43" s="2">
        <f>+'s1'!AO44</f>
        <v>0</v>
      </c>
      <c r="L43" s="2">
        <f>+'s1'!AP44</f>
        <v>0</v>
      </c>
      <c r="M43" s="2">
        <f>+'s1'!AQ44</f>
        <v>0</v>
      </c>
      <c r="N43" s="2">
        <f>+'s1'!AR44</f>
        <v>0</v>
      </c>
      <c r="O43" s="2">
        <f>+'s1'!AS44</f>
        <v>0</v>
      </c>
      <c r="P43" s="2">
        <f>+'s1'!AT44</f>
        <v>0</v>
      </c>
      <c r="Q43" s="2">
        <f>+'s1'!AU44</f>
        <v>0</v>
      </c>
      <c r="R43" s="2">
        <f>+'s1'!AV44</f>
        <v>0</v>
      </c>
      <c r="S43" s="2">
        <f>SUM(B43:R43)</f>
        <v>275.98</v>
      </c>
      <c r="T43" s="2"/>
    </row>
    <row r="44" spans="1:20" x14ac:dyDescent="0.2">
      <c r="A44" s="1" t="s">
        <v>721</v>
      </c>
      <c r="B44" s="2">
        <f>+'s1'!AF45</f>
        <v>0</v>
      </c>
      <c r="C44" s="2">
        <f>+'s1'!AG45</f>
        <v>0</v>
      </c>
      <c r="D44" s="2">
        <f>+'s1'!AH45</f>
        <v>0</v>
      </c>
      <c r="E44" s="2">
        <f>+'s1'!AI45</f>
        <v>0</v>
      </c>
      <c r="F44" s="2">
        <f>+'s1'!AJ45</f>
        <v>4.32</v>
      </c>
      <c r="G44" s="2">
        <f>+'s1'!AK45</f>
        <v>0</v>
      </c>
      <c r="H44" s="2">
        <f>+'s1'!AL45</f>
        <v>0</v>
      </c>
      <c r="I44" s="2">
        <f>+'s1'!AM45</f>
        <v>0</v>
      </c>
      <c r="J44" s="2">
        <f>+'s1'!AN45</f>
        <v>0</v>
      </c>
      <c r="K44" s="2">
        <f>+'s1'!AO45</f>
        <v>0</v>
      </c>
      <c r="L44" s="2">
        <f>+'s1'!AP45</f>
        <v>0</v>
      </c>
      <c r="M44" s="2">
        <f>+'s1'!AQ45</f>
        <v>0</v>
      </c>
      <c r="N44" s="2">
        <f>+'s1'!AR45</f>
        <v>0</v>
      </c>
      <c r="O44" s="2">
        <f>+'s1'!AS45</f>
        <v>0</v>
      </c>
      <c r="P44" s="2">
        <f>+'s1'!AT45</f>
        <v>0</v>
      </c>
      <c r="Q44" s="2">
        <f>+'s1'!AU45</f>
        <v>0</v>
      </c>
      <c r="R44" s="2">
        <f>+'s1'!AV45</f>
        <v>0</v>
      </c>
      <c r="S44" s="2">
        <f>SUM(B44:R44)</f>
        <v>4.32</v>
      </c>
      <c r="T44" s="2"/>
    </row>
    <row r="45" spans="1:20" x14ac:dyDescent="0.2">
      <c r="A45" s="1" t="s">
        <v>457</v>
      </c>
      <c r="B45" s="2">
        <f>+'s1'!AF46</f>
        <v>0</v>
      </c>
      <c r="C45" s="2">
        <f>+'s1'!AG46</f>
        <v>0</v>
      </c>
      <c r="D45" s="2">
        <f>+'s1'!AH46</f>
        <v>0</v>
      </c>
      <c r="E45" s="2">
        <f>+'s1'!AI46</f>
        <v>0</v>
      </c>
      <c r="F45" s="2">
        <f>+'s1'!AJ46</f>
        <v>0</v>
      </c>
      <c r="G45" s="2">
        <f>+'s1'!AK46</f>
        <v>0</v>
      </c>
      <c r="H45" s="2">
        <f>+'s1'!AL46</f>
        <v>0</v>
      </c>
      <c r="I45" s="2">
        <f>+'s1'!AM46</f>
        <v>109.46</v>
      </c>
      <c r="J45" s="2">
        <f>+'s1'!AN46</f>
        <v>0</v>
      </c>
      <c r="K45" s="2">
        <f>+'s1'!AO46</f>
        <v>0</v>
      </c>
      <c r="L45" s="2">
        <f>+'s1'!AP46</f>
        <v>0</v>
      </c>
      <c r="M45" s="2">
        <f>+'s1'!AQ46</f>
        <v>0</v>
      </c>
      <c r="N45" s="2">
        <f>+'s1'!AR46</f>
        <v>0</v>
      </c>
      <c r="O45" s="2">
        <f>+'s1'!AS46</f>
        <v>0</v>
      </c>
      <c r="P45" s="2">
        <f>+'s1'!AT46</f>
        <v>0</v>
      </c>
      <c r="Q45" s="2">
        <f>+'s1'!AU46</f>
        <v>29.99</v>
      </c>
      <c r="R45" s="2">
        <f>+'s1'!AV46</f>
        <v>0</v>
      </c>
      <c r="S45" s="2">
        <f t="shared" si="0"/>
        <v>139.44999999999999</v>
      </c>
      <c r="T45" s="2"/>
    </row>
    <row r="46" spans="1:20" x14ac:dyDescent="0.2">
      <c r="A46" s="1" t="s">
        <v>738</v>
      </c>
      <c r="B46" s="2">
        <f>+'s1'!AF47</f>
        <v>0</v>
      </c>
      <c r="C46" s="2">
        <f>+'s1'!AG47</f>
        <v>0</v>
      </c>
      <c r="D46" s="2">
        <f>+'s1'!AH47</f>
        <v>0</v>
      </c>
      <c r="E46" s="2">
        <f>+'s1'!AI47</f>
        <v>0</v>
      </c>
      <c r="F46" s="2">
        <f>+'s1'!AJ47</f>
        <v>13777.4</v>
      </c>
      <c r="G46" s="2">
        <f>+'s1'!AK47</f>
        <v>0</v>
      </c>
      <c r="H46" s="2">
        <f>+'s1'!AL47</f>
        <v>0</v>
      </c>
      <c r="I46" s="2">
        <f>+'s1'!AM47</f>
        <v>0</v>
      </c>
      <c r="J46" s="2">
        <f>+'s1'!AN47</f>
        <v>0</v>
      </c>
      <c r="K46" s="2">
        <f>+'s1'!AO47</f>
        <v>0</v>
      </c>
      <c r="L46" s="2">
        <f>+'s1'!AP47</f>
        <v>0</v>
      </c>
      <c r="M46" s="2">
        <f>+'s1'!AQ47</f>
        <v>0</v>
      </c>
      <c r="N46" s="2">
        <f>+'s1'!AR47</f>
        <v>0</v>
      </c>
      <c r="O46" s="2">
        <f>+'s1'!AS47</f>
        <v>0</v>
      </c>
      <c r="P46" s="2">
        <f>+'s1'!AT47</f>
        <v>0</v>
      </c>
      <c r="Q46" s="2">
        <f>+'s1'!AU47</f>
        <v>0</v>
      </c>
      <c r="R46" s="2">
        <f>+'s1'!AV47</f>
        <v>0</v>
      </c>
      <c r="S46" s="2">
        <f>SUM(B46:R46)</f>
        <v>13777.4</v>
      </c>
      <c r="T46" s="2"/>
    </row>
    <row r="47" spans="1:20" x14ac:dyDescent="0.2">
      <c r="A47" s="18" t="s">
        <v>723</v>
      </c>
      <c r="B47" s="2">
        <f>+'s1'!AF48</f>
        <v>0</v>
      </c>
      <c r="C47" s="2">
        <f>+'s1'!AG48</f>
        <v>0</v>
      </c>
      <c r="D47" s="2">
        <f>+'s1'!AH48</f>
        <v>0</v>
      </c>
      <c r="E47" s="2">
        <f>+'s1'!AI48</f>
        <v>0</v>
      </c>
      <c r="F47" s="2">
        <f>+'s1'!AJ48</f>
        <v>0</v>
      </c>
      <c r="G47" s="2">
        <f>+'s1'!AK48</f>
        <v>0</v>
      </c>
      <c r="H47" s="2">
        <f>+'s1'!AL48</f>
        <v>0</v>
      </c>
      <c r="I47" s="2">
        <f>+'s1'!AM48</f>
        <v>0</v>
      </c>
      <c r="J47" s="2">
        <f>+'s1'!AN48</f>
        <v>0</v>
      </c>
      <c r="K47" s="2">
        <f>+'s1'!AO48</f>
        <v>0</v>
      </c>
      <c r="L47" s="2">
        <f>+'s1'!AP48</f>
        <v>0</v>
      </c>
      <c r="M47" s="2">
        <f>+'s1'!AQ48</f>
        <v>0</v>
      </c>
      <c r="N47" s="2">
        <f>+'s1'!AR48</f>
        <v>0</v>
      </c>
      <c r="O47" s="2">
        <f>+'s1'!AS48</f>
        <v>0</v>
      </c>
      <c r="P47" s="2">
        <f>+'s1'!AT48</f>
        <v>0</v>
      </c>
      <c r="Q47" s="2">
        <f>+'s1'!AU48</f>
        <v>0</v>
      </c>
      <c r="R47" s="2">
        <f>+'s1'!AV48</f>
        <v>30300.34</v>
      </c>
      <c r="S47" s="2">
        <f>SUM(B47:R47)</f>
        <v>30300.34</v>
      </c>
      <c r="T47" s="1"/>
    </row>
    <row r="48" spans="1:20" x14ac:dyDescent="0.2">
      <c r="A48" s="18" t="s">
        <v>142</v>
      </c>
      <c r="B48" s="2">
        <f>+'s1'!AF49</f>
        <v>0</v>
      </c>
      <c r="C48" s="2">
        <f>+'s1'!AG49</f>
        <v>0</v>
      </c>
      <c r="D48" s="2">
        <f>+'s1'!AH49</f>
        <v>0</v>
      </c>
      <c r="E48" s="2">
        <f>+'s1'!AI49</f>
        <v>0</v>
      </c>
      <c r="F48" s="2">
        <f>+'s1'!AJ49</f>
        <v>0</v>
      </c>
      <c r="G48" s="2">
        <f>+'s1'!AK49</f>
        <v>0</v>
      </c>
      <c r="H48" s="2">
        <f>+'s1'!AL49</f>
        <v>0</v>
      </c>
      <c r="I48" s="2">
        <f>+'s1'!AM49</f>
        <v>0</v>
      </c>
      <c r="J48" s="2">
        <f>+'s1'!AN49</f>
        <v>0</v>
      </c>
      <c r="K48" s="2">
        <f>+'s1'!AO49</f>
        <v>0</v>
      </c>
      <c r="L48" s="2">
        <f>+'s1'!AP49</f>
        <v>0</v>
      </c>
      <c r="M48" s="2">
        <f>+'s1'!AQ49</f>
        <v>0</v>
      </c>
      <c r="N48" s="2">
        <f>+'s1'!AR49</f>
        <v>4561.9799999999996</v>
      </c>
      <c r="O48" s="2">
        <f>+'s1'!AS49</f>
        <v>0</v>
      </c>
      <c r="P48" s="2">
        <f>+'s1'!AT49</f>
        <v>0</v>
      </c>
      <c r="Q48" s="2">
        <f>+'s1'!AU49</f>
        <v>0</v>
      </c>
      <c r="R48" s="2">
        <f>+'s1'!AV49</f>
        <v>0</v>
      </c>
      <c r="S48" s="2">
        <f t="shared" si="0"/>
        <v>4561.9799999999996</v>
      </c>
      <c r="T48" s="1"/>
    </row>
    <row r="49" spans="1:20" s="20" customFormat="1" x14ac:dyDescent="0.2">
      <c r="A49" s="1" t="s">
        <v>434</v>
      </c>
      <c r="B49" s="2">
        <f>+'s1'!AF50</f>
        <v>0</v>
      </c>
      <c r="C49" s="2">
        <f>+'s1'!AG50</f>
        <v>0</v>
      </c>
      <c r="D49" s="2">
        <f>+'s1'!AH50</f>
        <v>238618.57</v>
      </c>
      <c r="E49" s="2">
        <f>+'s1'!AI50</f>
        <v>0</v>
      </c>
      <c r="F49" s="2">
        <f>+'s1'!AJ50</f>
        <v>0</v>
      </c>
      <c r="G49" s="2">
        <f>+'s1'!AK50</f>
        <v>0</v>
      </c>
      <c r="H49" s="2">
        <f>+'s1'!AL50</f>
        <v>0</v>
      </c>
      <c r="I49" s="2">
        <f>+'s1'!AM50</f>
        <v>0</v>
      </c>
      <c r="J49" s="2">
        <f>+'s1'!AN50</f>
        <v>0</v>
      </c>
      <c r="K49" s="2">
        <f>+'s1'!AO50</f>
        <v>0</v>
      </c>
      <c r="L49" s="2">
        <f>+'s1'!AP50</f>
        <v>0</v>
      </c>
      <c r="M49" s="2">
        <f>+'s1'!AQ50</f>
        <v>0</v>
      </c>
      <c r="N49" s="2">
        <f>+'s1'!AR50</f>
        <v>2389.98</v>
      </c>
      <c r="O49" s="2">
        <f>+'s1'!AS50</f>
        <v>0</v>
      </c>
      <c r="P49" s="2">
        <f>+'s1'!AT50</f>
        <v>0</v>
      </c>
      <c r="Q49" s="2">
        <f>+'s1'!AU50</f>
        <v>0</v>
      </c>
      <c r="R49" s="2">
        <f>+'s1'!AV50</f>
        <v>0</v>
      </c>
      <c r="S49" s="2">
        <f t="shared" si="0"/>
        <v>241008.55</v>
      </c>
      <c r="T49" s="78"/>
    </row>
    <row r="50" spans="1:20" x14ac:dyDescent="0.2">
      <c r="A50" s="18" t="s">
        <v>495</v>
      </c>
      <c r="B50" s="2">
        <f>+'s1'!AF51</f>
        <v>0</v>
      </c>
      <c r="C50" s="2">
        <f>+'s1'!AG51</f>
        <v>0</v>
      </c>
      <c r="D50" s="2">
        <f>+'s1'!AH51</f>
        <v>0</v>
      </c>
      <c r="E50" s="2">
        <f>+'s1'!AI51</f>
        <v>0</v>
      </c>
      <c r="F50" s="2">
        <f>+'s1'!AJ51</f>
        <v>0</v>
      </c>
      <c r="G50" s="2">
        <f>+'s1'!AK51</f>
        <v>0</v>
      </c>
      <c r="H50" s="2">
        <f>+'s1'!AL51</f>
        <v>0</v>
      </c>
      <c r="I50" s="2">
        <f>+'s1'!AM51</f>
        <v>0</v>
      </c>
      <c r="J50" s="2">
        <f>+'s1'!AN51</f>
        <v>0</v>
      </c>
      <c r="K50" s="2">
        <f>+'s1'!AO51</f>
        <v>0</v>
      </c>
      <c r="L50" s="2">
        <f>+'s1'!AP51</f>
        <v>0</v>
      </c>
      <c r="M50" s="2">
        <f>+'s1'!AQ51</f>
        <v>0</v>
      </c>
      <c r="N50" s="2">
        <f>+'s1'!AR51</f>
        <v>4030.47</v>
      </c>
      <c r="O50" s="2">
        <f>+'s1'!AS51</f>
        <v>0</v>
      </c>
      <c r="P50" s="2">
        <f>+'s1'!AT51</f>
        <v>0</v>
      </c>
      <c r="Q50" s="2">
        <f>+'s1'!AU51</f>
        <v>0</v>
      </c>
      <c r="R50" s="2">
        <f>+'s1'!AV51</f>
        <v>0</v>
      </c>
      <c r="S50" s="2">
        <f t="shared" si="0"/>
        <v>4030.47</v>
      </c>
      <c r="T50" s="2"/>
    </row>
    <row r="51" spans="1:20" s="20" customFormat="1" x14ac:dyDescent="0.2">
      <c r="A51" s="18" t="s">
        <v>604</v>
      </c>
      <c r="B51" s="2">
        <f>+'s1'!AF52</f>
        <v>0</v>
      </c>
      <c r="C51" s="2">
        <f>+'s1'!AG52</f>
        <v>355.27</v>
      </c>
      <c r="D51" s="2">
        <f>+'s1'!AH52</f>
        <v>14296.6</v>
      </c>
      <c r="E51" s="2">
        <f>+'s1'!AI52</f>
        <v>0</v>
      </c>
      <c r="F51" s="2">
        <f>+'s1'!AJ52</f>
        <v>4380.13</v>
      </c>
      <c r="G51" s="2">
        <f>+'s1'!AK52</f>
        <v>0</v>
      </c>
      <c r="H51" s="2">
        <f>+'s1'!AL52</f>
        <v>0</v>
      </c>
      <c r="I51" s="2">
        <f>+'s1'!AM52</f>
        <v>471.78</v>
      </c>
      <c r="J51" s="2">
        <f>+'s1'!AN52</f>
        <v>0</v>
      </c>
      <c r="K51" s="2">
        <f>+'s1'!AO52</f>
        <v>0</v>
      </c>
      <c r="L51" s="2">
        <f>+'s1'!AP52</f>
        <v>0</v>
      </c>
      <c r="M51" s="2">
        <f>+'s1'!AQ52</f>
        <v>0</v>
      </c>
      <c r="N51" s="2">
        <f>+'s1'!AR52</f>
        <v>0</v>
      </c>
      <c r="O51" s="2">
        <f>+'s1'!AS52</f>
        <v>0</v>
      </c>
      <c r="P51" s="2">
        <f>+'s1'!AT52</f>
        <v>0</v>
      </c>
      <c r="Q51" s="2">
        <f>+'s1'!AU52</f>
        <v>0</v>
      </c>
      <c r="R51" s="2">
        <f>+'s1'!AV52</f>
        <v>0</v>
      </c>
      <c r="S51" s="2">
        <f t="shared" si="0"/>
        <v>19503.78</v>
      </c>
      <c r="T51" s="78"/>
    </row>
    <row r="52" spans="1:20" x14ac:dyDescent="0.2">
      <c r="A52" s="7" t="s">
        <v>352</v>
      </c>
      <c r="B52" s="2">
        <f>+'s1'!AF53</f>
        <v>0</v>
      </c>
      <c r="C52" s="2">
        <f>+'s1'!AG53</f>
        <v>0</v>
      </c>
      <c r="D52" s="2">
        <f>+'s1'!AH53</f>
        <v>0</v>
      </c>
      <c r="E52" s="2">
        <f>+'s1'!AI53</f>
        <v>0</v>
      </c>
      <c r="F52" s="2">
        <f>+'s1'!AJ53</f>
        <v>0</v>
      </c>
      <c r="G52" s="2">
        <f>+'s1'!AK53</f>
        <v>121.25</v>
      </c>
      <c r="H52" s="2">
        <f>+'s1'!AL53</f>
        <v>0</v>
      </c>
      <c r="I52" s="2">
        <f>+'s1'!AM53</f>
        <v>0</v>
      </c>
      <c r="J52" s="2">
        <f>+'s1'!AN53</f>
        <v>0</v>
      </c>
      <c r="K52" s="2">
        <f>+'s1'!AO53</f>
        <v>0</v>
      </c>
      <c r="L52" s="2">
        <f>+'s1'!AP53</f>
        <v>0</v>
      </c>
      <c r="M52" s="2">
        <f>+'s1'!AQ53</f>
        <v>933.6</v>
      </c>
      <c r="N52" s="2">
        <f>+'s1'!AR53</f>
        <v>3730.35</v>
      </c>
      <c r="O52" s="2">
        <f>+'s1'!AS53</f>
        <v>0</v>
      </c>
      <c r="P52" s="2">
        <f>+'s1'!AT53</f>
        <v>0</v>
      </c>
      <c r="Q52" s="2">
        <f>+'s1'!AU53</f>
        <v>0</v>
      </c>
      <c r="R52" s="2">
        <f>+'s1'!AV53</f>
        <v>3603.06</v>
      </c>
      <c r="S52" s="2">
        <f t="shared" si="0"/>
        <v>8388.26</v>
      </c>
      <c r="T52" s="2"/>
    </row>
    <row r="53" spans="1:20" x14ac:dyDescent="0.2">
      <c r="A53" s="7" t="s">
        <v>435</v>
      </c>
      <c r="B53" s="2">
        <f>+'s1'!AF54</f>
        <v>0</v>
      </c>
      <c r="C53" s="2">
        <f>+'s1'!AG54</f>
        <v>0</v>
      </c>
      <c r="D53" s="2">
        <f>+'s1'!AH54</f>
        <v>0</v>
      </c>
      <c r="E53" s="2">
        <f>+'s1'!AI54</f>
        <v>0</v>
      </c>
      <c r="F53" s="2">
        <f>+'s1'!AJ54</f>
        <v>0</v>
      </c>
      <c r="G53" s="2">
        <f>+'s1'!AK54</f>
        <v>0</v>
      </c>
      <c r="H53" s="2">
        <f>+'s1'!AL54</f>
        <v>0</v>
      </c>
      <c r="I53" s="2">
        <f>+'s1'!AM54</f>
        <v>1337.73</v>
      </c>
      <c r="J53" s="2">
        <f>+'s1'!AN54</f>
        <v>0</v>
      </c>
      <c r="K53" s="2">
        <f>+'s1'!AO54</f>
        <v>0</v>
      </c>
      <c r="L53" s="2">
        <f>+'s1'!AP54</f>
        <v>0</v>
      </c>
      <c r="M53" s="2">
        <f>+'s1'!AQ54</f>
        <v>0</v>
      </c>
      <c r="N53" s="2">
        <f>+'s1'!AR54</f>
        <v>0</v>
      </c>
      <c r="O53" s="2">
        <f>+'s1'!AS54</f>
        <v>0</v>
      </c>
      <c r="P53" s="2">
        <f>+'s1'!AT54</f>
        <v>0</v>
      </c>
      <c r="Q53" s="2">
        <f>+'s1'!AU54</f>
        <v>0</v>
      </c>
      <c r="R53" s="2">
        <f>+'s1'!AV54</f>
        <v>0</v>
      </c>
      <c r="S53" s="2">
        <f t="shared" si="0"/>
        <v>1337.73</v>
      </c>
      <c r="T53" s="2"/>
    </row>
    <row r="54" spans="1:20" s="20" customFormat="1" x14ac:dyDescent="0.2">
      <c r="A54" s="1" t="s">
        <v>47</v>
      </c>
      <c r="B54" s="2">
        <f>+'s1'!AF55</f>
        <v>0</v>
      </c>
      <c r="C54" s="2">
        <f>+'s1'!AG55</f>
        <v>0</v>
      </c>
      <c r="D54" s="2">
        <f>+'s1'!AH55</f>
        <v>0</v>
      </c>
      <c r="E54" s="2">
        <f>+'s1'!AI55</f>
        <v>0</v>
      </c>
      <c r="F54" s="2">
        <f>+'s1'!AJ55</f>
        <v>2596.7600000000002</v>
      </c>
      <c r="G54" s="2">
        <f>+'s1'!AK55</f>
        <v>0</v>
      </c>
      <c r="H54" s="2">
        <f>+'s1'!AL55</f>
        <v>0</v>
      </c>
      <c r="I54" s="2">
        <f>+'s1'!AM55</f>
        <v>2013.78</v>
      </c>
      <c r="J54" s="2">
        <f>+'s1'!AN55</f>
        <v>0</v>
      </c>
      <c r="K54" s="2">
        <f>+'s1'!AO55</f>
        <v>0</v>
      </c>
      <c r="L54" s="2">
        <f>+'s1'!AP55</f>
        <v>0</v>
      </c>
      <c r="M54" s="2">
        <f>+'s1'!AQ55</f>
        <v>0</v>
      </c>
      <c r="N54" s="2">
        <f>+'s1'!AR55</f>
        <v>0</v>
      </c>
      <c r="O54" s="2">
        <f>+'s1'!AS55</f>
        <v>0</v>
      </c>
      <c r="P54" s="2">
        <f>+'s1'!AT55</f>
        <v>0</v>
      </c>
      <c r="Q54" s="2">
        <f>+'s1'!AU55</f>
        <v>0</v>
      </c>
      <c r="R54" s="2">
        <f>+'s1'!AV55</f>
        <v>0</v>
      </c>
      <c r="S54" s="2">
        <f t="shared" si="0"/>
        <v>4610.54</v>
      </c>
      <c r="T54" s="78"/>
    </row>
    <row r="55" spans="1:20" s="20" customFormat="1" x14ac:dyDescent="0.2">
      <c r="A55" s="18" t="s">
        <v>48</v>
      </c>
      <c r="B55" s="2">
        <f>+'s1'!AF56</f>
        <v>0</v>
      </c>
      <c r="C55" s="2">
        <f>+'s1'!AG56</f>
        <v>0</v>
      </c>
      <c r="D55" s="2">
        <f>+'s1'!AH56</f>
        <v>150643.04</v>
      </c>
      <c r="E55" s="2">
        <f>+'s1'!AI56</f>
        <v>0</v>
      </c>
      <c r="F55" s="2">
        <f>+'s1'!AJ56</f>
        <v>1897.28</v>
      </c>
      <c r="G55" s="2">
        <f>+'s1'!AK56</f>
        <v>0</v>
      </c>
      <c r="H55" s="2">
        <f>+'s1'!AL56</f>
        <v>1097.25</v>
      </c>
      <c r="I55" s="2">
        <f>+'s1'!AM56</f>
        <v>3325.85</v>
      </c>
      <c r="J55" s="2">
        <f>+'s1'!AN56</f>
        <v>460.14</v>
      </c>
      <c r="K55" s="2">
        <f>+'s1'!AO56</f>
        <v>2991.94</v>
      </c>
      <c r="L55" s="2">
        <f>+'s1'!AP56</f>
        <v>0</v>
      </c>
      <c r="M55" s="2">
        <f>+'s1'!AQ56</f>
        <v>0</v>
      </c>
      <c r="N55" s="2">
        <f>+'s1'!AR56</f>
        <v>0</v>
      </c>
      <c r="O55" s="2">
        <f>+'s1'!AS56</f>
        <v>614.22</v>
      </c>
      <c r="P55" s="2">
        <f>+'s1'!AT56</f>
        <v>0</v>
      </c>
      <c r="Q55" s="2">
        <f>+'s1'!AU56</f>
        <v>1076.57</v>
      </c>
      <c r="R55" s="2">
        <f>+'s1'!AV56</f>
        <v>0</v>
      </c>
      <c r="S55" s="2">
        <f t="shared" si="0"/>
        <v>162106.29</v>
      </c>
      <c r="T55" s="78"/>
    </row>
    <row r="56" spans="1:20" s="20" customFormat="1" x14ac:dyDescent="0.2">
      <c r="A56" s="1" t="s">
        <v>49</v>
      </c>
      <c r="B56" s="2">
        <f>+'s1'!AF57</f>
        <v>0</v>
      </c>
      <c r="C56" s="2">
        <f>+'s1'!AG57</f>
        <v>0</v>
      </c>
      <c r="D56" s="2">
        <f>+'s1'!AH57</f>
        <v>1106727.07</v>
      </c>
      <c r="E56" s="2">
        <f>+'s1'!AI57</f>
        <v>0</v>
      </c>
      <c r="F56" s="2">
        <f>+'s1'!AJ57</f>
        <v>0</v>
      </c>
      <c r="G56" s="2">
        <f>+'s1'!AK57</f>
        <v>0</v>
      </c>
      <c r="H56" s="2">
        <f>+'s1'!AL57</f>
        <v>0</v>
      </c>
      <c r="I56" s="2">
        <f>+'s1'!AM57</f>
        <v>0</v>
      </c>
      <c r="J56" s="2">
        <f>+'s1'!AN57</f>
        <v>0</v>
      </c>
      <c r="K56" s="2">
        <f>+'s1'!AO57</f>
        <v>0</v>
      </c>
      <c r="L56" s="2">
        <f>+'s1'!AP57</f>
        <v>0</v>
      </c>
      <c r="M56" s="2">
        <f>+'s1'!AQ57</f>
        <v>0</v>
      </c>
      <c r="N56" s="2">
        <f>+'s1'!AR57</f>
        <v>12003.04</v>
      </c>
      <c r="O56" s="2">
        <f>+'s1'!AS57</f>
        <v>0</v>
      </c>
      <c r="P56" s="2">
        <f>+'s1'!AT57</f>
        <v>0</v>
      </c>
      <c r="Q56" s="2">
        <f>+'s1'!AU57</f>
        <v>0</v>
      </c>
      <c r="R56" s="2">
        <f>+'s1'!AV57</f>
        <v>0</v>
      </c>
      <c r="S56" s="2">
        <f t="shared" si="0"/>
        <v>1118730.1100000001</v>
      </c>
      <c r="T56" s="78"/>
    </row>
    <row r="57" spans="1:20" s="20" customFormat="1" x14ac:dyDescent="0.2">
      <c r="A57" s="1" t="s">
        <v>362</v>
      </c>
      <c r="B57" s="2">
        <f>+'s1'!AF58</f>
        <v>1822.3</v>
      </c>
      <c r="C57" s="2">
        <f>+'s1'!AG58</f>
        <v>0</v>
      </c>
      <c r="D57" s="2">
        <f>+'s1'!AH58</f>
        <v>432.71</v>
      </c>
      <c r="E57" s="2">
        <f>+'s1'!AI58</f>
        <v>0</v>
      </c>
      <c r="F57" s="2">
        <f>+'s1'!AJ58</f>
        <v>0</v>
      </c>
      <c r="G57" s="2">
        <f>+'s1'!AK58</f>
        <v>0</v>
      </c>
      <c r="H57" s="2">
        <f>+'s1'!AL58</f>
        <v>0</v>
      </c>
      <c r="I57" s="2">
        <f>+'s1'!AM58</f>
        <v>0</v>
      </c>
      <c r="J57" s="2">
        <f>+'s1'!AN58</f>
        <v>0</v>
      </c>
      <c r="K57" s="2">
        <f>+'s1'!AO58</f>
        <v>0</v>
      </c>
      <c r="L57" s="2">
        <f>+'s1'!AP58</f>
        <v>0</v>
      </c>
      <c r="M57" s="2">
        <f>+'s1'!AQ58</f>
        <v>0</v>
      </c>
      <c r="N57" s="2">
        <f>+'s1'!AR58</f>
        <v>0</v>
      </c>
      <c r="O57" s="2">
        <f>+'s1'!AS58</f>
        <v>0</v>
      </c>
      <c r="P57" s="2">
        <f>+'s1'!AT58</f>
        <v>0</v>
      </c>
      <c r="Q57" s="2">
        <f>+'s1'!AU58</f>
        <v>0</v>
      </c>
      <c r="R57" s="2">
        <f>+'s1'!AV58</f>
        <v>0</v>
      </c>
      <c r="S57" s="2">
        <f t="shared" si="0"/>
        <v>2255.0100000000002</v>
      </c>
      <c r="T57" s="78"/>
    </row>
    <row r="58" spans="1:20" s="20" customFormat="1" x14ac:dyDescent="0.2">
      <c r="A58" s="1" t="s">
        <v>50</v>
      </c>
      <c r="B58" s="2">
        <f>+'s1'!AF59</f>
        <v>0</v>
      </c>
      <c r="C58" s="2">
        <f>+'s1'!AG59</f>
        <v>0</v>
      </c>
      <c r="D58" s="2">
        <f>+'s1'!AH59</f>
        <v>990.75</v>
      </c>
      <c r="E58" s="2">
        <f>+'s1'!AI59</f>
        <v>0</v>
      </c>
      <c r="F58" s="2">
        <f>+'s1'!AJ59</f>
        <v>0</v>
      </c>
      <c r="G58" s="2">
        <f>+'s1'!AK59</f>
        <v>0</v>
      </c>
      <c r="H58" s="2">
        <f>+'s1'!AL59</f>
        <v>0</v>
      </c>
      <c r="I58" s="2">
        <f>+'s1'!AM59</f>
        <v>0</v>
      </c>
      <c r="J58" s="2">
        <f>+'s1'!AN59</f>
        <v>0</v>
      </c>
      <c r="K58" s="2">
        <f>+'s1'!AO59</f>
        <v>0</v>
      </c>
      <c r="L58" s="2">
        <f>+'s1'!AP59</f>
        <v>0</v>
      </c>
      <c r="M58" s="2">
        <f>+'s1'!AQ59</f>
        <v>0</v>
      </c>
      <c r="N58" s="2">
        <f>+'s1'!AR59</f>
        <v>0</v>
      </c>
      <c r="O58" s="2">
        <f>+'s1'!AS59</f>
        <v>0</v>
      </c>
      <c r="P58" s="2">
        <f>+'s1'!AT59</f>
        <v>0</v>
      </c>
      <c r="Q58" s="2">
        <f>+'s1'!AU59</f>
        <v>0</v>
      </c>
      <c r="R58" s="2">
        <f>+'s1'!AV59</f>
        <v>0</v>
      </c>
      <c r="S58" s="2">
        <f t="shared" si="0"/>
        <v>990.75</v>
      </c>
      <c r="T58" s="78"/>
    </row>
    <row r="59" spans="1:20" s="20" customFormat="1" x14ac:dyDescent="0.2">
      <c r="A59" s="1" t="s">
        <v>354</v>
      </c>
      <c r="B59" s="2">
        <f>+'s1'!AF60</f>
        <v>3044.13</v>
      </c>
      <c r="C59" s="2">
        <f>+'s1'!AG60</f>
        <v>1248.03</v>
      </c>
      <c r="D59" s="2">
        <f>+'s1'!AH60</f>
        <v>0</v>
      </c>
      <c r="E59" s="2">
        <f>+'s1'!AI60</f>
        <v>2520.9499999999998</v>
      </c>
      <c r="F59" s="2">
        <f>+'s1'!AJ60</f>
        <v>0</v>
      </c>
      <c r="G59" s="2">
        <f>+'s1'!AK60</f>
        <v>0</v>
      </c>
      <c r="H59" s="2">
        <f>+'s1'!AL60</f>
        <v>0</v>
      </c>
      <c r="I59" s="2">
        <f>+'s1'!AM60</f>
        <v>0</v>
      </c>
      <c r="J59" s="2">
        <f>+'s1'!AN60</f>
        <v>0</v>
      </c>
      <c r="K59" s="2">
        <f>+'s1'!AO60</f>
        <v>0</v>
      </c>
      <c r="L59" s="2">
        <f>+'s1'!AP60</f>
        <v>60.95</v>
      </c>
      <c r="M59" s="2">
        <f>+'s1'!AQ60</f>
        <v>0</v>
      </c>
      <c r="N59" s="2">
        <f>+'s1'!AR60</f>
        <v>0</v>
      </c>
      <c r="O59" s="2">
        <f>+'s1'!AS60</f>
        <v>0</v>
      </c>
      <c r="P59" s="2">
        <f>+'s1'!AT60</f>
        <v>89.81</v>
      </c>
      <c r="Q59" s="2">
        <f>+'s1'!AU60</f>
        <v>14048.06</v>
      </c>
      <c r="R59" s="2">
        <f>+'s1'!AV60</f>
        <v>0</v>
      </c>
      <c r="S59" s="2">
        <f t="shared" si="0"/>
        <v>21011.93</v>
      </c>
      <c r="T59" s="78"/>
    </row>
    <row r="60" spans="1:20" x14ac:dyDescent="0.2">
      <c r="A60" s="1" t="s">
        <v>51</v>
      </c>
      <c r="B60" s="2">
        <f>+'s1'!AF61</f>
        <v>4535.42</v>
      </c>
      <c r="C60" s="2">
        <f>+'s1'!AG61</f>
        <v>0</v>
      </c>
      <c r="D60" s="2">
        <f>+'s1'!AH61</f>
        <v>14007.13</v>
      </c>
      <c r="E60" s="2">
        <f>+'s1'!AI61</f>
        <v>0</v>
      </c>
      <c r="F60" s="2">
        <f>+'s1'!AJ61</f>
        <v>7862.42</v>
      </c>
      <c r="G60" s="2">
        <f>+'s1'!AK61</f>
        <v>0</v>
      </c>
      <c r="H60" s="2">
        <f>+'s1'!AL61</f>
        <v>0</v>
      </c>
      <c r="I60" s="2">
        <f>+'s1'!AM61</f>
        <v>547.19000000000005</v>
      </c>
      <c r="J60" s="2">
        <f>+'s1'!AN61</f>
        <v>0</v>
      </c>
      <c r="K60" s="2">
        <f>+'s1'!AO61</f>
        <v>0</v>
      </c>
      <c r="L60" s="2">
        <f>+'s1'!AP61</f>
        <v>7650.03</v>
      </c>
      <c r="M60" s="2">
        <f>+'s1'!AQ61</f>
        <v>4250.62</v>
      </c>
      <c r="N60" s="2">
        <f>+'s1'!AR61</f>
        <v>2334.75</v>
      </c>
      <c r="O60" s="2">
        <f>+'s1'!AS61</f>
        <v>0</v>
      </c>
      <c r="P60" s="2">
        <f>+'s1'!AT61</f>
        <v>0</v>
      </c>
      <c r="Q60" s="2">
        <f>+'s1'!AU61</f>
        <v>92473.73</v>
      </c>
      <c r="R60" s="2">
        <f>+'s1'!AV61</f>
        <v>0</v>
      </c>
      <c r="S60" s="2">
        <f t="shared" si="0"/>
        <v>133661.29</v>
      </c>
      <c r="T60" s="2"/>
    </row>
    <row r="61" spans="1:20" x14ac:dyDescent="0.2">
      <c r="A61" s="1" t="s">
        <v>52</v>
      </c>
      <c r="B61" s="2">
        <f>+'s1'!AF62</f>
        <v>0</v>
      </c>
      <c r="C61" s="2">
        <f>+'s1'!AG62</f>
        <v>0</v>
      </c>
      <c r="D61" s="2">
        <f>+'s1'!AH62</f>
        <v>19523.599999999999</v>
      </c>
      <c r="E61" s="2">
        <f>+'s1'!AI62</f>
        <v>0</v>
      </c>
      <c r="F61" s="2">
        <f>+'s1'!AJ62</f>
        <v>0</v>
      </c>
      <c r="G61" s="2">
        <f>+'s1'!AK62</f>
        <v>0</v>
      </c>
      <c r="H61" s="2">
        <f>+'s1'!AL62</f>
        <v>0</v>
      </c>
      <c r="I61" s="2">
        <f>+'s1'!AM62</f>
        <v>0</v>
      </c>
      <c r="J61" s="2">
        <f>+'s1'!AN62</f>
        <v>0</v>
      </c>
      <c r="K61" s="2">
        <f>+'s1'!AO62</f>
        <v>1069.92</v>
      </c>
      <c r="L61" s="2">
        <f>+'s1'!AP62</f>
        <v>0</v>
      </c>
      <c r="M61" s="2">
        <f>+'s1'!AQ62</f>
        <v>0</v>
      </c>
      <c r="N61" s="2">
        <f>+'s1'!AR62</f>
        <v>0</v>
      </c>
      <c r="O61" s="2">
        <f>+'s1'!AS62</f>
        <v>0</v>
      </c>
      <c r="P61" s="2">
        <f>+'s1'!AT62</f>
        <v>0</v>
      </c>
      <c r="Q61" s="2">
        <f>+'s1'!AU62</f>
        <v>0</v>
      </c>
      <c r="R61" s="2">
        <f>+'s1'!AV62</f>
        <v>2442.88</v>
      </c>
      <c r="S61" s="2">
        <f t="shared" si="0"/>
        <v>23036.400000000001</v>
      </c>
      <c r="T61" s="1"/>
    </row>
    <row r="62" spans="1:20" x14ac:dyDescent="0.2">
      <c r="A62" s="1" t="s">
        <v>474</v>
      </c>
      <c r="B62" s="2">
        <f>+'s1'!AF63</f>
        <v>0</v>
      </c>
      <c r="C62" s="2">
        <f>+'s1'!AG63</f>
        <v>0</v>
      </c>
      <c r="D62" s="2">
        <f>+'s1'!AH63</f>
        <v>0</v>
      </c>
      <c r="E62" s="2">
        <f>+'s1'!AI63</f>
        <v>0</v>
      </c>
      <c r="F62" s="2">
        <f>+'s1'!AJ63</f>
        <v>0</v>
      </c>
      <c r="G62" s="2">
        <f>+'s1'!AK63</f>
        <v>0</v>
      </c>
      <c r="H62" s="2">
        <f>+'s1'!AL63</f>
        <v>0</v>
      </c>
      <c r="I62" s="2">
        <f>+'s1'!AM63</f>
        <v>0</v>
      </c>
      <c r="J62" s="2">
        <f>+'s1'!AN63</f>
        <v>0</v>
      </c>
      <c r="K62" s="2">
        <f>+'s1'!AO63</f>
        <v>0</v>
      </c>
      <c r="L62" s="2">
        <f>+'s1'!AP63</f>
        <v>0</v>
      </c>
      <c r="M62" s="2">
        <f>+'s1'!AQ63</f>
        <v>0</v>
      </c>
      <c r="N62" s="2">
        <f>+'s1'!AR63</f>
        <v>0</v>
      </c>
      <c r="O62" s="2">
        <f>+'s1'!AS63</f>
        <v>0</v>
      </c>
      <c r="P62" s="2">
        <f>+'s1'!AT63</f>
        <v>0</v>
      </c>
      <c r="Q62" s="2">
        <f>+'s1'!AU63</f>
        <v>0</v>
      </c>
      <c r="R62" s="2">
        <f>+'s1'!AV63</f>
        <v>489.42</v>
      </c>
      <c r="S62" s="2">
        <f t="shared" si="0"/>
        <v>489.42</v>
      </c>
      <c r="T62" s="2"/>
    </row>
    <row r="63" spans="1:20" x14ac:dyDescent="0.2">
      <c r="A63" s="1" t="s">
        <v>436</v>
      </c>
      <c r="B63" s="2">
        <f>+'s1'!AF64</f>
        <v>0</v>
      </c>
      <c r="C63" s="2">
        <f>+'s1'!AG64</f>
        <v>0</v>
      </c>
      <c r="D63" s="2">
        <f>+'s1'!AH64</f>
        <v>3651.57</v>
      </c>
      <c r="E63" s="2">
        <f>+'s1'!AI64</f>
        <v>0</v>
      </c>
      <c r="F63" s="2">
        <f>+'s1'!AJ64</f>
        <v>0</v>
      </c>
      <c r="G63" s="2">
        <f>+'s1'!AK64</f>
        <v>0</v>
      </c>
      <c r="H63" s="2">
        <f>+'s1'!AL64</f>
        <v>0</v>
      </c>
      <c r="I63" s="2">
        <f>+'s1'!AM64</f>
        <v>0</v>
      </c>
      <c r="J63" s="2">
        <f>+'s1'!AN64</f>
        <v>0</v>
      </c>
      <c r="K63" s="2">
        <f>+'s1'!AO64</f>
        <v>0</v>
      </c>
      <c r="L63" s="2">
        <f>+'s1'!AP64</f>
        <v>0</v>
      </c>
      <c r="M63" s="2">
        <f>+'s1'!AQ64</f>
        <v>0</v>
      </c>
      <c r="N63" s="2">
        <f>+'s1'!AR64</f>
        <v>0</v>
      </c>
      <c r="O63" s="2">
        <f>+'s1'!AS64</f>
        <v>0</v>
      </c>
      <c r="P63" s="2">
        <f>+'s1'!AT64</f>
        <v>0</v>
      </c>
      <c r="Q63" s="2">
        <f>+'s1'!AU64</f>
        <v>1691.5</v>
      </c>
      <c r="R63" s="2">
        <f>+'s1'!AV64</f>
        <v>0</v>
      </c>
      <c r="S63" s="2">
        <f t="shared" si="0"/>
        <v>5343.07</v>
      </c>
      <c r="T63" s="2"/>
    </row>
    <row r="64" spans="1:20" s="20" customFormat="1" x14ac:dyDescent="0.2">
      <c r="A64" s="1" t="s">
        <v>458</v>
      </c>
      <c r="B64" s="2">
        <f>+'s1'!AF65</f>
        <v>0</v>
      </c>
      <c r="C64" s="2">
        <f>+'s1'!AG65</f>
        <v>6.62</v>
      </c>
      <c r="D64" s="2">
        <f>+'s1'!AH65</f>
        <v>0</v>
      </c>
      <c r="E64" s="2">
        <f>+'s1'!AI65</f>
        <v>0</v>
      </c>
      <c r="F64" s="2">
        <f>+'s1'!AJ65</f>
        <v>0</v>
      </c>
      <c r="G64" s="2">
        <f>+'s1'!AK65</f>
        <v>0</v>
      </c>
      <c r="H64" s="2">
        <f>+'s1'!AL65</f>
        <v>0</v>
      </c>
      <c r="I64" s="2">
        <f>+'s1'!AM65</f>
        <v>0</v>
      </c>
      <c r="J64" s="2">
        <f>+'s1'!AN65</f>
        <v>0</v>
      </c>
      <c r="K64" s="2">
        <f>+'s1'!AO65</f>
        <v>0</v>
      </c>
      <c r="L64" s="2">
        <f>+'s1'!AP65</f>
        <v>3437.07</v>
      </c>
      <c r="M64" s="2">
        <f>+'s1'!AQ65</f>
        <v>0</v>
      </c>
      <c r="N64" s="2">
        <f>+'s1'!AR65</f>
        <v>0</v>
      </c>
      <c r="O64" s="2">
        <f>+'s1'!AS65</f>
        <v>0</v>
      </c>
      <c r="P64" s="2">
        <f>+'s1'!AT65</f>
        <v>0</v>
      </c>
      <c r="Q64" s="2">
        <f>+'s1'!AU65</f>
        <v>0</v>
      </c>
      <c r="R64" s="2">
        <f>+'s1'!AV65</f>
        <v>0</v>
      </c>
      <c r="S64" s="2">
        <f t="shared" si="0"/>
        <v>3443.69</v>
      </c>
      <c r="T64" s="78"/>
    </row>
    <row r="65" spans="1:20" s="20" customFormat="1" x14ac:dyDescent="0.2">
      <c r="A65" s="1" t="s">
        <v>712</v>
      </c>
      <c r="B65" s="2">
        <f>+'s1'!AF66</f>
        <v>0</v>
      </c>
      <c r="C65" s="2">
        <f>+'s1'!AG66</f>
        <v>0</v>
      </c>
      <c r="D65" s="2">
        <f>+'s1'!AH66</f>
        <v>7511.54</v>
      </c>
      <c r="E65" s="2">
        <f>+'s1'!AI66</f>
        <v>0</v>
      </c>
      <c r="F65" s="2">
        <f>+'s1'!AJ66</f>
        <v>0</v>
      </c>
      <c r="G65" s="2">
        <f>+'s1'!AK66</f>
        <v>0</v>
      </c>
      <c r="H65" s="2">
        <f>+'s1'!AL66</f>
        <v>0</v>
      </c>
      <c r="I65" s="2">
        <f>+'s1'!AM66</f>
        <v>0</v>
      </c>
      <c r="J65" s="2">
        <f>+'s1'!AN66</f>
        <v>0</v>
      </c>
      <c r="K65" s="2">
        <f>+'s1'!AO66</f>
        <v>0</v>
      </c>
      <c r="L65" s="2">
        <f>+'s1'!AP66</f>
        <v>0</v>
      </c>
      <c r="M65" s="2">
        <f>+'s1'!AQ66</f>
        <v>0</v>
      </c>
      <c r="N65" s="2">
        <f>+'s1'!AR66</f>
        <v>0</v>
      </c>
      <c r="O65" s="2">
        <f>+'s1'!AS66</f>
        <v>0</v>
      </c>
      <c r="P65" s="2">
        <f>+'s1'!AT66</f>
        <v>0</v>
      </c>
      <c r="Q65" s="2">
        <f>+'s1'!AU66</f>
        <v>0</v>
      </c>
      <c r="R65" s="2">
        <f>+'s1'!AV66</f>
        <v>0</v>
      </c>
      <c r="S65" s="2">
        <f>SUM(B65:R65)</f>
        <v>7511.54</v>
      </c>
      <c r="T65" s="18"/>
    </row>
    <row r="66" spans="1:20" s="20" customFormat="1" x14ac:dyDescent="0.2">
      <c r="A66" s="1" t="s">
        <v>725</v>
      </c>
      <c r="B66" s="2">
        <f>+'s1'!AF67</f>
        <v>0</v>
      </c>
      <c r="C66" s="2">
        <f>+'s1'!AG67</f>
        <v>0</v>
      </c>
      <c r="D66" s="2">
        <f>+'s1'!AH67</f>
        <v>0</v>
      </c>
      <c r="E66" s="2">
        <f>+'s1'!AI67</f>
        <v>0</v>
      </c>
      <c r="F66" s="2">
        <f>+'s1'!AJ67</f>
        <v>0</v>
      </c>
      <c r="G66" s="2">
        <f>+'s1'!AK67</f>
        <v>0</v>
      </c>
      <c r="H66" s="2">
        <f>+'s1'!AL67</f>
        <v>0</v>
      </c>
      <c r="I66" s="2">
        <f>+'s1'!AM67</f>
        <v>0</v>
      </c>
      <c r="J66" s="2">
        <f>+'s1'!AN67</f>
        <v>0</v>
      </c>
      <c r="K66" s="2">
        <f>+'s1'!AO67</f>
        <v>0</v>
      </c>
      <c r="L66" s="2">
        <f>+'s1'!AP67</f>
        <v>10446.76</v>
      </c>
      <c r="M66" s="2">
        <f>+'s1'!AQ67</f>
        <v>0</v>
      </c>
      <c r="N66" s="2">
        <f>+'s1'!AR67</f>
        <v>0</v>
      </c>
      <c r="O66" s="2">
        <f>+'s1'!AS67</f>
        <v>0</v>
      </c>
      <c r="P66" s="2">
        <f>+'s1'!AT67</f>
        <v>0</v>
      </c>
      <c r="Q66" s="2">
        <f>+'s1'!AU67</f>
        <v>0</v>
      </c>
      <c r="R66" s="2">
        <f>+'s1'!AV67</f>
        <v>0</v>
      </c>
      <c r="S66" s="2">
        <f>SUM(B66:R66)</f>
        <v>10446.76</v>
      </c>
      <c r="T66" s="18"/>
    </row>
    <row r="67" spans="1:20" s="20" customFormat="1" x14ac:dyDescent="0.2">
      <c r="A67" s="1" t="s">
        <v>53</v>
      </c>
      <c r="B67" s="2">
        <f>+'s1'!AF68</f>
        <v>0</v>
      </c>
      <c r="C67" s="2">
        <f>+'s1'!AG68</f>
        <v>0</v>
      </c>
      <c r="D67" s="2">
        <f>+'s1'!AH68</f>
        <v>0</v>
      </c>
      <c r="E67" s="2">
        <f>+'s1'!AI68</f>
        <v>234.14</v>
      </c>
      <c r="F67" s="2">
        <f>+'s1'!AJ68</f>
        <v>0</v>
      </c>
      <c r="G67" s="2">
        <f>+'s1'!AK68</f>
        <v>0</v>
      </c>
      <c r="H67" s="2">
        <f>+'s1'!AL68</f>
        <v>0</v>
      </c>
      <c r="I67" s="2">
        <f>+'s1'!AM68</f>
        <v>0</v>
      </c>
      <c r="J67" s="2">
        <f>+'s1'!AN68</f>
        <v>0</v>
      </c>
      <c r="K67" s="2">
        <f>+'s1'!AO68</f>
        <v>0</v>
      </c>
      <c r="L67" s="2">
        <f>+'s1'!AP68</f>
        <v>43.84</v>
      </c>
      <c r="M67" s="2">
        <f>+'s1'!AQ68</f>
        <v>0</v>
      </c>
      <c r="N67" s="2">
        <f>+'s1'!AR68</f>
        <v>0</v>
      </c>
      <c r="O67" s="2">
        <f>+'s1'!AS68</f>
        <v>0</v>
      </c>
      <c r="P67" s="2">
        <f>+'s1'!AT68</f>
        <v>0</v>
      </c>
      <c r="Q67" s="2">
        <f>+'s1'!AU68</f>
        <v>0</v>
      </c>
      <c r="R67" s="2">
        <f>+'s1'!AV68</f>
        <v>0</v>
      </c>
      <c r="S67" s="2">
        <f t="shared" si="0"/>
        <v>277.98</v>
      </c>
      <c r="T67" s="18"/>
    </row>
    <row r="68" spans="1:20" x14ac:dyDescent="0.2">
      <c r="A68" s="1" t="s">
        <v>54</v>
      </c>
      <c r="B68" s="2">
        <f>+'s1'!AF69</f>
        <v>0</v>
      </c>
      <c r="C68" s="2">
        <f>+'s1'!AG69</f>
        <v>0</v>
      </c>
      <c r="D68" s="2">
        <f>+'s1'!AH69</f>
        <v>0</v>
      </c>
      <c r="E68" s="2">
        <f>+'s1'!AI69</f>
        <v>2539.69</v>
      </c>
      <c r="F68" s="2">
        <f>+'s1'!AJ69</f>
        <v>0</v>
      </c>
      <c r="G68" s="2">
        <f>+'s1'!AK69</f>
        <v>0</v>
      </c>
      <c r="H68" s="2">
        <f>+'s1'!AL69</f>
        <v>0</v>
      </c>
      <c r="I68" s="2">
        <f>+'s1'!AM69</f>
        <v>0</v>
      </c>
      <c r="J68" s="2">
        <f>+'s1'!AN69</f>
        <v>0</v>
      </c>
      <c r="K68" s="2">
        <f>+'s1'!AO69</f>
        <v>0</v>
      </c>
      <c r="L68" s="2">
        <f>+'s1'!AP69</f>
        <v>0</v>
      </c>
      <c r="M68" s="2">
        <f>+'s1'!AQ69</f>
        <v>0</v>
      </c>
      <c r="N68" s="2">
        <f>+'s1'!AR69</f>
        <v>0</v>
      </c>
      <c r="O68" s="2">
        <f>+'s1'!AS69</f>
        <v>0</v>
      </c>
      <c r="P68" s="2">
        <f>+'s1'!AT69</f>
        <v>0</v>
      </c>
      <c r="Q68" s="2">
        <f>+'s1'!AU69</f>
        <v>4542.92</v>
      </c>
      <c r="R68" s="2">
        <f>+'s1'!AV69</f>
        <v>0</v>
      </c>
      <c r="S68" s="2">
        <f t="shared" si="0"/>
        <v>7082.61</v>
      </c>
      <c r="T68" s="1"/>
    </row>
    <row r="69" spans="1:20" s="20" customFormat="1" x14ac:dyDescent="0.2">
      <c r="A69" s="1" t="s">
        <v>55</v>
      </c>
      <c r="B69" s="2">
        <f>+'s1'!AF70</f>
        <v>0</v>
      </c>
      <c r="C69" s="2">
        <f>+'s1'!AG70</f>
        <v>0</v>
      </c>
      <c r="D69" s="2">
        <f>+'s1'!AH70</f>
        <v>0</v>
      </c>
      <c r="E69" s="2">
        <f>+'s1'!AI70</f>
        <v>0</v>
      </c>
      <c r="F69" s="2">
        <f>+'s1'!AJ70</f>
        <v>0</v>
      </c>
      <c r="G69" s="2">
        <f>+'s1'!AK70</f>
        <v>0</v>
      </c>
      <c r="H69" s="2">
        <f>+'s1'!AL70</f>
        <v>0</v>
      </c>
      <c r="I69" s="2">
        <f>+'s1'!AM70</f>
        <v>0</v>
      </c>
      <c r="J69" s="2">
        <f>+'s1'!AN70</f>
        <v>0</v>
      </c>
      <c r="K69" s="2">
        <f>+'s1'!AO70</f>
        <v>0</v>
      </c>
      <c r="L69" s="2">
        <f>+'s1'!AP70</f>
        <v>0</v>
      </c>
      <c r="M69" s="2">
        <f>+'s1'!AQ70</f>
        <v>0</v>
      </c>
      <c r="N69" s="2">
        <f>+'s1'!AR70</f>
        <v>0</v>
      </c>
      <c r="O69" s="2">
        <f>+'s1'!AS70</f>
        <v>0</v>
      </c>
      <c r="P69" s="2">
        <f>+'s1'!AT70</f>
        <v>0</v>
      </c>
      <c r="Q69" s="2">
        <f>+'s1'!AU70</f>
        <v>0</v>
      </c>
      <c r="R69" s="2">
        <f>+'s1'!AV70</f>
        <v>3189.93</v>
      </c>
      <c r="S69" s="2">
        <f t="shared" si="0"/>
        <v>3189.93</v>
      </c>
      <c r="T69" s="18"/>
    </row>
    <row r="70" spans="1:20" x14ac:dyDescent="0.2">
      <c r="A70" s="1" t="s">
        <v>221</v>
      </c>
      <c r="B70" s="2">
        <f>+'s1'!AF71</f>
        <v>0</v>
      </c>
      <c r="C70" s="2">
        <f>+'s1'!AG71</f>
        <v>0</v>
      </c>
      <c r="D70" s="2">
        <f>+'s1'!AH71</f>
        <v>8.1999999999999993</v>
      </c>
      <c r="E70" s="2">
        <f>+'s1'!AI71</f>
        <v>0</v>
      </c>
      <c r="F70" s="2">
        <f>+'s1'!AJ71</f>
        <v>0</v>
      </c>
      <c r="G70" s="2">
        <f>+'s1'!AK71</f>
        <v>0</v>
      </c>
      <c r="H70" s="2">
        <f>+'s1'!AL71</f>
        <v>0</v>
      </c>
      <c r="I70" s="2">
        <f>+'s1'!AM71</f>
        <v>0</v>
      </c>
      <c r="J70" s="2">
        <f>+'s1'!AN71</f>
        <v>0</v>
      </c>
      <c r="K70" s="2">
        <f>+'s1'!AO71</f>
        <v>0</v>
      </c>
      <c r="L70" s="2">
        <f>+'s1'!AP71</f>
        <v>0</v>
      </c>
      <c r="M70" s="2">
        <f>+'s1'!AQ71</f>
        <v>0</v>
      </c>
      <c r="N70" s="2">
        <f>+'s1'!AR71</f>
        <v>0</v>
      </c>
      <c r="O70" s="2">
        <f>+'s1'!AS71</f>
        <v>0</v>
      </c>
      <c r="P70" s="2">
        <f>+'s1'!AT71</f>
        <v>0</v>
      </c>
      <c r="Q70" s="2">
        <f>+'s1'!AU71</f>
        <v>0</v>
      </c>
      <c r="R70" s="2">
        <f>+'s1'!AV71</f>
        <v>0</v>
      </c>
      <c r="S70" s="2">
        <f>SUM(B70:R70)</f>
        <v>8.1999999999999993</v>
      </c>
      <c r="T70" s="1"/>
    </row>
    <row r="71" spans="1:20" s="20" customFormat="1" x14ac:dyDescent="0.2">
      <c r="A71" s="18" t="s">
        <v>486</v>
      </c>
      <c r="B71" s="2">
        <f>+'s1'!AF72</f>
        <v>5.29</v>
      </c>
      <c r="C71" s="2">
        <f>+'s1'!AG72</f>
        <v>0</v>
      </c>
      <c r="D71" s="2">
        <f>+'s1'!AH72</f>
        <v>0</v>
      </c>
      <c r="E71" s="2">
        <f>+'s1'!AI72</f>
        <v>0</v>
      </c>
      <c r="F71" s="2">
        <f>+'s1'!AJ72</f>
        <v>0</v>
      </c>
      <c r="G71" s="2">
        <f>+'s1'!AK72</f>
        <v>0</v>
      </c>
      <c r="H71" s="2">
        <f>+'s1'!AL72</f>
        <v>0</v>
      </c>
      <c r="I71" s="2">
        <f>+'s1'!AM72</f>
        <v>0</v>
      </c>
      <c r="J71" s="2">
        <f>+'s1'!AN72</f>
        <v>0</v>
      </c>
      <c r="K71" s="2">
        <f>+'s1'!AO72</f>
        <v>0</v>
      </c>
      <c r="L71" s="2">
        <f>+'s1'!AP72</f>
        <v>0</v>
      </c>
      <c r="M71" s="2">
        <f>+'s1'!AQ72</f>
        <v>0</v>
      </c>
      <c r="N71" s="2">
        <f>+'s1'!AR72</f>
        <v>0</v>
      </c>
      <c r="O71" s="2">
        <f>+'s1'!AS72</f>
        <v>0</v>
      </c>
      <c r="P71" s="2">
        <f>+'s1'!AT72</f>
        <v>0</v>
      </c>
      <c r="Q71" s="2">
        <f>+'s1'!AU72</f>
        <v>0</v>
      </c>
      <c r="R71" s="2">
        <f>+'s1'!AV72</f>
        <v>0</v>
      </c>
      <c r="S71" s="2">
        <f>SUM(B71:R71)</f>
        <v>5.29</v>
      </c>
      <c r="T71" s="78"/>
    </row>
    <row r="72" spans="1:20" s="20" customFormat="1" x14ac:dyDescent="0.2">
      <c r="A72" s="18" t="s">
        <v>56</v>
      </c>
      <c r="B72" s="2">
        <f>+'s1'!AF73</f>
        <v>0</v>
      </c>
      <c r="C72" s="2">
        <f>+'s1'!AG73</f>
        <v>0</v>
      </c>
      <c r="D72" s="2">
        <f>+'s1'!AH73</f>
        <v>0</v>
      </c>
      <c r="E72" s="2">
        <f>+'s1'!AI73</f>
        <v>21.56</v>
      </c>
      <c r="F72" s="2">
        <f>+'s1'!AJ73</f>
        <v>0</v>
      </c>
      <c r="G72" s="2">
        <f>+'s1'!AK73</f>
        <v>0</v>
      </c>
      <c r="H72" s="2">
        <f>+'s1'!AL73</f>
        <v>0</v>
      </c>
      <c r="I72" s="2">
        <f>+'s1'!AM73</f>
        <v>0</v>
      </c>
      <c r="J72" s="2">
        <f>+'s1'!AN73</f>
        <v>0</v>
      </c>
      <c r="K72" s="2">
        <f>+'s1'!AO73</f>
        <v>0</v>
      </c>
      <c r="L72" s="2">
        <f>+'s1'!AP73</f>
        <v>81.59</v>
      </c>
      <c r="M72" s="2">
        <f>+'s1'!AQ73</f>
        <v>0</v>
      </c>
      <c r="N72" s="2">
        <f>+'s1'!AR73</f>
        <v>0</v>
      </c>
      <c r="O72" s="2">
        <f>+'s1'!AS73</f>
        <v>0</v>
      </c>
      <c r="P72" s="2">
        <f>+'s1'!AT73</f>
        <v>63.11</v>
      </c>
      <c r="Q72" s="2">
        <f>+'s1'!AU73</f>
        <v>1938.02</v>
      </c>
      <c r="R72" s="2">
        <f>+'s1'!AV73</f>
        <v>0</v>
      </c>
      <c r="S72" s="2">
        <f t="shared" si="0"/>
        <v>2104.2800000000002</v>
      </c>
      <c r="T72" s="78"/>
    </row>
    <row r="73" spans="1:20" x14ac:dyDescent="0.2">
      <c r="A73" s="1" t="s">
        <v>726</v>
      </c>
      <c r="B73" s="2">
        <f>+'s1'!AF74</f>
        <v>0</v>
      </c>
      <c r="C73" s="2">
        <f>+'s1'!AG74</f>
        <v>0</v>
      </c>
      <c r="D73" s="2">
        <f>+'s1'!AH74</f>
        <v>152041.01</v>
      </c>
      <c r="E73" s="2">
        <f>+'s1'!AI74</f>
        <v>0</v>
      </c>
      <c r="F73" s="2">
        <f>+'s1'!AJ74</f>
        <v>0</v>
      </c>
      <c r="G73" s="2">
        <f>+'s1'!AK74</f>
        <v>0</v>
      </c>
      <c r="H73" s="2">
        <f>+'s1'!AL74</f>
        <v>0</v>
      </c>
      <c r="I73" s="2">
        <f>+'s1'!AM74</f>
        <v>0</v>
      </c>
      <c r="J73" s="2">
        <f>+'s1'!AN74</f>
        <v>0</v>
      </c>
      <c r="K73" s="2">
        <f>+'s1'!AO74</f>
        <v>2007.12</v>
      </c>
      <c r="L73" s="2">
        <f>+'s1'!AP74</f>
        <v>0</v>
      </c>
      <c r="M73" s="2">
        <f>+'s1'!AQ74</f>
        <v>0</v>
      </c>
      <c r="N73" s="2">
        <f>+'s1'!AR74</f>
        <v>4093.38</v>
      </c>
      <c r="O73" s="2">
        <f>+'s1'!AS74</f>
        <v>0</v>
      </c>
      <c r="P73" s="2">
        <f>+'s1'!AT74</f>
        <v>0</v>
      </c>
      <c r="Q73" s="2">
        <f>+'s1'!AU74</f>
        <v>0</v>
      </c>
      <c r="R73" s="2">
        <f>+'s1'!AV74</f>
        <v>0</v>
      </c>
      <c r="S73" s="2">
        <f>SUM(B73:R73)</f>
        <v>158141.51</v>
      </c>
      <c r="T73" s="2"/>
    </row>
    <row r="74" spans="1:20" x14ac:dyDescent="0.2">
      <c r="A74" s="1" t="s">
        <v>437</v>
      </c>
      <c r="B74" s="2">
        <f>+'s1'!AF75</f>
        <v>0</v>
      </c>
      <c r="C74" s="2">
        <f>+'s1'!AG75</f>
        <v>0</v>
      </c>
      <c r="D74" s="2">
        <f>+'s1'!AH75</f>
        <v>10320.19</v>
      </c>
      <c r="E74" s="2">
        <f>+'s1'!AI75</f>
        <v>0</v>
      </c>
      <c r="F74" s="2">
        <f>+'s1'!AJ75</f>
        <v>0</v>
      </c>
      <c r="G74" s="2">
        <f>+'s1'!AK75</f>
        <v>0</v>
      </c>
      <c r="H74" s="2">
        <f>+'s1'!AL75</f>
        <v>0</v>
      </c>
      <c r="I74" s="2">
        <f>+'s1'!AM75</f>
        <v>0</v>
      </c>
      <c r="J74" s="2">
        <f>+'s1'!AN75</f>
        <v>0</v>
      </c>
      <c r="K74" s="2">
        <f>+'s1'!AO75</f>
        <v>0</v>
      </c>
      <c r="L74" s="2">
        <f>+'s1'!AP75</f>
        <v>0</v>
      </c>
      <c r="M74" s="2">
        <f>+'s1'!AQ75</f>
        <v>0</v>
      </c>
      <c r="N74" s="2">
        <f>+'s1'!AR75</f>
        <v>0</v>
      </c>
      <c r="O74" s="2">
        <f>+'s1'!AS75</f>
        <v>0</v>
      </c>
      <c r="P74" s="2">
        <f>+'s1'!AT75</f>
        <v>0</v>
      </c>
      <c r="Q74" s="2">
        <f>+'s1'!AU75</f>
        <v>10915.28</v>
      </c>
      <c r="R74" s="2">
        <f>+'s1'!AV75</f>
        <v>0</v>
      </c>
      <c r="S74" s="2">
        <f t="shared" si="0"/>
        <v>21235.47</v>
      </c>
      <c r="T74" s="2"/>
    </row>
    <row r="75" spans="1:20" s="20" customFormat="1" x14ac:dyDescent="0.2">
      <c r="A75" s="1" t="s">
        <v>57</v>
      </c>
      <c r="B75" s="2">
        <f>+'s1'!AF76</f>
        <v>0</v>
      </c>
      <c r="C75" s="2">
        <f>+'s1'!AG76</f>
        <v>0</v>
      </c>
      <c r="D75" s="2">
        <f>+'s1'!AH76</f>
        <v>117322.23</v>
      </c>
      <c r="E75" s="2">
        <f>+'s1'!AI76</f>
        <v>0</v>
      </c>
      <c r="F75" s="2">
        <f>+'s1'!AJ76</f>
        <v>0</v>
      </c>
      <c r="G75" s="2">
        <f>+'s1'!AK76</f>
        <v>0</v>
      </c>
      <c r="H75" s="2">
        <f>+'s1'!AL76</f>
        <v>0</v>
      </c>
      <c r="I75" s="2">
        <f>+'s1'!AM76</f>
        <v>0</v>
      </c>
      <c r="J75" s="2">
        <f>+'s1'!AN76</f>
        <v>0</v>
      </c>
      <c r="K75" s="2">
        <f>+'s1'!AO76</f>
        <v>0</v>
      </c>
      <c r="L75" s="2">
        <f>+'s1'!AP76</f>
        <v>0</v>
      </c>
      <c r="M75" s="2">
        <f>+'s1'!AQ76</f>
        <v>0</v>
      </c>
      <c r="N75" s="2">
        <f>+'s1'!AR76</f>
        <v>0</v>
      </c>
      <c r="O75" s="2">
        <f>+'s1'!AS76</f>
        <v>0</v>
      </c>
      <c r="P75" s="2">
        <f>+'s1'!AT76</f>
        <v>0</v>
      </c>
      <c r="Q75" s="2">
        <f>+'s1'!AU76</f>
        <v>0</v>
      </c>
      <c r="R75" s="2">
        <f>+'s1'!AV76</f>
        <v>0</v>
      </c>
      <c r="S75" s="2">
        <f t="shared" si="0"/>
        <v>117322.23</v>
      </c>
      <c r="T75" s="78"/>
    </row>
    <row r="76" spans="1:20" s="20" customFormat="1" x14ac:dyDescent="0.2">
      <c r="A76" s="1" t="s">
        <v>438</v>
      </c>
      <c r="B76" s="2">
        <f>+'s1'!AF77</f>
        <v>0</v>
      </c>
      <c r="C76" s="2">
        <f>+'s1'!AG77</f>
        <v>0</v>
      </c>
      <c r="D76" s="2">
        <f>+'s1'!AH77</f>
        <v>15173.31</v>
      </c>
      <c r="E76" s="2">
        <f>+'s1'!AI77</f>
        <v>0</v>
      </c>
      <c r="F76" s="2">
        <f>+'s1'!AJ77</f>
        <v>8003.35</v>
      </c>
      <c r="G76" s="2">
        <f>+'s1'!AK77</f>
        <v>0</v>
      </c>
      <c r="H76" s="2">
        <f>+'s1'!AL77</f>
        <v>0</v>
      </c>
      <c r="I76" s="2">
        <f>+'s1'!AM77</f>
        <v>0</v>
      </c>
      <c r="J76" s="2">
        <f>+'s1'!AN77</f>
        <v>0</v>
      </c>
      <c r="K76" s="2">
        <f>+'s1'!AO77</f>
        <v>0</v>
      </c>
      <c r="L76" s="2">
        <f>+'s1'!AP77</f>
        <v>12088.43</v>
      </c>
      <c r="M76" s="2">
        <f>+'s1'!AQ77</f>
        <v>0</v>
      </c>
      <c r="N76" s="2">
        <f>+'s1'!AR77</f>
        <v>0</v>
      </c>
      <c r="O76" s="2">
        <f>+'s1'!AS77</f>
        <v>0</v>
      </c>
      <c r="P76" s="2">
        <f>+'s1'!AT77</f>
        <v>0</v>
      </c>
      <c r="Q76" s="2">
        <f>+'s1'!AU77</f>
        <v>0</v>
      </c>
      <c r="R76" s="2">
        <f>+'s1'!AV77</f>
        <v>0</v>
      </c>
      <c r="S76" s="2">
        <f t="shared" si="0"/>
        <v>35265.089999999997</v>
      </c>
      <c r="T76" s="78"/>
    </row>
    <row r="77" spans="1:20" x14ac:dyDescent="0.2">
      <c r="A77" s="1" t="s">
        <v>439</v>
      </c>
      <c r="B77" s="2">
        <f>+'s1'!AF78</f>
        <v>0</v>
      </c>
      <c r="C77" s="2">
        <f>+'s1'!AG78</f>
        <v>0</v>
      </c>
      <c r="D77" s="2">
        <f>+'s1'!AH78</f>
        <v>1775.91</v>
      </c>
      <c r="E77" s="2">
        <f>+'s1'!AI78</f>
        <v>0</v>
      </c>
      <c r="F77" s="2">
        <f>+'s1'!AJ78</f>
        <v>0</v>
      </c>
      <c r="G77" s="2">
        <f>+'s1'!AK78</f>
        <v>0</v>
      </c>
      <c r="H77" s="2">
        <f>+'s1'!AL78</f>
        <v>0</v>
      </c>
      <c r="I77" s="2">
        <f>+'s1'!AM78</f>
        <v>0</v>
      </c>
      <c r="J77" s="2">
        <f>+'s1'!AN78</f>
        <v>0</v>
      </c>
      <c r="K77" s="2">
        <f>+'s1'!AO78</f>
        <v>0</v>
      </c>
      <c r="L77" s="2">
        <f>+'s1'!AP78</f>
        <v>0</v>
      </c>
      <c r="M77" s="2">
        <f>+'s1'!AQ78</f>
        <v>0</v>
      </c>
      <c r="N77" s="2">
        <f>+'s1'!AR78</f>
        <v>0</v>
      </c>
      <c r="O77" s="2">
        <f>+'s1'!AS78</f>
        <v>0</v>
      </c>
      <c r="P77" s="2">
        <f>+'s1'!AT78</f>
        <v>0</v>
      </c>
      <c r="Q77" s="2">
        <f>+'s1'!AU78</f>
        <v>687.87</v>
      </c>
      <c r="R77" s="2">
        <f>+'s1'!AV78</f>
        <v>0</v>
      </c>
      <c r="S77" s="2">
        <f t="shared" si="0"/>
        <v>2463.7800000000002</v>
      </c>
      <c r="T77" s="2"/>
    </row>
    <row r="78" spans="1:20" x14ac:dyDescent="0.2">
      <c r="A78" s="1" t="s">
        <v>355</v>
      </c>
      <c r="B78" s="2">
        <f>+'s1'!AF79</f>
        <v>0</v>
      </c>
      <c r="C78" s="2">
        <f>+'s1'!AG79</f>
        <v>0</v>
      </c>
      <c r="D78" s="2">
        <f>+'s1'!AH79</f>
        <v>2988.75</v>
      </c>
      <c r="E78" s="2">
        <f>+'s1'!AI79</f>
        <v>0</v>
      </c>
      <c r="F78" s="2">
        <f>+'s1'!AJ79</f>
        <v>0</v>
      </c>
      <c r="G78" s="2">
        <f>+'s1'!AK79</f>
        <v>0</v>
      </c>
      <c r="H78" s="2">
        <f>+'s1'!AL79</f>
        <v>0</v>
      </c>
      <c r="I78" s="2">
        <f>+'s1'!AM79</f>
        <v>0</v>
      </c>
      <c r="J78" s="2">
        <f>+'s1'!AN79</f>
        <v>0</v>
      </c>
      <c r="K78" s="2">
        <f>+'s1'!AO79</f>
        <v>0</v>
      </c>
      <c r="L78" s="2">
        <f>+'s1'!AP79</f>
        <v>0</v>
      </c>
      <c r="M78" s="2">
        <f>+'s1'!AQ79</f>
        <v>0</v>
      </c>
      <c r="N78" s="2">
        <f>+'s1'!AR79</f>
        <v>3299.46</v>
      </c>
      <c r="O78" s="2">
        <f>+'s1'!AS79</f>
        <v>0</v>
      </c>
      <c r="P78" s="2">
        <f>+'s1'!AT79</f>
        <v>0</v>
      </c>
      <c r="Q78" s="2">
        <f>+'s1'!AU79</f>
        <v>0</v>
      </c>
      <c r="R78" s="2">
        <f>+'s1'!AV79</f>
        <v>0</v>
      </c>
      <c r="S78" s="2">
        <f t="shared" si="0"/>
        <v>6288.21</v>
      </c>
      <c r="T78" s="1"/>
    </row>
    <row r="79" spans="1:20" s="20" customFormat="1" x14ac:dyDescent="0.2">
      <c r="A79" s="1" t="s">
        <v>606</v>
      </c>
      <c r="B79" s="2">
        <f>+'s1'!AF80</f>
        <v>0</v>
      </c>
      <c r="C79" s="2">
        <f>+'s1'!AG80</f>
        <v>0</v>
      </c>
      <c r="D79" s="2">
        <f>+'s1'!AH80</f>
        <v>0</v>
      </c>
      <c r="E79" s="2">
        <f>+'s1'!AI80</f>
        <v>0</v>
      </c>
      <c r="F79" s="2">
        <f>+'s1'!AJ80</f>
        <v>0</v>
      </c>
      <c r="G79" s="2">
        <f>+'s1'!AK80</f>
        <v>0</v>
      </c>
      <c r="H79" s="2">
        <f>+'s1'!AL80</f>
        <v>0</v>
      </c>
      <c r="I79" s="2">
        <f>+'s1'!AM80</f>
        <v>0</v>
      </c>
      <c r="J79" s="2">
        <f>+'s1'!AN80</f>
        <v>0</v>
      </c>
      <c r="K79" s="2">
        <f>+'s1'!AO80</f>
        <v>0</v>
      </c>
      <c r="L79" s="2">
        <f>+'s1'!AP80</f>
        <v>0</v>
      </c>
      <c r="M79" s="2">
        <f>+'s1'!AQ80</f>
        <v>0</v>
      </c>
      <c r="N79" s="2">
        <f>+'s1'!AR80</f>
        <v>0</v>
      </c>
      <c r="O79" s="2">
        <f>+'s1'!AS80</f>
        <v>0</v>
      </c>
      <c r="P79" s="2">
        <f>+'s1'!AT80</f>
        <v>0</v>
      </c>
      <c r="Q79" s="2">
        <f>+'s1'!AU80</f>
        <v>675.32</v>
      </c>
      <c r="R79" s="2">
        <f>+'s1'!AV80</f>
        <v>0</v>
      </c>
      <c r="S79" s="2">
        <f t="shared" si="0"/>
        <v>675.32</v>
      </c>
      <c r="T79" s="18"/>
    </row>
    <row r="80" spans="1:20" x14ac:dyDescent="0.2">
      <c r="A80" s="18" t="s">
        <v>440</v>
      </c>
      <c r="B80" s="2">
        <f>+'s1'!AF81</f>
        <v>22206.639999999999</v>
      </c>
      <c r="C80" s="2">
        <f>+'s1'!AG81</f>
        <v>0</v>
      </c>
      <c r="D80" s="2">
        <f>+'s1'!AH81</f>
        <v>0</v>
      </c>
      <c r="E80" s="2">
        <f>+'s1'!AI81</f>
        <v>0</v>
      </c>
      <c r="F80" s="2">
        <f>+'s1'!AJ81</f>
        <v>0</v>
      </c>
      <c r="G80" s="2">
        <f>+'s1'!AK81</f>
        <v>0</v>
      </c>
      <c r="H80" s="2">
        <f>+'s1'!AL81</f>
        <v>0</v>
      </c>
      <c r="I80" s="2">
        <f>+'s1'!AM81</f>
        <v>0</v>
      </c>
      <c r="J80" s="2">
        <f>+'s1'!AN81</f>
        <v>0</v>
      </c>
      <c r="K80" s="2">
        <f>+'s1'!AO81</f>
        <v>0</v>
      </c>
      <c r="L80" s="2">
        <f>+'s1'!AP81</f>
        <v>0</v>
      </c>
      <c r="M80" s="2">
        <f>+'s1'!AQ81</f>
        <v>0</v>
      </c>
      <c r="N80" s="2">
        <f>+'s1'!AR81</f>
        <v>0</v>
      </c>
      <c r="O80" s="2">
        <f>+'s1'!AS81</f>
        <v>0</v>
      </c>
      <c r="P80" s="2">
        <f>+'s1'!AT81</f>
        <v>0</v>
      </c>
      <c r="Q80" s="2">
        <f>+'s1'!AU81</f>
        <v>92296.36</v>
      </c>
      <c r="R80" s="2">
        <f>+'s1'!AV81</f>
        <v>0</v>
      </c>
      <c r="S80" s="2">
        <f t="shared" si="0"/>
        <v>114503</v>
      </c>
      <c r="T80" s="1"/>
    </row>
    <row r="81" spans="1:20" s="20" customFormat="1" x14ac:dyDescent="0.2">
      <c r="A81" s="18" t="s">
        <v>58</v>
      </c>
      <c r="B81" s="2">
        <f>+'s1'!AF82</f>
        <v>0</v>
      </c>
      <c r="C81" s="2">
        <f>+'s1'!AG82</f>
        <v>0</v>
      </c>
      <c r="D81" s="2">
        <f>+'s1'!AH82</f>
        <v>672355.04</v>
      </c>
      <c r="E81" s="2">
        <f>+'s1'!AI82</f>
        <v>0</v>
      </c>
      <c r="F81" s="2">
        <f>+'s1'!AJ82</f>
        <v>0</v>
      </c>
      <c r="G81" s="2">
        <f>+'s1'!AK82</f>
        <v>150.41</v>
      </c>
      <c r="H81" s="2">
        <f>+'s1'!AL82</f>
        <v>0</v>
      </c>
      <c r="I81" s="2">
        <f>+'s1'!AM82</f>
        <v>0</v>
      </c>
      <c r="J81" s="2">
        <f>+'s1'!AN82</f>
        <v>178.78</v>
      </c>
      <c r="K81" s="2">
        <f>+'s1'!AO82</f>
        <v>98</v>
      </c>
      <c r="L81" s="2">
        <f>+'s1'!AP82</f>
        <v>0</v>
      </c>
      <c r="M81" s="2">
        <f>+'s1'!AQ82</f>
        <v>0</v>
      </c>
      <c r="N81" s="2">
        <f>+'s1'!AR82</f>
        <v>15373.26</v>
      </c>
      <c r="O81" s="2">
        <f>+'s1'!AS82</f>
        <v>0</v>
      </c>
      <c r="P81" s="2">
        <f>+'s1'!AT82</f>
        <v>0</v>
      </c>
      <c r="Q81" s="2">
        <f>+'s1'!AU82</f>
        <v>0</v>
      </c>
      <c r="R81" s="2">
        <f>+'s1'!AV82</f>
        <v>0</v>
      </c>
      <c r="S81" s="2">
        <f t="shared" si="0"/>
        <v>688155.49</v>
      </c>
      <c r="T81" s="78"/>
    </row>
    <row r="82" spans="1:20" x14ac:dyDescent="0.2">
      <c r="A82" s="1" t="s">
        <v>59</v>
      </c>
      <c r="B82" s="2">
        <f>+'s1'!AF83</f>
        <v>0</v>
      </c>
      <c r="C82" s="2">
        <f>+'s1'!AG83</f>
        <v>0</v>
      </c>
      <c r="D82" s="2">
        <f>+'s1'!AH83</f>
        <v>0</v>
      </c>
      <c r="E82" s="2">
        <f>+'s1'!AI83</f>
        <v>0</v>
      </c>
      <c r="F82" s="2">
        <f>+'s1'!AJ83</f>
        <v>2814.17</v>
      </c>
      <c r="G82" s="2">
        <f>+'s1'!AK83</f>
        <v>0</v>
      </c>
      <c r="H82" s="2">
        <f>+'s1'!AL83</f>
        <v>0</v>
      </c>
      <c r="I82" s="2">
        <f>+'s1'!AM83</f>
        <v>578.94000000000005</v>
      </c>
      <c r="J82" s="2">
        <f>+'s1'!AN83</f>
        <v>0</v>
      </c>
      <c r="K82" s="2">
        <f>+'s1'!AO83</f>
        <v>2336.2399999999998</v>
      </c>
      <c r="L82" s="2">
        <f>+'s1'!AP83</f>
        <v>0</v>
      </c>
      <c r="M82" s="2">
        <f>+'s1'!AQ83</f>
        <v>0</v>
      </c>
      <c r="N82" s="2">
        <f>+'s1'!AR83</f>
        <v>0</v>
      </c>
      <c r="O82" s="2">
        <f>+'s1'!AS83</f>
        <v>0</v>
      </c>
      <c r="P82" s="2">
        <f>+'s1'!AT83</f>
        <v>0</v>
      </c>
      <c r="Q82" s="2">
        <f>+'s1'!AU83</f>
        <v>0</v>
      </c>
      <c r="R82" s="2">
        <f>+'s1'!AV83</f>
        <v>16139.72</v>
      </c>
      <c r="S82" s="2">
        <f t="shared" si="0"/>
        <v>21869.07</v>
      </c>
      <c r="T82" s="2"/>
    </row>
    <row r="83" spans="1:20" x14ac:dyDescent="0.2">
      <c r="A83" s="1" t="s">
        <v>460</v>
      </c>
      <c r="B83" s="2">
        <f>+'s1'!AF84</f>
        <v>0</v>
      </c>
      <c r="C83" s="2">
        <f>+'s1'!AG84</f>
        <v>0</v>
      </c>
      <c r="D83" s="2">
        <f>+'s1'!AH84</f>
        <v>0</v>
      </c>
      <c r="E83" s="2">
        <f>+'s1'!AI84</f>
        <v>0</v>
      </c>
      <c r="F83" s="2">
        <f>+'s1'!AJ84</f>
        <v>0</v>
      </c>
      <c r="G83" s="2">
        <f>+'s1'!AK84</f>
        <v>0</v>
      </c>
      <c r="H83" s="2">
        <f>+'s1'!AL84</f>
        <v>0</v>
      </c>
      <c r="I83" s="2">
        <f>+'s1'!AM84</f>
        <v>0</v>
      </c>
      <c r="J83" s="2">
        <f>+'s1'!AN84</f>
        <v>0</v>
      </c>
      <c r="K83" s="2">
        <f>+'s1'!AO84</f>
        <v>0</v>
      </c>
      <c r="L83" s="2">
        <f>+'s1'!AP84</f>
        <v>0</v>
      </c>
      <c r="M83" s="2">
        <f>+'s1'!AQ84</f>
        <v>0</v>
      </c>
      <c r="N83" s="2">
        <f>+'s1'!AR84</f>
        <v>0</v>
      </c>
      <c r="O83" s="2">
        <f>+'s1'!AS84</f>
        <v>0</v>
      </c>
      <c r="P83" s="2">
        <f>+'s1'!AT84</f>
        <v>0</v>
      </c>
      <c r="Q83" s="2">
        <f>+'s1'!AU84</f>
        <v>767.34</v>
      </c>
      <c r="R83" s="2">
        <f>+'s1'!AV84</f>
        <v>0</v>
      </c>
      <c r="S83" s="2">
        <f t="shared" ref="S83:S106" si="1">SUM(B83:R83)</f>
        <v>767.34</v>
      </c>
      <c r="T83" s="2"/>
    </row>
    <row r="84" spans="1:20" s="20" customFormat="1" x14ac:dyDescent="0.2">
      <c r="A84" s="18" t="s">
        <v>60</v>
      </c>
      <c r="B84" s="2">
        <f>+'s1'!AF85</f>
        <v>28356.04</v>
      </c>
      <c r="C84" s="2">
        <f>+'s1'!AG85</f>
        <v>0</v>
      </c>
      <c r="D84" s="2">
        <f>+'s1'!AH85</f>
        <v>202601.75</v>
      </c>
      <c r="E84" s="2">
        <f>+'s1'!AI85</f>
        <v>6822.41</v>
      </c>
      <c r="F84" s="2">
        <f>+'s1'!AJ85</f>
        <v>0</v>
      </c>
      <c r="G84" s="2">
        <f>+'s1'!AK85</f>
        <v>158.05000000000001</v>
      </c>
      <c r="H84" s="2">
        <f>+'s1'!AL85</f>
        <v>0</v>
      </c>
      <c r="I84" s="2">
        <f>+'s1'!AM85</f>
        <v>0</v>
      </c>
      <c r="J84" s="2">
        <f>+'s1'!AN85</f>
        <v>0</v>
      </c>
      <c r="K84" s="2">
        <f>+'s1'!AO85</f>
        <v>0</v>
      </c>
      <c r="L84" s="2">
        <f>+'s1'!AP85</f>
        <v>12932.68</v>
      </c>
      <c r="M84" s="2">
        <f>+'s1'!AQ85</f>
        <v>177.63</v>
      </c>
      <c r="N84" s="2">
        <f>+'s1'!AR85</f>
        <v>1609.24</v>
      </c>
      <c r="O84" s="2">
        <f>+'s1'!AS85</f>
        <v>2605.34</v>
      </c>
      <c r="P84" s="2">
        <f>+'s1'!AT85</f>
        <v>0</v>
      </c>
      <c r="Q84" s="2">
        <f>+'s1'!AU85</f>
        <v>66692.08</v>
      </c>
      <c r="R84" s="2">
        <f>+'s1'!AV85</f>
        <v>0</v>
      </c>
      <c r="S84" s="2">
        <f t="shared" si="1"/>
        <v>321955.21999999997</v>
      </c>
      <c r="T84" s="78"/>
    </row>
    <row r="85" spans="1:20" s="20" customFormat="1" x14ac:dyDescent="0.2">
      <c r="A85" s="1" t="s">
        <v>461</v>
      </c>
      <c r="B85" s="2">
        <f>+'s1'!AF86</f>
        <v>0</v>
      </c>
      <c r="C85" s="2">
        <f>+'s1'!AG86</f>
        <v>23.2</v>
      </c>
      <c r="D85" s="2">
        <f>+'s1'!AH86</f>
        <v>0</v>
      </c>
      <c r="E85" s="2">
        <f>+'s1'!AI86</f>
        <v>32.46</v>
      </c>
      <c r="F85" s="2">
        <f>+'s1'!AJ86</f>
        <v>0</v>
      </c>
      <c r="G85" s="2">
        <f>+'s1'!AK86</f>
        <v>0</v>
      </c>
      <c r="H85" s="2">
        <f>+'s1'!AL86</f>
        <v>0</v>
      </c>
      <c r="I85" s="2">
        <f>+'s1'!AM86</f>
        <v>0</v>
      </c>
      <c r="J85" s="2">
        <f>+'s1'!AN86</f>
        <v>0</v>
      </c>
      <c r="K85" s="2">
        <f>+'s1'!AO86</f>
        <v>0</v>
      </c>
      <c r="L85" s="2">
        <f>+'s1'!AP86</f>
        <v>5195.6899999999996</v>
      </c>
      <c r="M85" s="2">
        <f>+'s1'!AQ86</f>
        <v>0</v>
      </c>
      <c r="N85" s="2">
        <f>+'s1'!AR86</f>
        <v>0</v>
      </c>
      <c r="O85" s="2">
        <f>+'s1'!AS86</f>
        <v>0</v>
      </c>
      <c r="P85" s="2">
        <f>+'s1'!AT86</f>
        <v>0</v>
      </c>
      <c r="Q85" s="2">
        <f>+'s1'!AU86</f>
        <v>10.85</v>
      </c>
      <c r="R85" s="2">
        <f>+'s1'!AV86</f>
        <v>0</v>
      </c>
      <c r="S85" s="2">
        <f t="shared" si="1"/>
        <v>5262.2</v>
      </c>
      <c r="T85" s="18"/>
    </row>
    <row r="86" spans="1:20" s="20" customFormat="1" x14ac:dyDescent="0.2">
      <c r="A86" s="18" t="s">
        <v>61</v>
      </c>
      <c r="B86" s="2">
        <f>+'s1'!AF87</f>
        <v>0</v>
      </c>
      <c r="C86" s="2">
        <f>+'s1'!AG87</f>
        <v>0</v>
      </c>
      <c r="D86" s="2">
        <f>+'s1'!AH87</f>
        <v>0</v>
      </c>
      <c r="E86" s="2">
        <f>+'s1'!AI87</f>
        <v>0</v>
      </c>
      <c r="F86" s="2">
        <f>+'s1'!AJ87</f>
        <v>0</v>
      </c>
      <c r="G86" s="2">
        <f>+'s1'!AK87</f>
        <v>0</v>
      </c>
      <c r="H86" s="2">
        <f>+'s1'!AL87</f>
        <v>0</v>
      </c>
      <c r="I86" s="2">
        <f>+'s1'!AM87</f>
        <v>4683.33</v>
      </c>
      <c r="J86" s="2">
        <f>+'s1'!AN87</f>
        <v>0</v>
      </c>
      <c r="K86" s="2">
        <f>+'s1'!AO87</f>
        <v>0</v>
      </c>
      <c r="L86" s="2">
        <f>+'s1'!AP87</f>
        <v>0</v>
      </c>
      <c r="M86" s="2">
        <f>+'s1'!AQ87</f>
        <v>0</v>
      </c>
      <c r="N86" s="2">
        <f>+'s1'!AR87</f>
        <v>0</v>
      </c>
      <c r="O86" s="2">
        <f>+'s1'!AS87</f>
        <v>232.14</v>
      </c>
      <c r="P86" s="2">
        <f>+'s1'!AT87</f>
        <v>0</v>
      </c>
      <c r="Q86" s="2">
        <f>+'s1'!AU87</f>
        <v>0</v>
      </c>
      <c r="R86" s="2">
        <f>+'s1'!AV87</f>
        <v>0</v>
      </c>
      <c r="S86" s="2">
        <f t="shared" si="1"/>
        <v>4915.47</v>
      </c>
      <c r="T86" s="18"/>
    </row>
    <row r="87" spans="1:20" s="20" customFormat="1" x14ac:dyDescent="0.2">
      <c r="A87" s="1" t="s">
        <v>62</v>
      </c>
      <c r="B87" s="2">
        <f>+'s1'!AF88</f>
        <v>0</v>
      </c>
      <c r="C87" s="2">
        <f>+'s1'!AG88</f>
        <v>0</v>
      </c>
      <c r="D87" s="2">
        <f>+'s1'!AH88</f>
        <v>0</v>
      </c>
      <c r="E87" s="2">
        <f>+'s1'!AI88</f>
        <v>0</v>
      </c>
      <c r="F87" s="2">
        <f>+'s1'!AJ88</f>
        <v>0</v>
      </c>
      <c r="G87" s="2">
        <f>+'s1'!AK88</f>
        <v>0</v>
      </c>
      <c r="H87" s="2">
        <f>+'s1'!AL88</f>
        <v>0</v>
      </c>
      <c r="I87" s="2">
        <f>+'s1'!AM88</f>
        <v>0</v>
      </c>
      <c r="J87" s="2">
        <f>+'s1'!AN88</f>
        <v>0</v>
      </c>
      <c r="K87" s="2">
        <f>+'s1'!AO88</f>
        <v>158.80000000000001</v>
      </c>
      <c r="L87" s="2">
        <f>+'s1'!AP88</f>
        <v>0</v>
      </c>
      <c r="M87" s="2">
        <f>+'s1'!AQ88</f>
        <v>0</v>
      </c>
      <c r="N87" s="2">
        <f>+'s1'!AR88</f>
        <v>0</v>
      </c>
      <c r="O87" s="2">
        <f>+'s1'!AS88</f>
        <v>0</v>
      </c>
      <c r="P87" s="2">
        <f>+'s1'!AT88</f>
        <v>0</v>
      </c>
      <c r="Q87" s="2">
        <f>+'s1'!AU88</f>
        <v>0</v>
      </c>
      <c r="R87" s="2">
        <f>+'s1'!AV88</f>
        <v>0</v>
      </c>
      <c r="S87" s="2">
        <f t="shared" si="1"/>
        <v>158.80000000000001</v>
      </c>
      <c r="T87" s="18"/>
    </row>
    <row r="88" spans="1:20" s="20" customFormat="1" x14ac:dyDescent="0.2">
      <c r="A88" s="1" t="s">
        <v>63</v>
      </c>
      <c r="B88" s="2">
        <f>+'s1'!AF89</f>
        <v>0</v>
      </c>
      <c r="C88" s="2">
        <f>+'s1'!AG89</f>
        <v>0</v>
      </c>
      <c r="D88" s="2">
        <f>+'s1'!AH89</f>
        <v>0</v>
      </c>
      <c r="E88" s="2">
        <f>+'s1'!AI89</f>
        <v>0</v>
      </c>
      <c r="F88" s="2">
        <f>+'s1'!AJ89</f>
        <v>0</v>
      </c>
      <c r="G88" s="2">
        <f>+'s1'!AK89</f>
        <v>0</v>
      </c>
      <c r="H88" s="2">
        <f>+'s1'!AL89</f>
        <v>0</v>
      </c>
      <c r="I88" s="2">
        <f>+'s1'!AM89</f>
        <v>1708.61</v>
      </c>
      <c r="J88" s="2">
        <f>+'s1'!AN89</f>
        <v>0</v>
      </c>
      <c r="K88" s="2">
        <f>+'s1'!AO89</f>
        <v>0</v>
      </c>
      <c r="L88" s="2">
        <f>+'s1'!AP89</f>
        <v>0</v>
      </c>
      <c r="M88" s="2">
        <f>+'s1'!AQ89</f>
        <v>0</v>
      </c>
      <c r="N88" s="2">
        <f>+'s1'!AR89</f>
        <v>0</v>
      </c>
      <c r="O88" s="2">
        <f>+'s1'!AS89</f>
        <v>92.96</v>
      </c>
      <c r="P88" s="2">
        <f>+'s1'!AT89</f>
        <v>0</v>
      </c>
      <c r="Q88" s="2">
        <f>+'s1'!AU89</f>
        <v>0</v>
      </c>
      <c r="R88" s="2">
        <f>+'s1'!AV89</f>
        <v>0</v>
      </c>
      <c r="S88" s="2">
        <f t="shared" si="1"/>
        <v>1801.57</v>
      </c>
      <c r="T88" s="78"/>
    </row>
    <row r="89" spans="1:20" s="20" customFormat="1" x14ac:dyDescent="0.2">
      <c r="A89" s="18" t="s">
        <v>64</v>
      </c>
      <c r="B89" s="2">
        <f>+'s1'!AF90</f>
        <v>0</v>
      </c>
      <c r="C89" s="2">
        <f>+'s1'!AG90</f>
        <v>0</v>
      </c>
      <c r="D89" s="2">
        <f>+'s1'!AH90</f>
        <v>168.64</v>
      </c>
      <c r="E89" s="2">
        <f>+'s1'!AI90</f>
        <v>0</v>
      </c>
      <c r="F89" s="2">
        <f>+'s1'!AJ90</f>
        <v>0</v>
      </c>
      <c r="G89" s="2">
        <f>+'s1'!AK90</f>
        <v>0</v>
      </c>
      <c r="H89" s="2">
        <f>+'s1'!AL90</f>
        <v>0</v>
      </c>
      <c r="I89" s="2">
        <f>+'s1'!AM90</f>
        <v>0</v>
      </c>
      <c r="J89" s="2">
        <f>+'s1'!AN90</f>
        <v>0</v>
      </c>
      <c r="K89" s="2">
        <f>+'s1'!AO90</f>
        <v>0</v>
      </c>
      <c r="L89" s="2">
        <f>+'s1'!AP90</f>
        <v>0</v>
      </c>
      <c r="M89" s="2">
        <f>+'s1'!AQ90</f>
        <v>0</v>
      </c>
      <c r="N89" s="2">
        <f>+'s1'!AR90</f>
        <v>0</v>
      </c>
      <c r="O89" s="2">
        <f>+'s1'!AS90</f>
        <v>0</v>
      </c>
      <c r="P89" s="2">
        <f>+'s1'!AT90</f>
        <v>0</v>
      </c>
      <c r="Q89" s="2">
        <f>+'s1'!AU90</f>
        <v>0</v>
      </c>
      <c r="R89" s="2">
        <f>+'s1'!AV90</f>
        <v>0</v>
      </c>
      <c r="S89" s="2">
        <f t="shared" si="1"/>
        <v>168.64</v>
      </c>
      <c r="T89" s="78"/>
    </row>
    <row r="90" spans="1:20" s="20" customFormat="1" x14ac:dyDescent="0.2">
      <c r="A90" s="18" t="s">
        <v>569</v>
      </c>
      <c r="B90" s="2">
        <f>+'s1'!AF91</f>
        <v>0</v>
      </c>
      <c r="C90" s="2">
        <f>+'s1'!AG91</f>
        <v>0</v>
      </c>
      <c r="D90" s="2">
        <f>+'s1'!AH91</f>
        <v>0</v>
      </c>
      <c r="E90" s="2">
        <f>+'s1'!AI91</f>
        <v>0</v>
      </c>
      <c r="F90" s="2">
        <f>+'s1'!AJ91</f>
        <v>0</v>
      </c>
      <c r="G90" s="2">
        <f>+'s1'!AK91</f>
        <v>0</v>
      </c>
      <c r="H90" s="2">
        <f>+'s1'!AL91</f>
        <v>1129.3499999999999</v>
      </c>
      <c r="I90" s="2">
        <f>+'s1'!AM91</f>
        <v>0</v>
      </c>
      <c r="J90" s="2">
        <f>+'s1'!AN91</f>
        <v>0</v>
      </c>
      <c r="K90" s="2">
        <f>+'s1'!AO91</f>
        <v>0</v>
      </c>
      <c r="L90" s="2">
        <f>+'s1'!AP91</f>
        <v>0</v>
      </c>
      <c r="M90" s="2">
        <f>+'s1'!AQ91</f>
        <v>0</v>
      </c>
      <c r="N90" s="2">
        <f>+'s1'!AR91</f>
        <v>0</v>
      </c>
      <c r="O90" s="2">
        <f>+'s1'!AS91</f>
        <v>0</v>
      </c>
      <c r="P90" s="2">
        <f>+'s1'!AT91</f>
        <v>0</v>
      </c>
      <c r="Q90" s="2">
        <f>+'s1'!AU91</f>
        <v>0</v>
      </c>
      <c r="R90" s="2">
        <f>+'s1'!AV91</f>
        <v>0</v>
      </c>
      <c r="S90" s="2">
        <f t="shared" si="1"/>
        <v>1129.3499999999999</v>
      </c>
      <c r="T90" s="78"/>
    </row>
    <row r="91" spans="1:20" s="20" customFormat="1" x14ac:dyDescent="0.2">
      <c r="A91" s="18" t="s">
        <v>441</v>
      </c>
      <c r="B91" s="2">
        <f>+'s1'!AF92</f>
        <v>0</v>
      </c>
      <c r="C91" s="2">
        <f>+'s1'!AG92</f>
        <v>0</v>
      </c>
      <c r="D91" s="2">
        <f>+'s1'!AH92</f>
        <v>70539.63</v>
      </c>
      <c r="E91" s="2">
        <f>+'s1'!AI92</f>
        <v>0</v>
      </c>
      <c r="F91" s="2">
        <f>+'s1'!AJ92</f>
        <v>6850.98</v>
      </c>
      <c r="G91" s="2">
        <f>+'s1'!AK92</f>
        <v>0</v>
      </c>
      <c r="H91" s="2">
        <f>+'s1'!AL92</f>
        <v>0</v>
      </c>
      <c r="I91" s="2">
        <f>+'s1'!AM92</f>
        <v>0</v>
      </c>
      <c r="J91" s="2">
        <f>+'s1'!AN92</f>
        <v>0</v>
      </c>
      <c r="K91" s="2">
        <f>+'s1'!AO92</f>
        <v>0</v>
      </c>
      <c r="L91" s="2">
        <f>+'s1'!AP92</f>
        <v>21127.52</v>
      </c>
      <c r="M91" s="2">
        <f>+'s1'!AQ92</f>
        <v>0</v>
      </c>
      <c r="N91" s="2">
        <f>+'s1'!AR92</f>
        <v>7769.13</v>
      </c>
      <c r="O91" s="2">
        <f>+'s1'!AS92</f>
        <v>0</v>
      </c>
      <c r="P91" s="2">
        <f>+'s1'!AT92</f>
        <v>0</v>
      </c>
      <c r="Q91" s="2">
        <f>+'s1'!AU92</f>
        <v>0</v>
      </c>
      <c r="R91" s="2">
        <f>+'s1'!AV92</f>
        <v>0</v>
      </c>
      <c r="S91" s="2">
        <f t="shared" si="1"/>
        <v>106287.26</v>
      </c>
      <c r="T91" s="78"/>
    </row>
    <row r="92" spans="1:20" x14ac:dyDescent="0.2">
      <c r="A92" s="18" t="s">
        <v>65</v>
      </c>
      <c r="B92" s="2">
        <f>+'s1'!AF93</f>
        <v>0</v>
      </c>
      <c r="C92" s="2">
        <f>+'s1'!AG93</f>
        <v>8348.39</v>
      </c>
      <c r="D92" s="2">
        <f>+'s1'!AH93</f>
        <v>0</v>
      </c>
      <c r="E92" s="2">
        <f>+'s1'!AI93</f>
        <v>0</v>
      </c>
      <c r="F92" s="2">
        <f>+'s1'!AJ93</f>
        <v>0</v>
      </c>
      <c r="G92" s="2">
        <f>+'s1'!AK93</f>
        <v>0</v>
      </c>
      <c r="H92" s="2">
        <f>+'s1'!AL93</f>
        <v>0</v>
      </c>
      <c r="I92" s="2">
        <f>+'s1'!AM93</f>
        <v>0</v>
      </c>
      <c r="J92" s="2">
        <f>+'s1'!AN93</f>
        <v>0</v>
      </c>
      <c r="K92" s="2">
        <f>+'s1'!AO93</f>
        <v>0</v>
      </c>
      <c r="L92" s="2">
        <f>+'s1'!AP93</f>
        <v>0</v>
      </c>
      <c r="M92" s="2">
        <f>+'s1'!AQ93</f>
        <v>0</v>
      </c>
      <c r="N92" s="2">
        <f>+'s1'!AR93</f>
        <v>0</v>
      </c>
      <c r="O92" s="2">
        <f>+'s1'!AS93</f>
        <v>0</v>
      </c>
      <c r="P92" s="2">
        <f>+'s1'!AT93</f>
        <v>0</v>
      </c>
      <c r="Q92" s="2">
        <f>+'s1'!AU93</f>
        <v>0</v>
      </c>
      <c r="R92" s="2">
        <f>+'s1'!AV93</f>
        <v>0</v>
      </c>
      <c r="S92" s="2">
        <f t="shared" si="1"/>
        <v>8348.39</v>
      </c>
      <c r="T92" s="2"/>
    </row>
    <row r="93" spans="1:20" s="20" customFormat="1" x14ac:dyDescent="0.2">
      <c r="A93" s="1" t="s">
        <v>767</v>
      </c>
      <c r="B93" s="2">
        <f>+'s1'!AF94</f>
        <v>-11219.48</v>
      </c>
      <c r="C93" s="2">
        <f>+'s1'!AG94</f>
        <v>11219.48</v>
      </c>
      <c r="D93" s="2">
        <f>+'s1'!AH94</f>
        <v>0</v>
      </c>
      <c r="E93" s="2">
        <f>+'s1'!AI94</f>
        <v>0</v>
      </c>
      <c r="F93" s="2">
        <f>+'s1'!AJ94</f>
        <v>0</v>
      </c>
      <c r="G93" s="2">
        <f>+'s1'!AK94</f>
        <v>0</v>
      </c>
      <c r="H93" s="2">
        <f>+'s1'!AL94</f>
        <v>0</v>
      </c>
      <c r="I93" s="2">
        <f>+'s1'!AM94</f>
        <v>0</v>
      </c>
      <c r="J93" s="2">
        <f>+'s1'!AN94</f>
        <v>0</v>
      </c>
      <c r="K93" s="2">
        <f>+'s1'!AO94</f>
        <v>0</v>
      </c>
      <c r="L93" s="2">
        <f>+'s1'!AP94</f>
        <v>0</v>
      </c>
      <c r="M93" s="2">
        <f>+'s1'!AQ94</f>
        <v>0</v>
      </c>
      <c r="N93" s="2">
        <f>+'s1'!AR94</f>
        <v>0</v>
      </c>
      <c r="O93" s="2">
        <f>+'s1'!AS94</f>
        <v>0</v>
      </c>
      <c r="P93" s="2">
        <f>+'s1'!AT94</f>
        <v>0</v>
      </c>
      <c r="Q93" s="2">
        <f>+'s1'!AU94</f>
        <v>0</v>
      </c>
      <c r="R93" s="2">
        <f>+'s1'!AV94</f>
        <v>0</v>
      </c>
      <c r="S93" s="2">
        <f>SUM(B93:R93)</f>
        <v>0</v>
      </c>
      <c r="T93" s="18"/>
    </row>
    <row r="94" spans="1:20" x14ac:dyDescent="0.2">
      <c r="A94" s="18" t="s">
        <v>475</v>
      </c>
      <c r="B94" s="2">
        <f>+'s1'!AF95</f>
        <v>0</v>
      </c>
      <c r="C94" s="2">
        <f>+'s1'!AG95</f>
        <v>0</v>
      </c>
      <c r="D94" s="2">
        <f>+'s1'!AH95</f>
        <v>133218.6</v>
      </c>
      <c r="E94" s="2">
        <f>+'s1'!AI95</f>
        <v>3821.22</v>
      </c>
      <c r="F94" s="2">
        <f>+'s1'!AJ95</f>
        <v>0</v>
      </c>
      <c r="G94" s="2">
        <f>+'s1'!AK95</f>
        <v>0</v>
      </c>
      <c r="H94" s="2">
        <f>+'s1'!AL95</f>
        <v>0</v>
      </c>
      <c r="I94" s="2">
        <f>+'s1'!AM95</f>
        <v>0</v>
      </c>
      <c r="J94" s="2">
        <f>+'s1'!AN95</f>
        <v>0</v>
      </c>
      <c r="K94" s="2">
        <f>+'s1'!AO95</f>
        <v>0</v>
      </c>
      <c r="L94" s="2">
        <f>+'s1'!AP95</f>
        <v>0</v>
      </c>
      <c r="M94" s="2">
        <f>+'s1'!AQ95</f>
        <v>2347.5300000000002</v>
      </c>
      <c r="N94" s="2">
        <f>+'s1'!AR95</f>
        <v>235.83</v>
      </c>
      <c r="O94" s="2">
        <f>+'s1'!AS95</f>
        <v>0</v>
      </c>
      <c r="P94" s="2">
        <f>+'s1'!AT95</f>
        <v>0</v>
      </c>
      <c r="Q94" s="2">
        <f>+'s1'!AU95</f>
        <v>89452.53</v>
      </c>
      <c r="R94" s="2">
        <f>+'s1'!AV95</f>
        <v>0</v>
      </c>
      <c r="S94" s="2">
        <f t="shared" si="1"/>
        <v>229075.71</v>
      </c>
      <c r="T94" s="2"/>
    </row>
    <row r="95" spans="1:20" s="20" customFormat="1" x14ac:dyDescent="0.2">
      <c r="A95" s="18" t="s">
        <v>66</v>
      </c>
      <c r="B95" s="2">
        <f>+'s1'!AF96</f>
        <v>0</v>
      </c>
      <c r="C95" s="2">
        <f>+'s1'!AG96</f>
        <v>0</v>
      </c>
      <c r="D95" s="2">
        <f>+'s1'!AH96</f>
        <v>0</v>
      </c>
      <c r="E95" s="2">
        <f>+'s1'!AI96</f>
        <v>0</v>
      </c>
      <c r="F95" s="2">
        <f>+'s1'!AJ96</f>
        <v>965.14</v>
      </c>
      <c r="G95" s="2">
        <f>+'s1'!AK96</f>
        <v>0</v>
      </c>
      <c r="H95" s="2">
        <f>+'s1'!AL96</f>
        <v>0</v>
      </c>
      <c r="I95" s="2">
        <f>+'s1'!AM96</f>
        <v>0</v>
      </c>
      <c r="J95" s="2">
        <f>+'s1'!AN96</f>
        <v>0</v>
      </c>
      <c r="K95" s="2">
        <f>+'s1'!AO96</f>
        <v>0</v>
      </c>
      <c r="L95" s="2">
        <f>+'s1'!AP96</f>
        <v>0</v>
      </c>
      <c r="M95" s="2">
        <f>+'s1'!AQ96</f>
        <v>0</v>
      </c>
      <c r="N95" s="2">
        <f>+'s1'!AR96</f>
        <v>0</v>
      </c>
      <c r="O95" s="2">
        <f>+'s1'!AS96</f>
        <v>0</v>
      </c>
      <c r="P95" s="2">
        <f>+'s1'!AT96</f>
        <v>0</v>
      </c>
      <c r="Q95" s="2">
        <f>+'s1'!AU96</f>
        <v>0</v>
      </c>
      <c r="R95" s="2">
        <f>+'s1'!AV96</f>
        <v>11.47</v>
      </c>
      <c r="S95" s="2">
        <f t="shared" si="1"/>
        <v>976.61</v>
      </c>
      <c r="T95" s="18"/>
    </row>
    <row r="96" spans="1:20" s="20" customFormat="1" x14ac:dyDescent="0.2">
      <c r="A96" s="1" t="s">
        <v>768</v>
      </c>
      <c r="B96" s="2">
        <f>+'s1'!AF97</f>
        <v>0</v>
      </c>
      <c r="C96" s="2">
        <f>+'s1'!AG97</f>
        <v>0</v>
      </c>
      <c r="D96" s="2">
        <f>+'s1'!AH97</f>
        <v>0</v>
      </c>
      <c r="E96" s="2">
        <f>+'s1'!AI97</f>
        <v>0</v>
      </c>
      <c r="F96" s="2">
        <f>+'s1'!AJ97</f>
        <v>0</v>
      </c>
      <c r="G96" s="2">
        <f>+'s1'!AK97</f>
        <v>0</v>
      </c>
      <c r="H96" s="2">
        <f>+'s1'!AL97</f>
        <v>0</v>
      </c>
      <c r="I96" s="2">
        <f>+'s1'!AM97</f>
        <v>0</v>
      </c>
      <c r="J96" s="2">
        <f>+'s1'!AN97</f>
        <v>0</v>
      </c>
      <c r="K96" s="2">
        <f>+'s1'!AO97</f>
        <v>0</v>
      </c>
      <c r="L96" s="2">
        <f>+'s1'!AP97</f>
        <v>0</v>
      </c>
      <c r="M96" s="2">
        <f>+'s1'!AQ97</f>
        <v>0</v>
      </c>
      <c r="N96" s="2">
        <f>+'s1'!AR97</f>
        <v>0</v>
      </c>
      <c r="O96" s="2">
        <f>+'s1'!AS97</f>
        <v>0</v>
      </c>
      <c r="P96" s="2">
        <f>+'s1'!AT97</f>
        <v>0</v>
      </c>
      <c r="Q96" s="2">
        <f>+'s1'!AU97</f>
        <v>0</v>
      </c>
      <c r="R96" s="2">
        <f>+'s1'!AV97</f>
        <v>0</v>
      </c>
      <c r="S96" s="2">
        <f>SUM(B96:R96)</f>
        <v>0</v>
      </c>
      <c r="T96" s="18"/>
    </row>
    <row r="97" spans="1:20" s="20" customFormat="1" x14ac:dyDescent="0.2">
      <c r="A97" s="18" t="s">
        <v>83</v>
      </c>
      <c r="B97" s="2">
        <f>+'s1'!AF98</f>
        <v>0</v>
      </c>
      <c r="C97" s="2">
        <f>+'s1'!AG98</f>
        <v>0</v>
      </c>
      <c r="D97" s="2">
        <f>+'s1'!AH98</f>
        <v>14264.15</v>
      </c>
      <c r="E97" s="2">
        <f>+'s1'!AI98</f>
        <v>0</v>
      </c>
      <c r="F97" s="2">
        <f>+'s1'!AJ98</f>
        <v>0</v>
      </c>
      <c r="G97" s="2">
        <f>+'s1'!AK98</f>
        <v>0</v>
      </c>
      <c r="H97" s="2">
        <f>+'s1'!AL98</f>
        <v>0</v>
      </c>
      <c r="I97" s="2">
        <f>+'s1'!AM98</f>
        <v>0</v>
      </c>
      <c r="J97" s="2">
        <f>+'s1'!AN98</f>
        <v>0</v>
      </c>
      <c r="K97" s="2">
        <f>+'s1'!AO98</f>
        <v>0</v>
      </c>
      <c r="L97" s="2">
        <f>+'s1'!AP98</f>
        <v>0</v>
      </c>
      <c r="M97" s="2">
        <f>+'s1'!AQ98</f>
        <v>0</v>
      </c>
      <c r="N97" s="2">
        <f>+'s1'!AR98</f>
        <v>0</v>
      </c>
      <c r="O97" s="2">
        <f>+'s1'!AS98</f>
        <v>0</v>
      </c>
      <c r="P97" s="2">
        <f>+'s1'!AT98</f>
        <v>0</v>
      </c>
      <c r="Q97" s="2">
        <f>+'s1'!AU98</f>
        <v>0</v>
      </c>
      <c r="R97" s="2">
        <f>+'s1'!AV98</f>
        <v>0</v>
      </c>
      <c r="S97" s="2">
        <f t="shared" si="1"/>
        <v>14264.15</v>
      </c>
      <c r="T97" s="78"/>
    </row>
    <row r="98" spans="1:20" x14ac:dyDescent="0.2">
      <c r="A98" s="18" t="s">
        <v>356</v>
      </c>
      <c r="B98" s="2">
        <f>+'s1'!AF99</f>
        <v>0</v>
      </c>
      <c r="C98" s="2">
        <f>+'s1'!AG99</f>
        <v>0</v>
      </c>
      <c r="D98" s="2">
        <f>+'s1'!AH99</f>
        <v>13520.09</v>
      </c>
      <c r="E98" s="2">
        <f>+'s1'!AI99</f>
        <v>0</v>
      </c>
      <c r="F98" s="2">
        <f>+'s1'!AJ99</f>
        <v>0</v>
      </c>
      <c r="G98" s="2">
        <f>+'s1'!AK99</f>
        <v>0</v>
      </c>
      <c r="H98" s="2">
        <f>+'s1'!AL99</f>
        <v>0</v>
      </c>
      <c r="I98" s="2">
        <f>+'s1'!AM99</f>
        <v>0</v>
      </c>
      <c r="J98" s="2">
        <f>+'s1'!AN99</f>
        <v>0</v>
      </c>
      <c r="K98" s="2">
        <f>+'s1'!AO99</f>
        <v>0</v>
      </c>
      <c r="L98" s="2">
        <f>+'s1'!AP99</f>
        <v>0</v>
      </c>
      <c r="M98" s="2">
        <f>+'s1'!AQ99</f>
        <v>0</v>
      </c>
      <c r="N98" s="2">
        <f>+'s1'!AR99</f>
        <v>0</v>
      </c>
      <c r="O98" s="2">
        <f>+'s1'!AS99</f>
        <v>3987.7</v>
      </c>
      <c r="P98" s="2">
        <f>+'s1'!AT99</f>
        <v>0</v>
      </c>
      <c r="Q98" s="2">
        <f>+'s1'!AU99</f>
        <v>15916.57</v>
      </c>
      <c r="R98" s="2">
        <f>+'s1'!AV99</f>
        <v>0</v>
      </c>
      <c r="S98" s="2">
        <f t="shared" si="1"/>
        <v>33424.36</v>
      </c>
      <c r="T98" s="1"/>
    </row>
    <row r="99" spans="1:20" x14ac:dyDescent="0.2">
      <c r="A99" s="18" t="s">
        <v>369</v>
      </c>
      <c r="B99" s="2">
        <f>+'s1'!AF100</f>
        <v>0</v>
      </c>
      <c r="C99" s="2">
        <f>+'s1'!AG100</f>
        <v>0</v>
      </c>
      <c r="D99" s="2">
        <f>+'s1'!AH100</f>
        <v>4988.5</v>
      </c>
      <c r="E99" s="2">
        <f>+'s1'!AI100</f>
        <v>5968.36</v>
      </c>
      <c r="F99" s="2">
        <f>+'s1'!AJ100</f>
        <v>0</v>
      </c>
      <c r="G99" s="2">
        <f>+'s1'!AK100</f>
        <v>0</v>
      </c>
      <c r="H99" s="2">
        <f>+'s1'!AL100</f>
        <v>0</v>
      </c>
      <c r="I99" s="2">
        <f>+'s1'!AM100</f>
        <v>5300.47</v>
      </c>
      <c r="J99" s="2">
        <f>+'s1'!AN100</f>
        <v>0</v>
      </c>
      <c r="K99" s="2">
        <f>+'s1'!AO100</f>
        <v>0</v>
      </c>
      <c r="L99" s="2">
        <f>+'s1'!AP100</f>
        <v>0</v>
      </c>
      <c r="M99" s="2">
        <f>+'s1'!AQ100</f>
        <v>0</v>
      </c>
      <c r="N99" s="2">
        <f>+'s1'!AR100</f>
        <v>0</v>
      </c>
      <c r="O99" s="2">
        <f>+'s1'!AS100</f>
        <v>0</v>
      </c>
      <c r="P99" s="2">
        <f>+'s1'!AT100</f>
        <v>0</v>
      </c>
      <c r="Q99" s="2">
        <f>+'s1'!AU100</f>
        <v>25931.33</v>
      </c>
      <c r="R99" s="2">
        <f>+'s1'!AV100</f>
        <v>0</v>
      </c>
      <c r="S99" s="2">
        <f t="shared" si="1"/>
        <v>42188.66</v>
      </c>
      <c r="T99" s="2"/>
    </row>
    <row r="100" spans="1:20" x14ac:dyDescent="0.2">
      <c r="A100" s="1" t="s">
        <v>67</v>
      </c>
      <c r="B100" s="2">
        <f>+'s1'!AF101</f>
        <v>0</v>
      </c>
      <c r="C100" s="2">
        <f>+'s1'!AG101</f>
        <v>0</v>
      </c>
      <c r="D100" s="2">
        <f>+'s1'!AH101</f>
        <v>1016.24</v>
      </c>
      <c r="E100" s="2">
        <f>+'s1'!AI101</f>
        <v>0</v>
      </c>
      <c r="F100" s="2">
        <f>+'s1'!AJ101</f>
        <v>0</v>
      </c>
      <c r="G100" s="2">
        <f>+'s1'!AK101</f>
        <v>0</v>
      </c>
      <c r="H100" s="2">
        <f>+'s1'!AL101</f>
        <v>0</v>
      </c>
      <c r="I100" s="2">
        <f>+'s1'!AM101</f>
        <v>0</v>
      </c>
      <c r="J100" s="2">
        <f>+'s1'!AN101</f>
        <v>0</v>
      </c>
      <c r="K100" s="2">
        <f>+'s1'!AO101</f>
        <v>0</v>
      </c>
      <c r="L100" s="2">
        <f>+'s1'!AP101</f>
        <v>0</v>
      </c>
      <c r="M100" s="2">
        <f>+'s1'!AQ101</f>
        <v>0</v>
      </c>
      <c r="N100" s="2">
        <f>+'s1'!AR101</f>
        <v>0</v>
      </c>
      <c r="O100" s="2">
        <f>+'s1'!AS101</f>
        <v>0</v>
      </c>
      <c r="P100" s="2">
        <f>+'s1'!AT101</f>
        <v>0</v>
      </c>
      <c r="Q100" s="2">
        <f>+'s1'!AU101</f>
        <v>0</v>
      </c>
      <c r="R100" s="2">
        <f>+'s1'!AV101</f>
        <v>0</v>
      </c>
      <c r="S100" s="2">
        <f t="shared" si="1"/>
        <v>1016.24</v>
      </c>
      <c r="T100" s="1"/>
    </row>
    <row r="101" spans="1:20" x14ac:dyDescent="0.2">
      <c r="A101" s="1" t="s">
        <v>68</v>
      </c>
      <c r="B101" s="2">
        <f>+'s1'!AF102</f>
        <v>0</v>
      </c>
      <c r="C101" s="2">
        <f>+'s1'!AG102</f>
        <v>5707.77</v>
      </c>
      <c r="D101" s="2">
        <f>+'s1'!AH102</f>
        <v>0</v>
      </c>
      <c r="E101" s="2">
        <f>+'s1'!AI102</f>
        <v>0</v>
      </c>
      <c r="F101" s="2">
        <f>+'s1'!AJ102</f>
        <v>0</v>
      </c>
      <c r="G101" s="2">
        <f>+'s1'!AK102</f>
        <v>0</v>
      </c>
      <c r="H101" s="2">
        <f>+'s1'!AL102</f>
        <v>0</v>
      </c>
      <c r="I101" s="2">
        <f>+'s1'!AM102</f>
        <v>0</v>
      </c>
      <c r="J101" s="2">
        <f>+'s1'!AN102</f>
        <v>0</v>
      </c>
      <c r="K101" s="2">
        <f>+'s1'!AO102</f>
        <v>0</v>
      </c>
      <c r="L101" s="2">
        <f>+'s1'!AP102</f>
        <v>4392.71</v>
      </c>
      <c r="M101" s="2">
        <f>+'s1'!AQ102</f>
        <v>5537.64</v>
      </c>
      <c r="N101" s="2">
        <f>+'s1'!AR102</f>
        <v>0</v>
      </c>
      <c r="O101" s="2">
        <f>+'s1'!AS102</f>
        <v>0</v>
      </c>
      <c r="P101" s="2">
        <f>+'s1'!AT102</f>
        <v>0</v>
      </c>
      <c r="Q101" s="2">
        <f>+'s1'!AU102</f>
        <v>4477.3</v>
      </c>
      <c r="R101" s="2">
        <f>+'s1'!AV102</f>
        <v>0</v>
      </c>
      <c r="S101" s="2">
        <f t="shared" si="1"/>
        <v>20115.419999999998</v>
      </c>
      <c r="T101" s="1"/>
    </row>
    <row r="102" spans="1:20" s="20" customFormat="1" x14ac:dyDescent="0.2">
      <c r="A102" s="1" t="s">
        <v>757</v>
      </c>
      <c r="B102" s="2">
        <f>+'s1'!AF103</f>
        <v>0</v>
      </c>
      <c r="C102" s="2">
        <f>+'s1'!AG103</f>
        <v>0</v>
      </c>
      <c r="D102" s="2">
        <f>+'s1'!AH103</f>
        <v>0</v>
      </c>
      <c r="E102" s="2">
        <f>+'s1'!AI103</f>
        <v>0</v>
      </c>
      <c r="F102" s="2">
        <f>+'s1'!AJ103</f>
        <v>0</v>
      </c>
      <c r="G102" s="2">
        <f>+'s1'!AK103</f>
        <v>0</v>
      </c>
      <c r="H102" s="2">
        <f>+'s1'!AL103</f>
        <v>0</v>
      </c>
      <c r="I102" s="2">
        <f>+'s1'!AM103</f>
        <v>0</v>
      </c>
      <c r="J102" s="2">
        <f>+'s1'!AN103</f>
        <v>0</v>
      </c>
      <c r="K102" s="2">
        <f>+'s1'!AO103</f>
        <v>0</v>
      </c>
      <c r="L102" s="2">
        <f>+'s1'!AP103</f>
        <v>0</v>
      </c>
      <c r="M102" s="2">
        <f>+'s1'!AQ103</f>
        <v>0</v>
      </c>
      <c r="N102" s="2">
        <f>+'s1'!AR103</f>
        <v>0</v>
      </c>
      <c r="O102" s="2">
        <f>+'s1'!AS103</f>
        <v>0</v>
      </c>
      <c r="P102" s="2">
        <f>+'s1'!AT103</f>
        <v>0</v>
      </c>
      <c r="Q102" s="2">
        <f>+'s1'!AU103</f>
        <v>0</v>
      </c>
      <c r="R102" s="2">
        <f>+'s1'!AV103</f>
        <v>0</v>
      </c>
      <c r="S102" s="2">
        <f>SUM(B102:R102)</f>
        <v>0</v>
      </c>
      <c r="T102" s="18"/>
    </row>
    <row r="103" spans="1:20" x14ac:dyDescent="0.2">
      <c r="A103" s="18" t="s">
        <v>69</v>
      </c>
      <c r="B103" s="2">
        <f>+'s1'!AF104</f>
        <v>0</v>
      </c>
      <c r="C103" s="2">
        <f>+'s1'!AG104</f>
        <v>0</v>
      </c>
      <c r="D103" s="2">
        <f>+'s1'!AH104</f>
        <v>0</v>
      </c>
      <c r="E103" s="2">
        <f>+'s1'!AI104</f>
        <v>20.85</v>
      </c>
      <c r="F103" s="2">
        <f>+'s1'!AJ104</f>
        <v>0</v>
      </c>
      <c r="G103" s="2">
        <f>+'s1'!AK104</f>
        <v>0</v>
      </c>
      <c r="H103" s="2">
        <f>+'s1'!AL104</f>
        <v>0</v>
      </c>
      <c r="I103" s="2">
        <f>+'s1'!AM104</f>
        <v>0</v>
      </c>
      <c r="J103" s="2">
        <f>+'s1'!AN104</f>
        <v>0</v>
      </c>
      <c r="K103" s="2">
        <f>+'s1'!AO104</f>
        <v>0</v>
      </c>
      <c r="L103" s="2">
        <f>+'s1'!AP104</f>
        <v>0</v>
      </c>
      <c r="M103" s="2">
        <f>+'s1'!AQ104</f>
        <v>0</v>
      </c>
      <c r="N103" s="2">
        <f>+'s1'!AR104</f>
        <v>0</v>
      </c>
      <c r="O103" s="2">
        <f>+'s1'!AS104</f>
        <v>0</v>
      </c>
      <c r="P103" s="2">
        <f>+'s1'!AT104</f>
        <v>0</v>
      </c>
      <c r="Q103" s="2">
        <f>+'s1'!AU104</f>
        <v>19693.91</v>
      </c>
      <c r="R103" s="2">
        <f>+'s1'!AV104</f>
        <v>0</v>
      </c>
      <c r="S103" s="2">
        <f t="shared" si="1"/>
        <v>19714.759999999998</v>
      </c>
      <c r="T103" s="1"/>
    </row>
    <row r="104" spans="1:20" x14ac:dyDescent="0.2">
      <c r="A104" s="1" t="s">
        <v>570</v>
      </c>
      <c r="B104" s="2">
        <f>+'s1'!AF105</f>
        <v>18704.400000000001</v>
      </c>
      <c r="C104" s="2">
        <f>+'s1'!AG105</f>
        <v>0</v>
      </c>
      <c r="D104" s="2">
        <f>+'s1'!AH105</f>
        <v>437665.78</v>
      </c>
      <c r="E104" s="2">
        <f>+'s1'!AI105</f>
        <v>5661.58</v>
      </c>
      <c r="F104" s="2">
        <f>+'s1'!AJ105</f>
        <v>0</v>
      </c>
      <c r="G104" s="2">
        <f>+'s1'!AK105</f>
        <v>0</v>
      </c>
      <c r="H104" s="2">
        <f>+'s1'!AL105</f>
        <v>0</v>
      </c>
      <c r="I104" s="2">
        <f>+'s1'!AM105</f>
        <v>0</v>
      </c>
      <c r="J104" s="2">
        <f>+'s1'!AN105</f>
        <v>0</v>
      </c>
      <c r="K104" s="2">
        <f>+'s1'!AO105</f>
        <v>0</v>
      </c>
      <c r="L104" s="2">
        <f>+'s1'!AP105</f>
        <v>6096.65</v>
      </c>
      <c r="M104" s="2">
        <f>+'s1'!AQ105</f>
        <v>0</v>
      </c>
      <c r="N104" s="2">
        <f>+'s1'!AR105</f>
        <v>0</v>
      </c>
      <c r="O104" s="2">
        <f>+'s1'!AS105</f>
        <v>0</v>
      </c>
      <c r="P104" s="2">
        <f>+'s1'!AT105</f>
        <v>0</v>
      </c>
      <c r="Q104" s="2">
        <f>+'s1'!AU105</f>
        <v>145854.84</v>
      </c>
      <c r="R104" s="2">
        <f>+'s1'!AV105</f>
        <v>0</v>
      </c>
      <c r="S104" s="2">
        <f t="shared" si="1"/>
        <v>613983.25</v>
      </c>
      <c r="T104" s="1"/>
    </row>
    <row r="105" spans="1:20" x14ac:dyDescent="0.2">
      <c r="A105" s="1" t="s">
        <v>714</v>
      </c>
      <c r="B105" s="2">
        <f>+'s1'!AF106</f>
        <v>0</v>
      </c>
      <c r="C105" s="2">
        <f>+'s1'!AG106</f>
        <v>0</v>
      </c>
      <c r="D105" s="2">
        <f>+'s1'!AH106</f>
        <v>1769.12</v>
      </c>
      <c r="E105" s="2">
        <f>+'s1'!AI106</f>
        <v>0</v>
      </c>
      <c r="F105" s="2">
        <f>+'s1'!AJ106</f>
        <v>0</v>
      </c>
      <c r="G105" s="2">
        <f>+'s1'!AK106</f>
        <v>0</v>
      </c>
      <c r="H105" s="2">
        <f>+'s1'!AL106</f>
        <v>0</v>
      </c>
      <c r="I105" s="2">
        <f>+'s1'!AM106</f>
        <v>0</v>
      </c>
      <c r="J105" s="2">
        <f>+'s1'!AN106</f>
        <v>0</v>
      </c>
      <c r="K105" s="2">
        <f>+'s1'!AO106</f>
        <v>0</v>
      </c>
      <c r="L105" s="2">
        <f>+'s1'!AP106</f>
        <v>0</v>
      </c>
      <c r="M105" s="2">
        <f>+'s1'!AQ106</f>
        <v>0</v>
      </c>
      <c r="N105" s="2">
        <f>+'s1'!AR106</f>
        <v>0</v>
      </c>
      <c r="O105" s="2">
        <f>+'s1'!AS106</f>
        <v>0</v>
      </c>
      <c r="P105" s="2">
        <f>+'s1'!AT106</f>
        <v>0</v>
      </c>
      <c r="Q105" s="2">
        <f>+'s1'!AU106</f>
        <v>0</v>
      </c>
      <c r="R105" s="2">
        <f>+'s1'!AV106</f>
        <v>0</v>
      </c>
      <c r="S105" s="2">
        <f>SUM(B105:R105)</f>
        <v>1769.12</v>
      </c>
      <c r="T105" s="1"/>
    </row>
    <row r="106" spans="1:20" x14ac:dyDescent="0.2">
      <c r="A106" s="1" t="s">
        <v>443</v>
      </c>
      <c r="B106" s="2">
        <f>+'s1'!AF107</f>
        <v>0</v>
      </c>
      <c r="C106" s="2">
        <f>+'s1'!AG107</f>
        <v>0</v>
      </c>
      <c r="D106" s="2">
        <f>+'s1'!AH107</f>
        <v>6108.2</v>
      </c>
      <c r="E106" s="2">
        <f>+'s1'!AI107</f>
        <v>0</v>
      </c>
      <c r="F106" s="2">
        <f>+'s1'!AJ107</f>
        <v>0</v>
      </c>
      <c r="G106" s="2">
        <f>+'s1'!AK107</f>
        <v>0</v>
      </c>
      <c r="H106" s="2">
        <f>+'s1'!AL107</f>
        <v>0</v>
      </c>
      <c r="I106" s="2">
        <f>+'s1'!AM107</f>
        <v>0</v>
      </c>
      <c r="J106" s="2">
        <f>+'s1'!AN107</f>
        <v>0</v>
      </c>
      <c r="K106" s="2">
        <f>+'s1'!AO107</f>
        <v>0</v>
      </c>
      <c r="L106" s="2">
        <f>+'s1'!AP107</f>
        <v>0</v>
      </c>
      <c r="M106" s="2">
        <f>+'s1'!AQ107</f>
        <v>0</v>
      </c>
      <c r="N106" s="2">
        <f>+'s1'!AR107</f>
        <v>0</v>
      </c>
      <c r="O106" s="2">
        <f>+'s1'!AS107</f>
        <v>0</v>
      </c>
      <c r="P106" s="2">
        <f>+'s1'!AT107</f>
        <v>0</v>
      </c>
      <c r="Q106" s="2">
        <f>+'s1'!AU107</f>
        <v>933.6</v>
      </c>
      <c r="R106" s="2">
        <f>+'s1'!AV107</f>
        <v>0</v>
      </c>
      <c r="S106" s="2">
        <f t="shared" si="1"/>
        <v>7041.8</v>
      </c>
      <c r="T106" s="1"/>
    </row>
    <row r="107" spans="1:20" x14ac:dyDescent="0.2">
      <c r="A107" s="1" t="s">
        <v>489</v>
      </c>
      <c r="B107" s="2">
        <f>+'s1'!AF108</f>
        <v>0</v>
      </c>
      <c r="C107" s="2">
        <f>+'s1'!AG108</f>
        <v>0</v>
      </c>
      <c r="D107" s="2">
        <f>+'s1'!AH108</f>
        <v>17.82</v>
      </c>
      <c r="E107" s="2">
        <f>+'s1'!AI108</f>
        <v>0</v>
      </c>
      <c r="F107" s="2">
        <f>+'s1'!AJ108</f>
        <v>0</v>
      </c>
      <c r="G107" s="2">
        <f>+'s1'!AK108</f>
        <v>0</v>
      </c>
      <c r="H107" s="2">
        <f>+'s1'!AL108</f>
        <v>0</v>
      </c>
      <c r="I107" s="2">
        <f>+'s1'!AM108</f>
        <v>0</v>
      </c>
      <c r="J107" s="2">
        <f>+'s1'!AN108</f>
        <v>0</v>
      </c>
      <c r="K107" s="2">
        <f>+'s1'!AO108</f>
        <v>0</v>
      </c>
      <c r="L107" s="2">
        <f>+'s1'!AP108</f>
        <v>0</v>
      </c>
      <c r="M107" s="2">
        <f>+'s1'!AQ108</f>
        <v>0</v>
      </c>
      <c r="N107" s="2">
        <f>+'s1'!AR108</f>
        <v>0</v>
      </c>
      <c r="O107" s="2">
        <f>+'s1'!AS108</f>
        <v>0</v>
      </c>
      <c r="P107" s="2">
        <f>+'s1'!AT108</f>
        <v>0</v>
      </c>
      <c r="Q107" s="2">
        <f>+'s1'!AU108</f>
        <v>0</v>
      </c>
      <c r="R107" s="2">
        <f>+'s1'!AV108</f>
        <v>0</v>
      </c>
      <c r="S107" s="2">
        <f t="shared" ref="S107:S112" si="2">SUM(B107:R107)</f>
        <v>17.82</v>
      </c>
      <c r="T107" s="1"/>
    </row>
    <row r="108" spans="1:20" x14ac:dyDescent="0.2">
      <c r="A108" s="1" t="s">
        <v>84</v>
      </c>
      <c r="B108" s="2">
        <f>+'s1'!AF109</f>
        <v>0</v>
      </c>
      <c r="C108" s="2">
        <f>+'s1'!AG109</f>
        <v>0</v>
      </c>
      <c r="D108" s="2">
        <f>+'s1'!AH109</f>
        <v>0</v>
      </c>
      <c r="E108" s="2">
        <f>+'s1'!AI109</f>
        <v>0</v>
      </c>
      <c r="F108" s="2">
        <f>+'s1'!AJ109</f>
        <v>104.62</v>
      </c>
      <c r="G108" s="2">
        <f>+'s1'!AK109</f>
        <v>0</v>
      </c>
      <c r="H108" s="2">
        <f>+'s1'!AL109</f>
        <v>0</v>
      </c>
      <c r="I108" s="2">
        <f>+'s1'!AM109</f>
        <v>643.95000000000005</v>
      </c>
      <c r="J108" s="2">
        <f>+'s1'!AN109</f>
        <v>0</v>
      </c>
      <c r="K108" s="2">
        <f>+'s1'!AO109</f>
        <v>0</v>
      </c>
      <c r="L108" s="2">
        <f>+'s1'!AP109</f>
        <v>0</v>
      </c>
      <c r="M108" s="2">
        <f>+'s1'!AQ109</f>
        <v>0</v>
      </c>
      <c r="N108" s="2">
        <f>+'s1'!AR109</f>
        <v>0</v>
      </c>
      <c r="O108" s="2">
        <f>+'s1'!AS109</f>
        <v>0</v>
      </c>
      <c r="P108" s="2">
        <f>+'s1'!AT109</f>
        <v>0</v>
      </c>
      <c r="Q108" s="2">
        <f>+'s1'!AU109</f>
        <v>0</v>
      </c>
      <c r="R108" s="2">
        <f>+'s1'!AV109</f>
        <v>0</v>
      </c>
      <c r="S108" s="2">
        <f t="shared" si="2"/>
        <v>748.57</v>
      </c>
      <c r="T108" s="1"/>
    </row>
    <row r="109" spans="1:20" x14ac:dyDescent="0.2">
      <c r="A109" s="18" t="s">
        <v>571</v>
      </c>
      <c r="B109" s="2">
        <f>+'s1'!AF110</f>
        <v>0</v>
      </c>
      <c r="C109" s="2">
        <f>+'s1'!AG110</f>
        <v>0</v>
      </c>
      <c r="D109" s="2">
        <f>+'s1'!AH110</f>
        <v>5300.38</v>
      </c>
      <c r="E109" s="2">
        <f>+'s1'!AI110</f>
        <v>0</v>
      </c>
      <c r="F109" s="2">
        <f>+'s1'!AJ110</f>
        <v>0</v>
      </c>
      <c r="G109" s="2">
        <f>+'s1'!AK110</f>
        <v>0</v>
      </c>
      <c r="H109" s="2">
        <f>+'s1'!AL110</f>
        <v>0</v>
      </c>
      <c r="I109" s="2">
        <f>+'s1'!AM110</f>
        <v>0</v>
      </c>
      <c r="J109" s="2">
        <f>+'s1'!AN110</f>
        <v>0</v>
      </c>
      <c r="K109" s="2">
        <f>+'s1'!AO110</f>
        <v>0</v>
      </c>
      <c r="L109" s="2">
        <f>+'s1'!AP110</f>
        <v>0</v>
      </c>
      <c r="M109" s="2">
        <f>+'s1'!AQ110</f>
        <v>0</v>
      </c>
      <c r="N109" s="2">
        <f>+'s1'!AR110</f>
        <v>0</v>
      </c>
      <c r="O109" s="2">
        <f>+'s1'!AS110</f>
        <v>0</v>
      </c>
      <c r="P109" s="2">
        <f>+'s1'!AT110</f>
        <v>0</v>
      </c>
      <c r="Q109" s="2">
        <f>+'s1'!AU110</f>
        <v>7206.38</v>
      </c>
      <c r="R109" s="2">
        <f>+'s1'!AV110</f>
        <v>0</v>
      </c>
      <c r="S109" s="2">
        <f t="shared" si="2"/>
        <v>12506.76</v>
      </c>
      <c r="T109" s="1"/>
    </row>
    <row r="110" spans="1:20" x14ac:dyDescent="0.2">
      <c r="A110" s="18" t="s">
        <v>70</v>
      </c>
      <c r="B110" s="2">
        <f>+'s1'!AF111</f>
        <v>0</v>
      </c>
      <c r="C110" s="2">
        <f>+'s1'!AG111</f>
        <v>0</v>
      </c>
      <c r="D110" s="2">
        <f>+'s1'!AH111</f>
        <v>0</v>
      </c>
      <c r="E110" s="2">
        <f>+'s1'!AI111</f>
        <v>0</v>
      </c>
      <c r="F110" s="2">
        <f>+'s1'!AJ111</f>
        <v>0</v>
      </c>
      <c r="G110" s="2">
        <f>+'s1'!AK111</f>
        <v>0</v>
      </c>
      <c r="H110" s="2">
        <f>+'s1'!AL111</f>
        <v>0</v>
      </c>
      <c r="I110" s="2">
        <f>+'s1'!AM111</f>
        <v>0</v>
      </c>
      <c r="J110" s="2">
        <f>+'s1'!AN111</f>
        <v>0</v>
      </c>
      <c r="K110" s="2">
        <f>+'s1'!AO111</f>
        <v>0</v>
      </c>
      <c r="L110" s="2">
        <f>+'s1'!AP111</f>
        <v>0</v>
      </c>
      <c r="M110" s="2">
        <f>+'s1'!AQ111</f>
        <v>0</v>
      </c>
      <c r="N110" s="2">
        <f>+'s1'!AR111</f>
        <v>0</v>
      </c>
      <c r="O110" s="2">
        <f>+'s1'!AS111</f>
        <v>0</v>
      </c>
      <c r="P110" s="2">
        <f>+'s1'!AT111</f>
        <v>0</v>
      </c>
      <c r="Q110" s="2">
        <f>+'s1'!AU111</f>
        <v>19456.3</v>
      </c>
      <c r="R110" s="2">
        <f>+'s1'!AV111</f>
        <v>0</v>
      </c>
      <c r="S110" s="2">
        <f t="shared" si="2"/>
        <v>19456.3</v>
      </c>
      <c r="T110" s="1"/>
    </row>
    <row r="111" spans="1:20" x14ac:dyDescent="0.2">
      <c r="A111" s="1" t="s">
        <v>71</v>
      </c>
      <c r="B111" s="2">
        <f>+'s1'!AF112</f>
        <v>0</v>
      </c>
      <c r="C111" s="2">
        <f>+'s1'!AG112</f>
        <v>0</v>
      </c>
      <c r="D111" s="2">
        <f>+'s1'!AH112</f>
        <v>0</v>
      </c>
      <c r="E111" s="2">
        <f>+'s1'!AI112</f>
        <v>0</v>
      </c>
      <c r="F111" s="2">
        <f>+'s1'!AJ112</f>
        <v>0</v>
      </c>
      <c r="G111" s="2">
        <f>+'s1'!AK112</f>
        <v>39.51</v>
      </c>
      <c r="H111" s="2">
        <f>+'s1'!AL112</f>
        <v>0</v>
      </c>
      <c r="I111" s="2">
        <f>+'s1'!AM112</f>
        <v>0</v>
      </c>
      <c r="J111" s="2">
        <f>+'s1'!AN112</f>
        <v>0</v>
      </c>
      <c r="K111" s="2">
        <f>+'s1'!AO112</f>
        <v>0</v>
      </c>
      <c r="L111" s="2">
        <f>+'s1'!AP112</f>
        <v>0</v>
      </c>
      <c r="M111" s="2">
        <f>+'s1'!AQ112</f>
        <v>5443.44</v>
      </c>
      <c r="N111" s="2">
        <f>+'s1'!AR112</f>
        <v>0</v>
      </c>
      <c r="O111" s="2">
        <f>+'s1'!AS112</f>
        <v>0</v>
      </c>
      <c r="P111" s="2">
        <f>+'s1'!AT112</f>
        <v>0</v>
      </c>
      <c r="Q111" s="2">
        <f>+'s1'!AU112</f>
        <v>0</v>
      </c>
      <c r="R111" s="2">
        <f>+'s1'!AV112</f>
        <v>0</v>
      </c>
      <c r="S111" s="2">
        <f t="shared" si="2"/>
        <v>5482.95</v>
      </c>
      <c r="T111" s="1"/>
    </row>
    <row r="112" spans="1:20" x14ac:dyDescent="0.2">
      <c r="A112" s="1" t="s">
        <v>367</v>
      </c>
      <c r="B112" s="2">
        <f>+'s1'!AF113</f>
        <v>0</v>
      </c>
      <c r="C112" s="2">
        <f>+'s1'!AG113</f>
        <v>0</v>
      </c>
      <c r="D112" s="2">
        <f>+'s1'!AH113</f>
        <v>8922.31</v>
      </c>
      <c r="E112" s="2">
        <f>+'s1'!AI113</f>
        <v>0</v>
      </c>
      <c r="F112" s="2">
        <f>+'s1'!AJ113</f>
        <v>0</v>
      </c>
      <c r="G112" s="2">
        <f>+'s1'!AK113</f>
        <v>0</v>
      </c>
      <c r="H112" s="2">
        <f>+'s1'!AL113</f>
        <v>0</v>
      </c>
      <c r="I112" s="2">
        <f>+'s1'!AM113</f>
        <v>0</v>
      </c>
      <c r="J112" s="2">
        <f>+'s1'!AN113</f>
        <v>0</v>
      </c>
      <c r="K112" s="2">
        <f>+'s1'!AO113</f>
        <v>0</v>
      </c>
      <c r="L112" s="2">
        <f>+'s1'!AP113</f>
        <v>0</v>
      </c>
      <c r="M112" s="2">
        <f>+'s1'!AQ113</f>
        <v>0</v>
      </c>
      <c r="N112" s="2">
        <f>+'s1'!AR113</f>
        <v>0</v>
      </c>
      <c r="O112" s="2">
        <f>+'s1'!AS113</f>
        <v>0</v>
      </c>
      <c r="P112" s="2">
        <f>+'s1'!AT113</f>
        <v>0</v>
      </c>
      <c r="Q112" s="2">
        <f>+'s1'!AU113</f>
        <v>0</v>
      </c>
      <c r="R112" s="2">
        <f>+'s1'!AV113</f>
        <v>0</v>
      </c>
      <c r="S112" s="2">
        <f t="shared" si="2"/>
        <v>8922.31</v>
      </c>
      <c r="T112" s="1"/>
    </row>
    <row r="113" spans="1:20" ht="27.75" customHeight="1" thickBot="1" x14ac:dyDescent="0.25">
      <c r="A113" s="21" t="s">
        <v>12</v>
      </c>
      <c r="B113" s="36">
        <f t="shared" ref="B113:S113" si="3">SUM(B11:B112)</f>
        <v>268828.48</v>
      </c>
      <c r="C113" s="36">
        <f t="shared" si="3"/>
        <v>62426.28</v>
      </c>
      <c r="D113" s="36">
        <f t="shared" si="3"/>
        <v>5453398.1399999997</v>
      </c>
      <c r="E113" s="36">
        <f t="shared" si="3"/>
        <v>82035.53</v>
      </c>
      <c r="F113" s="36">
        <f t="shared" si="3"/>
        <v>84326.34</v>
      </c>
      <c r="G113" s="36">
        <f t="shared" si="3"/>
        <v>469.22</v>
      </c>
      <c r="H113" s="36">
        <f t="shared" si="3"/>
        <v>4433.32</v>
      </c>
      <c r="I113" s="36">
        <f t="shared" si="3"/>
        <v>61932.27</v>
      </c>
      <c r="J113" s="36">
        <f t="shared" si="3"/>
        <v>18437.86</v>
      </c>
      <c r="K113" s="36">
        <f t="shared" si="3"/>
        <v>8662.02</v>
      </c>
      <c r="L113" s="36">
        <f t="shared" si="3"/>
        <v>130939.54</v>
      </c>
      <c r="M113" s="36">
        <f t="shared" si="3"/>
        <v>20946.18</v>
      </c>
      <c r="N113" s="36">
        <f t="shared" si="3"/>
        <v>68064.759999999995</v>
      </c>
      <c r="O113" s="36">
        <f t="shared" si="3"/>
        <v>14239.26</v>
      </c>
      <c r="P113" s="36">
        <f t="shared" si="3"/>
        <v>1152.6400000000001</v>
      </c>
      <c r="Q113" s="36">
        <f t="shared" si="3"/>
        <v>1406476.9</v>
      </c>
      <c r="R113" s="36">
        <f t="shared" si="3"/>
        <v>63018.5</v>
      </c>
      <c r="S113" s="36">
        <f t="shared" si="3"/>
        <v>7749787.2400000002</v>
      </c>
      <c r="T113" s="9">
        <f>SUM(B113:R113)</f>
        <v>7749787.2400000002</v>
      </c>
    </row>
    <row r="114" spans="1:20" x14ac:dyDescent="0.2">
      <c r="D114" t="s">
        <v>82</v>
      </c>
    </row>
    <row r="115" spans="1:20" hidden="1" x14ac:dyDescent="0.2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7"/>
    </row>
    <row r="116" spans="1:20" hidden="1" x14ac:dyDescent="0.2">
      <c r="A116" s="1" t="s">
        <v>492</v>
      </c>
      <c r="B116" s="2">
        <f>CAG+_CAG1</f>
        <v>298698.32</v>
      </c>
      <c r="C116" s="2">
        <f>CHG+_CHG1</f>
        <v>69362.539999999994</v>
      </c>
      <c r="D116" s="2">
        <f>CLG+_CLG1</f>
        <v>6058938.54</v>
      </c>
      <c r="E116" s="2">
        <f>DOG+_DOG1</f>
        <v>102544.4</v>
      </c>
      <c r="F116" s="2">
        <f>ELG+_ELG1</f>
        <v>105357.97</v>
      </c>
      <c r="G116" s="2">
        <f>ESG+_ESG1</f>
        <v>586.52</v>
      </c>
      <c r="H116" s="2">
        <f>EUG+_EUG1</f>
        <v>5541.65</v>
      </c>
      <c r="I116" s="2">
        <f>HUG+_HUG1</f>
        <v>68813.649999999994</v>
      </c>
      <c r="J116" s="2">
        <f>LAG+_LAG1</f>
        <v>20486.509999999998</v>
      </c>
      <c r="K116" s="2">
        <f>LIG+_LIG1</f>
        <v>10827.53</v>
      </c>
      <c r="L116" s="2">
        <f>LYG+_LYG1</f>
        <v>145488.38</v>
      </c>
      <c r="M116" s="2">
        <f>MIG+_MIG1</f>
        <v>23273.54</v>
      </c>
      <c r="N116" s="2">
        <f>NYG+_NYG1</f>
        <v>85080.98</v>
      </c>
      <c r="O116" s="2">
        <f>PEG+_PEG1</f>
        <v>15821.4</v>
      </c>
      <c r="P116" s="2">
        <f>STG+_STG1</f>
        <v>1440.8</v>
      </c>
      <c r="Q116" s="2">
        <f>WAG+_WAG1+'s1'!I117</f>
        <v>1697473.9</v>
      </c>
      <c r="R116" s="2">
        <f>WHG+_WHG1</f>
        <v>70020.539999999994</v>
      </c>
      <c r="S116" s="2">
        <f>COUNTYOPTION+COUNTY1+'s1'!I117</f>
        <v>8779757.1699999999</v>
      </c>
    </row>
    <row r="117" spans="1:20" hidden="1" x14ac:dyDescent="0.2"/>
    <row r="118" spans="1:20" hidden="1" x14ac:dyDescent="0.2">
      <c r="A118" s="1"/>
      <c r="B118" s="2">
        <v>298698.32</v>
      </c>
      <c r="C118" s="2">
        <v>69362.539999999994</v>
      </c>
      <c r="D118" s="2">
        <v>6058938.54</v>
      </c>
      <c r="E118" s="2">
        <v>102544.4</v>
      </c>
      <c r="F118" s="2">
        <v>105357.97</v>
      </c>
      <c r="G118" s="2">
        <v>586.52</v>
      </c>
      <c r="H118" s="2">
        <v>5541.65</v>
      </c>
      <c r="I118" s="2">
        <v>68813.649999999994</v>
      </c>
      <c r="J118" s="2">
        <v>20486.509999999998</v>
      </c>
      <c r="K118" s="2">
        <v>10827.53</v>
      </c>
      <c r="L118" s="2">
        <v>145488.38</v>
      </c>
      <c r="M118" s="2">
        <v>23273.54</v>
      </c>
      <c r="N118" s="2">
        <v>85080.98</v>
      </c>
      <c r="O118" s="2">
        <v>15821.4</v>
      </c>
      <c r="P118" s="2">
        <v>1440.8</v>
      </c>
      <c r="Q118" s="2">
        <f>1562752.11+134721.79</f>
        <v>1697473.9</v>
      </c>
      <c r="R118" s="2">
        <v>70020.539999999994</v>
      </c>
      <c r="S118" s="2">
        <v>8779757.1699999999</v>
      </c>
    </row>
    <row r="119" spans="1:20" hidden="1" x14ac:dyDescent="0.2"/>
    <row r="120" spans="1:20" hidden="1" x14ac:dyDescent="0.2">
      <c r="B120" s="11">
        <f>B116-B118</f>
        <v>0</v>
      </c>
      <c r="C120" s="11">
        <f t="shared" ref="C120:S120" si="4">C116-C118</f>
        <v>0</v>
      </c>
      <c r="D120" s="11">
        <f t="shared" si="4"/>
        <v>0</v>
      </c>
      <c r="E120" s="11">
        <f t="shared" si="4"/>
        <v>0</v>
      </c>
      <c r="F120" s="11">
        <f t="shared" si="4"/>
        <v>0</v>
      </c>
      <c r="G120" s="11">
        <f t="shared" si="4"/>
        <v>0</v>
      </c>
      <c r="H120" s="11">
        <f t="shared" si="4"/>
        <v>0</v>
      </c>
      <c r="I120" s="11">
        <f t="shared" si="4"/>
        <v>0</v>
      </c>
      <c r="J120" s="11">
        <f t="shared" si="4"/>
        <v>0</v>
      </c>
      <c r="K120" s="11">
        <f t="shared" si="4"/>
        <v>0</v>
      </c>
      <c r="L120" s="11">
        <f t="shared" si="4"/>
        <v>0</v>
      </c>
      <c r="M120" s="11">
        <f t="shared" si="4"/>
        <v>0</v>
      </c>
      <c r="N120" s="11">
        <f t="shared" si="4"/>
        <v>0</v>
      </c>
      <c r="O120" s="11">
        <f t="shared" si="4"/>
        <v>0</v>
      </c>
      <c r="P120" s="11">
        <f t="shared" si="4"/>
        <v>0</v>
      </c>
      <c r="Q120" s="11">
        <f t="shared" si="4"/>
        <v>0</v>
      </c>
      <c r="R120" s="11">
        <f t="shared" si="4"/>
        <v>0</v>
      </c>
      <c r="S120" s="11">
        <f t="shared" si="4"/>
        <v>0</v>
      </c>
    </row>
    <row r="121" spans="1:20" hidden="1" x14ac:dyDescent="0.2"/>
    <row r="122" spans="1:20" hidden="1" x14ac:dyDescent="0.2"/>
    <row r="123" spans="1:20" hidden="1" x14ac:dyDescent="0.2"/>
    <row r="124" spans="1:20" hidden="1" x14ac:dyDescent="0.2"/>
    <row r="125" spans="1:20" hidden="1" x14ac:dyDescent="0.2"/>
    <row r="126" spans="1:20" hidden="1" x14ac:dyDescent="0.2"/>
    <row r="127" spans="1:20" hidden="1" x14ac:dyDescent="0.2"/>
    <row r="128" spans="1:20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</sheetData>
  <phoneticPr fontId="0" type="noConversion"/>
  <printOptions horizontalCentered="1"/>
  <pageMargins left="0.2" right="0.2" top="0.5" bottom="0.5" header="0.25" footer="0.25"/>
  <pageSetup scale="55" fitToHeight="3" orientation="landscape" r:id="rId1"/>
  <headerFooter alignWithMargins="0"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122"/>
  <sheetViews>
    <sheetView workbookViewId="0">
      <selection activeCell="A9" sqref="A9"/>
    </sheetView>
  </sheetViews>
  <sheetFormatPr defaultRowHeight="12.75" x14ac:dyDescent="0.2"/>
  <cols>
    <col min="1" max="1" width="27.85546875" customWidth="1"/>
    <col min="2" max="2" width="13.42578125" customWidth="1"/>
    <col min="3" max="3" width="12.140625" customWidth="1"/>
    <col min="4" max="4" width="12.5703125" customWidth="1"/>
    <col min="5" max="5" width="10.42578125" customWidth="1"/>
    <col min="6" max="6" width="10.5703125" customWidth="1"/>
    <col min="7" max="7" width="13.85546875" customWidth="1"/>
    <col min="8" max="8" width="10.28515625" customWidth="1"/>
    <col min="9" max="9" width="12.140625" customWidth="1"/>
    <col min="10" max="10" width="9.85546875" customWidth="1"/>
    <col min="11" max="11" width="10.140625" customWidth="1"/>
    <col min="12" max="12" width="10.28515625" customWidth="1"/>
    <col min="13" max="13" width="10.5703125" customWidth="1"/>
    <col min="14" max="14" width="9.7109375" customWidth="1"/>
    <col min="15" max="15" width="11.140625" customWidth="1"/>
    <col min="16" max="16" width="10" customWidth="1"/>
    <col min="17" max="17" width="11.28515625" customWidth="1"/>
    <col min="18" max="18" width="11.7109375" customWidth="1"/>
    <col min="19" max="19" width="13.7109375" customWidth="1"/>
    <col min="20" max="20" width="11" hidden="1" customWidth="1"/>
    <col min="21" max="23" width="0" hidden="1" customWidth="1"/>
  </cols>
  <sheetData>
    <row r="1" spans="1:20" ht="15.75" x14ac:dyDescent="0.25">
      <c r="A1" s="63" t="s">
        <v>98</v>
      </c>
      <c r="B1" s="1"/>
      <c r="C1" s="1"/>
      <c r="D1" s="1"/>
      <c r="E1" s="1"/>
      <c r="F1" s="62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x14ac:dyDescent="0.25">
      <c r="A2" s="117" t="str">
        <f>ReportMonth</f>
        <v>DECEMBER 2004</v>
      </c>
      <c r="B2" s="1"/>
      <c r="C2" s="1"/>
      <c r="D2" s="1"/>
      <c r="E2" s="1"/>
      <c r="F2" s="62"/>
      <c r="I2" s="6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x14ac:dyDescent="0.2">
      <c r="A3" s="87" t="s">
        <v>3</v>
      </c>
      <c r="B3" s="42"/>
      <c r="C3" s="42"/>
      <c r="D3" s="42"/>
      <c r="E3" s="42"/>
      <c r="F3" s="87"/>
      <c r="G3" s="43"/>
      <c r="H3" s="87"/>
      <c r="I3" s="87"/>
      <c r="J3" s="42"/>
      <c r="K3" s="42"/>
      <c r="L3" s="42"/>
      <c r="M3" s="42"/>
      <c r="N3" s="42"/>
      <c r="O3" s="42"/>
      <c r="P3" s="42"/>
      <c r="Q3" s="42"/>
      <c r="R3" s="42"/>
      <c r="S3" s="42"/>
      <c r="T3" s="1"/>
    </row>
    <row r="4" spans="1:20" ht="15" x14ac:dyDescent="0.2">
      <c r="A4" s="87" t="s">
        <v>445</v>
      </c>
      <c r="B4" s="42"/>
      <c r="C4" s="42"/>
      <c r="D4" s="42"/>
      <c r="E4" s="42"/>
      <c r="F4" s="87"/>
      <c r="G4" s="43"/>
      <c r="H4" s="87"/>
      <c r="I4" s="87"/>
      <c r="J4" s="42"/>
      <c r="K4" s="42"/>
      <c r="L4" s="42"/>
      <c r="M4" s="42"/>
      <c r="N4" s="42"/>
      <c r="O4" s="42"/>
      <c r="P4" s="42"/>
      <c r="Q4" s="42"/>
      <c r="R4" s="42"/>
      <c r="S4" s="42"/>
      <c r="T4" s="1"/>
    </row>
    <row r="5" spans="1:20" ht="15" x14ac:dyDescent="0.2">
      <c r="A5" s="87" t="s">
        <v>87</v>
      </c>
      <c r="B5" s="42"/>
      <c r="C5" s="42"/>
      <c r="D5" s="42"/>
      <c r="E5" s="42"/>
      <c r="F5" s="43"/>
      <c r="G5" s="87"/>
      <c r="H5" s="87"/>
      <c r="I5" s="87"/>
      <c r="J5" s="42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0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1:20" ht="19.5" customHeight="1" x14ac:dyDescent="0.25">
      <c r="A7" s="118" t="s">
        <v>99</v>
      </c>
      <c r="B7" s="42"/>
      <c r="C7" s="42"/>
      <c r="D7" s="42"/>
      <c r="E7" s="42"/>
      <c r="F7" s="43"/>
      <c r="G7" s="42"/>
      <c r="H7" s="43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1"/>
    </row>
    <row r="9" spans="1:20" x14ac:dyDescent="0.2">
      <c r="A9" s="1"/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6"/>
      <c r="S9" s="5"/>
      <c r="T9" s="1"/>
    </row>
    <row r="10" spans="1:20" x14ac:dyDescent="0.2">
      <c r="A10" s="1"/>
      <c r="B10" s="92" t="s">
        <v>21</v>
      </c>
      <c r="C10" s="39" t="s">
        <v>22</v>
      </c>
      <c r="D10" s="39" t="s">
        <v>23</v>
      </c>
      <c r="E10" s="39" t="s">
        <v>24</v>
      </c>
      <c r="F10" s="39" t="s">
        <v>25</v>
      </c>
      <c r="G10" s="39" t="s">
        <v>26</v>
      </c>
      <c r="H10" s="39" t="s">
        <v>27</v>
      </c>
      <c r="I10" s="39" t="s">
        <v>28</v>
      </c>
      <c r="J10" s="39" t="s">
        <v>29</v>
      </c>
      <c r="K10" s="39" t="s">
        <v>30</v>
      </c>
      <c r="L10" s="39" t="s">
        <v>31</v>
      </c>
      <c r="M10" s="39" t="s">
        <v>32</v>
      </c>
      <c r="N10" s="39" t="s">
        <v>33</v>
      </c>
      <c r="O10" s="39" t="s">
        <v>34</v>
      </c>
      <c r="P10" s="39" t="s">
        <v>35</v>
      </c>
      <c r="Q10" s="39" t="s">
        <v>36</v>
      </c>
      <c r="R10" s="92" t="s">
        <v>37</v>
      </c>
      <c r="S10" s="109" t="s">
        <v>12</v>
      </c>
      <c r="T10" s="1"/>
    </row>
    <row r="11" spans="1:20" x14ac:dyDescent="0.2">
      <c r="A11" s="110" t="s">
        <v>13</v>
      </c>
      <c r="B11" s="38" t="s">
        <v>19</v>
      </c>
      <c r="C11" s="38" t="s">
        <v>19</v>
      </c>
      <c r="D11" s="38" t="s">
        <v>19</v>
      </c>
      <c r="E11" s="38" t="s">
        <v>19</v>
      </c>
      <c r="F11" s="38" t="s">
        <v>19</v>
      </c>
      <c r="G11" s="38" t="s">
        <v>19</v>
      </c>
      <c r="H11" s="38" t="s">
        <v>19</v>
      </c>
      <c r="I11" s="38" t="s">
        <v>19</v>
      </c>
      <c r="J11" s="38" t="s">
        <v>19</v>
      </c>
      <c r="K11" s="38" t="s">
        <v>19</v>
      </c>
      <c r="L11" s="38" t="s">
        <v>19</v>
      </c>
      <c r="M11" s="38" t="s">
        <v>19</v>
      </c>
      <c r="N11" s="38" t="s">
        <v>19</v>
      </c>
      <c r="O11" s="38" t="s">
        <v>19</v>
      </c>
      <c r="P11" s="38" t="s">
        <v>19</v>
      </c>
      <c r="Q11" s="38" t="s">
        <v>19</v>
      </c>
      <c r="R11" s="38" t="s">
        <v>19</v>
      </c>
      <c r="S11" s="98" t="s">
        <v>100</v>
      </c>
      <c r="T11" s="1"/>
    </row>
    <row r="12" spans="1:20" x14ac:dyDescent="0.2">
      <c r="A12" s="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1"/>
    </row>
    <row r="13" spans="1:20" x14ac:dyDescent="0.2">
      <c r="A13" s="1" t="s">
        <v>717</v>
      </c>
      <c r="B13" s="2">
        <f>+'s1'!M13*0.0098</f>
        <v>0</v>
      </c>
      <c r="C13" s="2">
        <f>+'s1'!N13*0.0098</f>
        <v>0</v>
      </c>
      <c r="D13" s="2">
        <f>+'s1'!O13*0.0098</f>
        <v>45.53</v>
      </c>
      <c r="E13" s="2">
        <f>+'s1'!P13*0.0098</f>
        <v>0</v>
      </c>
      <c r="F13" s="2">
        <f>+'s1'!Q13*0.0098</f>
        <v>0</v>
      </c>
      <c r="G13" s="2">
        <f>+'s1'!R13*0.0098</f>
        <v>0</v>
      </c>
      <c r="H13" s="2">
        <f>+'s1'!S13*0.0098</f>
        <v>0</v>
      </c>
      <c r="I13" s="2">
        <f>+'s1'!T13*0.0098</f>
        <v>0</v>
      </c>
      <c r="J13" s="2">
        <f>+'s1'!U13*0.0098</f>
        <v>0</v>
      </c>
      <c r="K13" s="2">
        <f>+'s1'!V13*0.0098</f>
        <v>0</v>
      </c>
      <c r="L13" s="2">
        <f>+'s1'!W13*0.0098</f>
        <v>0</v>
      </c>
      <c r="M13" s="2">
        <f>+'s1'!X13*0.0098</f>
        <v>0</v>
      </c>
      <c r="N13" s="2">
        <f>+'s1'!Y13*0.0098</f>
        <v>0</v>
      </c>
      <c r="O13" s="2">
        <f>+'s1'!Z13*0.0098</f>
        <v>0</v>
      </c>
      <c r="P13" s="2">
        <f>+'s1'!AA13*0.0098</f>
        <v>0</v>
      </c>
      <c r="Q13" s="2">
        <f>+'s1'!AB13*0.0098</f>
        <v>0</v>
      </c>
      <c r="R13" s="2">
        <f>+'s1'!AC13*0.0098</f>
        <v>0</v>
      </c>
      <c r="S13" s="2">
        <f>SUM(B13:R13)</f>
        <v>45.53</v>
      </c>
      <c r="T13" s="2"/>
    </row>
    <row r="14" spans="1:20" x14ac:dyDescent="0.2">
      <c r="A14" s="1" t="s">
        <v>39</v>
      </c>
      <c r="B14" s="2">
        <f>+'s1'!M14*0.0098</f>
        <v>0</v>
      </c>
      <c r="C14" s="2">
        <f>+'s1'!N14*0.0098</f>
        <v>0</v>
      </c>
      <c r="D14" s="2">
        <f>+'s1'!O14*0.0098</f>
        <v>0</v>
      </c>
      <c r="E14" s="2">
        <f>+'s1'!P14*0.0098</f>
        <v>0</v>
      </c>
      <c r="F14" s="2">
        <f>+'s1'!Q14*0.0098</f>
        <v>2358.62</v>
      </c>
      <c r="G14" s="2">
        <f>+'s1'!R14*0.0098</f>
        <v>0</v>
      </c>
      <c r="H14" s="2">
        <f>+'s1'!S14*0.0098</f>
        <v>156.41999999999999</v>
      </c>
      <c r="I14" s="2">
        <f>+'s1'!T14*0.0098</f>
        <v>142.76</v>
      </c>
      <c r="J14" s="2">
        <f>+'s1'!U14*0.0098</f>
        <v>673.24</v>
      </c>
      <c r="K14" s="2">
        <f>+'s1'!V14*0.0098</f>
        <v>0</v>
      </c>
      <c r="L14" s="2">
        <f>+'s1'!W14*0.0098</f>
        <v>0</v>
      </c>
      <c r="M14" s="2">
        <f>+'s1'!X14*0.0098</f>
        <v>0</v>
      </c>
      <c r="N14" s="2">
        <f>+'s1'!Y14*0.0098</f>
        <v>0</v>
      </c>
      <c r="O14" s="2">
        <f>+'s1'!Z14*0.0098</f>
        <v>0</v>
      </c>
      <c r="P14" s="2">
        <f>+'s1'!AA14*0.0098</f>
        <v>0</v>
      </c>
      <c r="Q14" s="2">
        <f>+'s1'!AB14*0.0098</f>
        <v>0</v>
      </c>
      <c r="R14" s="2">
        <f>+'s1'!AC14*0.0098</f>
        <v>78.89</v>
      </c>
      <c r="S14" s="2">
        <f>SUM(B14:R14)</f>
        <v>3409.93</v>
      </c>
      <c r="T14" s="2"/>
    </row>
    <row r="15" spans="1:20" x14ac:dyDescent="0.2">
      <c r="A15" s="1" t="s">
        <v>350</v>
      </c>
      <c r="B15" s="2">
        <f>+'s1'!M15*0.0098</f>
        <v>0</v>
      </c>
      <c r="C15" s="2">
        <f>+'s1'!N15*0.0098</f>
        <v>0</v>
      </c>
      <c r="D15" s="2">
        <f>+'s1'!O15*0.0098</f>
        <v>0</v>
      </c>
      <c r="E15" s="2">
        <f>+'s1'!P15*0.0098</f>
        <v>0</v>
      </c>
      <c r="F15" s="2">
        <f>+'s1'!Q15*0.0098</f>
        <v>0</v>
      </c>
      <c r="G15" s="2">
        <f>+'s1'!R15*0.0098</f>
        <v>0</v>
      </c>
      <c r="H15" s="2">
        <f>+'s1'!S15*0.0098</f>
        <v>0</v>
      </c>
      <c r="I15" s="2">
        <f>+'s1'!T15*0.0098</f>
        <v>0</v>
      </c>
      <c r="J15" s="2">
        <f>+'s1'!U15*0.0098</f>
        <v>163.19</v>
      </c>
      <c r="K15" s="2">
        <f>+'s1'!V15*0.0098</f>
        <v>0</v>
      </c>
      <c r="L15" s="2">
        <f>+'s1'!W15*0.0098</f>
        <v>0</v>
      </c>
      <c r="M15" s="2">
        <f>+'s1'!X15*0.0098</f>
        <v>0</v>
      </c>
      <c r="N15" s="2">
        <f>+'s1'!Y15*0.0098</f>
        <v>0</v>
      </c>
      <c r="O15" s="2">
        <f>+'s1'!Z15*0.0098</f>
        <v>0</v>
      </c>
      <c r="P15" s="2">
        <f>+'s1'!AA15*0.0098</f>
        <v>0</v>
      </c>
      <c r="Q15" s="2">
        <f>+'s1'!AB15*0.0098</f>
        <v>0</v>
      </c>
      <c r="R15" s="2">
        <f>+'s1'!AC15*0.0098</f>
        <v>0</v>
      </c>
      <c r="S15" s="2">
        <f>SUM(B15:R15)</f>
        <v>163.19</v>
      </c>
      <c r="T15" s="2"/>
    </row>
    <row r="16" spans="1:20" x14ac:dyDescent="0.2">
      <c r="A16" s="7" t="s">
        <v>40</v>
      </c>
      <c r="B16" s="2">
        <f>+'s1'!M16*0.0098</f>
        <v>0</v>
      </c>
      <c r="C16" s="2">
        <f>+'s1'!N16*0.0098</f>
        <v>0</v>
      </c>
      <c r="D16" s="2">
        <f>+'s1'!O16*0.0098</f>
        <v>1.99</v>
      </c>
      <c r="E16" s="2">
        <f>+'s1'!P16*0.0098</f>
        <v>0</v>
      </c>
      <c r="F16" s="2">
        <f>+'s1'!Q16*0.0098</f>
        <v>0</v>
      </c>
      <c r="G16" s="2">
        <f>+'s1'!R16*0.0098</f>
        <v>0</v>
      </c>
      <c r="H16" s="2">
        <f>+'s1'!S16*0.0098</f>
        <v>0</v>
      </c>
      <c r="I16" s="2">
        <f>+'s1'!T16*0.0098</f>
        <v>0</v>
      </c>
      <c r="J16" s="2">
        <f>+'s1'!U16*0.0098</f>
        <v>0</v>
      </c>
      <c r="K16" s="2">
        <f>+'s1'!V16*0.0098</f>
        <v>0</v>
      </c>
      <c r="L16" s="2">
        <f>+'s1'!W16*0.0098</f>
        <v>0</v>
      </c>
      <c r="M16" s="2">
        <f>+'s1'!X16*0.0098</f>
        <v>0</v>
      </c>
      <c r="N16" s="2">
        <f>+'s1'!Y16*0.0098</f>
        <v>0</v>
      </c>
      <c r="O16" s="2">
        <f>+'s1'!Z16*0.0098</f>
        <v>0</v>
      </c>
      <c r="P16" s="2">
        <f>+'s1'!AA16*0.0098</f>
        <v>0</v>
      </c>
      <c r="Q16" s="2">
        <f>+'s1'!AB16*0.0098</f>
        <v>0</v>
      </c>
      <c r="R16" s="2">
        <f>+'s1'!AC16*0.0098</f>
        <v>0</v>
      </c>
      <c r="S16" s="2">
        <f>SUM(B16:R16)</f>
        <v>1.99</v>
      </c>
      <c r="T16" s="2"/>
    </row>
    <row r="17" spans="1:20" s="89" customFormat="1" x14ac:dyDescent="0.2">
      <c r="A17" s="18" t="s">
        <v>607</v>
      </c>
      <c r="B17" s="2">
        <f>+'s1'!M17*0.0098</f>
        <v>0</v>
      </c>
      <c r="C17" s="2">
        <f>+'s1'!N17*0.0098</f>
        <v>0</v>
      </c>
      <c r="D17" s="2">
        <f>+'s1'!O17*0.0098</f>
        <v>49.02</v>
      </c>
      <c r="E17" s="2">
        <f>+'s1'!P17*0.0098</f>
        <v>0</v>
      </c>
      <c r="F17" s="2">
        <f>+'s1'!Q17*0.0098</f>
        <v>0</v>
      </c>
      <c r="G17" s="2">
        <f>+'s1'!R17*0.0098</f>
        <v>0</v>
      </c>
      <c r="H17" s="2">
        <f>+'s1'!S17*0.0098</f>
        <v>0</v>
      </c>
      <c r="I17" s="2">
        <f>+'s1'!T17*0.0098</f>
        <v>0</v>
      </c>
      <c r="J17" s="2">
        <f>+'s1'!U17*0.0098</f>
        <v>0</v>
      </c>
      <c r="K17" s="2">
        <f>+'s1'!V17*0.0098</f>
        <v>0</v>
      </c>
      <c r="L17" s="2">
        <f>+'s1'!W17*0.0098</f>
        <v>0</v>
      </c>
      <c r="M17" s="2">
        <f>+'s1'!X17*0.0098</f>
        <v>0</v>
      </c>
      <c r="N17" s="2">
        <f>+'s1'!Y17*0.0098</f>
        <v>0</v>
      </c>
      <c r="O17" s="2">
        <f>+'s1'!Z17*0.0098</f>
        <v>0</v>
      </c>
      <c r="P17" s="2">
        <f>+'s1'!AA17*0.0098</f>
        <v>0</v>
      </c>
      <c r="Q17" s="2">
        <f>+'s1'!AB17*0.0098</f>
        <v>1.96</v>
      </c>
      <c r="R17" s="2">
        <f>+'s1'!AC17*0.0098</f>
        <v>0</v>
      </c>
      <c r="S17" s="78">
        <f>SUM(B17:R17)</f>
        <v>50.98</v>
      </c>
      <c r="T17" s="10"/>
    </row>
    <row r="18" spans="1:20" s="20" customFormat="1" x14ac:dyDescent="0.2">
      <c r="A18" s="1" t="s">
        <v>487</v>
      </c>
      <c r="B18" s="2">
        <f>+'s1'!M18*0.0098</f>
        <v>0</v>
      </c>
      <c r="C18" s="2">
        <f>+'s1'!N18*0.0098</f>
        <v>0</v>
      </c>
      <c r="D18" s="2">
        <f>+'s1'!O18*0.0098</f>
        <v>1937</v>
      </c>
      <c r="E18" s="2">
        <f>+'s1'!P18*0.0098</f>
        <v>0</v>
      </c>
      <c r="F18" s="2">
        <f>+'s1'!Q18*0.0098</f>
        <v>0</v>
      </c>
      <c r="G18" s="2">
        <f>+'s1'!R18*0.0098</f>
        <v>0</v>
      </c>
      <c r="H18" s="2">
        <f>+'s1'!S18*0.0098</f>
        <v>0</v>
      </c>
      <c r="I18" s="2">
        <f>+'s1'!T18*0.0098</f>
        <v>0</v>
      </c>
      <c r="J18" s="2">
        <f>+'s1'!U18*0.0098</f>
        <v>0</v>
      </c>
      <c r="K18" s="2">
        <f>+'s1'!V18*0.0098</f>
        <v>0</v>
      </c>
      <c r="L18" s="2">
        <f>+'s1'!W18*0.0098</f>
        <v>0</v>
      </c>
      <c r="M18" s="2">
        <f>+'s1'!X18*0.0098</f>
        <v>0</v>
      </c>
      <c r="N18" s="2">
        <f>+'s1'!Y18*0.0098</f>
        <v>0</v>
      </c>
      <c r="O18" s="2">
        <f>+'s1'!Z18*0.0098</f>
        <v>0</v>
      </c>
      <c r="P18" s="2">
        <f>+'s1'!AA18*0.0098</f>
        <v>0</v>
      </c>
      <c r="Q18" s="2">
        <f>+'s1'!AB18*0.0098</f>
        <v>0</v>
      </c>
      <c r="R18" s="2">
        <f>+'s1'!AC18*0.0098</f>
        <v>0</v>
      </c>
      <c r="S18" s="78">
        <f t="shared" ref="S18:S30" si="0">SUM(B18:R18)</f>
        <v>1937</v>
      </c>
      <c r="T18" s="18"/>
    </row>
    <row r="19" spans="1:20" x14ac:dyDescent="0.2">
      <c r="A19" s="1" t="s">
        <v>718</v>
      </c>
      <c r="B19" s="2">
        <f>+'s1'!M19*0.0098</f>
        <v>0</v>
      </c>
      <c r="C19" s="2">
        <f>+'s1'!N19*0.0098</f>
        <v>0</v>
      </c>
      <c r="D19" s="2">
        <f>+'s1'!O19*0.0098</f>
        <v>0</v>
      </c>
      <c r="E19" s="2">
        <f>+'s1'!P19*0.0098</f>
        <v>0</v>
      </c>
      <c r="F19" s="2">
        <f>+'s1'!Q19*0.0098</f>
        <v>0</v>
      </c>
      <c r="G19" s="2">
        <f>+'s1'!R19*0.0098</f>
        <v>0</v>
      </c>
      <c r="H19" s="2">
        <f>+'s1'!S19*0.0098</f>
        <v>0</v>
      </c>
      <c r="I19" s="2">
        <f>+'s1'!T19*0.0098</f>
        <v>274.27</v>
      </c>
      <c r="J19" s="2">
        <f>+'s1'!U19*0.0098</f>
        <v>0</v>
      </c>
      <c r="K19" s="2">
        <f>+'s1'!V19*0.0098</f>
        <v>0</v>
      </c>
      <c r="L19" s="2">
        <f>+'s1'!W19*0.0098</f>
        <v>0</v>
      </c>
      <c r="M19" s="2">
        <f>+'s1'!X19*0.0098</f>
        <v>0</v>
      </c>
      <c r="N19" s="2">
        <f>+'s1'!Y19*0.0098</f>
        <v>0</v>
      </c>
      <c r="O19" s="2">
        <f>+'s1'!Z19*0.0098</f>
        <v>0</v>
      </c>
      <c r="P19" s="2">
        <f>+'s1'!AA19*0.0098</f>
        <v>0</v>
      </c>
      <c r="Q19" s="2">
        <f>+'s1'!AB19*0.0098</f>
        <v>957.03</v>
      </c>
      <c r="R19" s="2">
        <f>+'s1'!AC19*0.0098</f>
        <v>0</v>
      </c>
      <c r="S19" s="2">
        <f>SUM(B19:R19)</f>
        <v>1231.3</v>
      </c>
      <c r="T19" s="1"/>
    </row>
    <row r="20" spans="1:20" x14ac:dyDescent="0.2">
      <c r="A20" s="1" t="s">
        <v>41</v>
      </c>
      <c r="B20" s="2">
        <f>+'s1'!M20*0.0098</f>
        <v>0</v>
      </c>
      <c r="C20" s="2">
        <f>+'s1'!N20*0.0098</f>
        <v>0</v>
      </c>
      <c r="D20" s="2">
        <f>+'s1'!O20*0.0098</f>
        <v>0</v>
      </c>
      <c r="E20" s="2">
        <f>+'s1'!P20*0.0098</f>
        <v>0</v>
      </c>
      <c r="F20" s="2">
        <f>+'s1'!Q20*0.0098</f>
        <v>0</v>
      </c>
      <c r="G20" s="2">
        <f>+'s1'!R20*0.0098</f>
        <v>0</v>
      </c>
      <c r="H20" s="2">
        <f>+'s1'!S20*0.0098</f>
        <v>0</v>
      </c>
      <c r="I20" s="2">
        <f>+'s1'!T20*0.0098</f>
        <v>0</v>
      </c>
      <c r="J20" s="2">
        <f>+'s1'!U20*0.0098</f>
        <v>49.98</v>
      </c>
      <c r="K20" s="2">
        <f>+'s1'!V20*0.0098</f>
        <v>0</v>
      </c>
      <c r="L20" s="2">
        <f>+'s1'!W20*0.0098</f>
        <v>0</v>
      </c>
      <c r="M20" s="2">
        <f>+'s1'!X20*0.0098</f>
        <v>0</v>
      </c>
      <c r="N20" s="2">
        <f>+'s1'!Y20*0.0098</f>
        <v>0</v>
      </c>
      <c r="O20" s="2">
        <f>+'s1'!Z20*0.0098</f>
        <v>0</v>
      </c>
      <c r="P20" s="2">
        <f>+'s1'!AA20*0.0098</f>
        <v>0</v>
      </c>
      <c r="Q20" s="2">
        <f>+'s1'!AB20*0.0098</f>
        <v>0</v>
      </c>
      <c r="R20" s="2">
        <f>+'s1'!AC20*0.0098</f>
        <v>0</v>
      </c>
      <c r="S20" s="2">
        <f t="shared" si="0"/>
        <v>49.98</v>
      </c>
      <c r="T20" s="1"/>
    </row>
    <row r="21" spans="1:20" x14ac:dyDescent="0.2">
      <c r="A21" s="1" t="s">
        <v>432</v>
      </c>
      <c r="B21" s="2">
        <f>+'s1'!M21*0.0098</f>
        <v>0</v>
      </c>
      <c r="C21" s="2">
        <f>+'s1'!N21*0.0098</f>
        <v>0</v>
      </c>
      <c r="D21" s="2">
        <f>+'s1'!O21*0.0098</f>
        <v>9526.7099999999991</v>
      </c>
      <c r="E21" s="2">
        <f>+'s1'!P21*0.0098</f>
        <v>0</v>
      </c>
      <c r="F21" s="2">
        <f>+'s1'!Q21*0.0098</f>
        <v>0</v>
      </c>
      <c r="G21" s="2">
        <f>+'s1'!R21*0.0098</f>
        <v>0</v>
      </c>
      <c r="H21" s="2">
        <f>+'s1'!S21*0.0098</f>
        <v>0</v>
      </c>
      <c r="I21" s="2">
        <f>+'s1'!T21*0.0098</f>
        <v>0</v>
      </c>
      <c r="J21" s="2">
        <f>+'s1'!U21*0.0098</f>
        <v>0</v>
      </c>
      <c r="K21" s="2">
        <f>+'s1'!V21*0.0098</f>
        <v>0</v>
      </c>
      <c r="L21" s="2">
        <f>+'s1'!W21*0.0098</f>
        <v>0</v>
      </c>
      <c r="M21" s="2">
        <f>+'s1'!X21*0.0098</f>
        <v>0</v>
      </c>
      <c r="N21" s="2">
        <f>+'s1'!Y21*0.0098</f>
        <v>0</v>
      </c>
      <c r="O21" s="2">
        <f>+'s1'!Z21*0.0098</f>
        <v>0</v>
      </c>
      <c r="P21" s="2">
        <f>+'s1'!AA21*0.0098</f>
        <v>0</v>
      </c>
      <c r="Q21" s="2">
        <f>+'s1'!AB21*0.0098</f>
        <v>3050.33</v>
      </c>
      <c r="R21" s="2">
        <f>+'s1'!AC21*0.0098</f>
        <v>0</v>
      </c>
      <c r="S21" s="2">
        <f t="shared" si="0"/>
        <v>12577.04</v>
      </c>
      <c r="T21" s="1"/>
    </row>
    <row r="22" spans="1:20" x14ac:dyDescent="0.2">
      <c r="A22" s="1" t="s">
        <v>719</v>
      </c>
      <c r="B22" s="2">
        <f>+'s1'!M22*0.0098</f>
        <v>244.13</v>
      </c>
      <c r="C22" s="2">
        <f>+'s1'!N22*0.0098</f>
        <v>0</v>
      </c>
      <c r="D22" s="2">
        <f>+'s1'!O22*0.0098</f>
        <v>0</v>
      </c>
      <c r="E22" s="2">
        <f>+'s1'!P22*0.0098</f>
        <v>0</v>
      </c>
      <c r="F22" s="2">
        <f>+'s1'!Q22*0.0098</f>
        <v>0</v>
      </c>
      <c r="G22" s="2">
        <f>+'s1'!R22*0.0098</f>
        <v>0</v>
      </c>
      <c r="H22" s="2">
        <f>+'s1'!S22*0.0098</f>
        <v>0</v>
      </c>
      <c r="I22" s="2">
        <f>+'s1'!T22*0.0098</f>
        <v>0</v>
      </c>
      <c r="J22" s="2">
        <f>+'s1'!U22*0.0098</f>
        <v>0</v>
      </c>
      <c r="K22" s="2">
        <f>+'s1'!V22*0.0098</f>
        <v>0</v>
      </c>
      <c r="L22" s="2">
        <f>+'s1'!W22*0.0098</f>
        <v>0</v>
      </c>
      <c r="M22" s="2">
        <f>+'s1'!X22*0.0098</f>
        <v>0</v>
      </c>
      <c r="N22" s="2">
        <f>+'s1'!Y22*0.0098</f>
        <v>0</v>
      </c>
      <c r="O22" s="2">
        <f>+'s1'!Z22*0.0098</f>
        <v>0</v>
      </c>
      <c r="P22" s="2">
        <f>+'s1'!AA22*0.0098</f>
        <v>0</v>
      </c>
      <c r="Q22" s="2">
        <f>+'s1'!AB22*0.0098</f>
        <v>0</v>
      </c>
      <c r="R22" s="2">
        <f>+'s1'!AC22*0.0098</f>
        <v>0</v>
      </c>
      <c r="S22" s="2">
        <f>SUM(B22:R22)</f>
        <v>244.13</v>
      </c>
      <c r="T22" s="2"/>
    </row>
    <row r="23" spans="1:20" x14ac:dyDescent="0.2">
      <c r="A23" s="1" t="s">
        <v>446</v>
      </c>
      <c r="B23" s="2">
        <f>+'s1'!M23*0.0098</f>
        <v>0</v>
      </c>
      <c r="C23" s="2">
        <f>+'s1'!N23*0.0098</f>
        <v>2952.12</v>
      </c>
      <c r="D23" s="2">
        <f>+'s1'!O23*0.0098</f>
        <v>0</v>
      </c>
      <c r="E23" s="2">
        <f>+'s1'!P23*0.0098</f>
        <v>481.32</v>
      </c>
      <c r="F23" s="2">
        <f>+'s1'!Q23*0.0098</f>
        <v>0</v>
      </c>
      <c r="G23" s="2">
        <f>+'s1'!R23*0.0098</f>
        <v>0</v>
      </c>
      <c r="H23" s="2">
        <f>+'s1'!S23*0.0098</f>
        <v>0</v>
      </c>
      <c r="I23" s="2">
        <f>+'s1'!T23*0.0098</f>
        <v>0</v>
      </c>
      <c r="J23" s="2">
        <f>+'s1'!U23*0.0098</f>
        <v>0</v>
      </c>
      <c r="K23" s="2">
        <f>+'s1'!V23*0.0098</f>
        <v>0</v>
      </c>
      <c r="L23" s="2">
        <f>+'s1'!W23*0.0098</f>
        <v>0</v>
      </c>
      <c r="M23" s="2">
        <f>+'s1'!X23*0.0098</f>
        <v>0</v>
      </c>
      <c r="N23" s="2">
        <f>+'s1'!Y23*0.0098</f>
        <v>0</v>
      </c>
      <c r="O23" s="2">
        <f>+'s1'!Z23*0.0098</f>
        <v>0</v>
      </c>
      <c r="P23" s="2">
        <f>+'s1'!AA23*0.0098</f>
        <v>0</v>
      </c>
      <c r="Q23" s="2">
        <f>+'s1'!AB23*0.0098</f>
        <v>0</v>
      </c>
      <c r="R23" s="2">
        <f>+'s1'!AC23*0.0098</f>
        <v>0</v>
      </c>
      <c r="S23" s="2">
        <f t="shared" si="0"/>
        <v>3433.44</v>
      </c>
      <c r="T23" s="2"/>
    </row>
    <row r="24" spans="1:20" x14ac:dyDescent="0.2">
      <c r="A24" s="1" t="s">
        <v>447</v>
      </c>
      <c r="B24" s="2">
        <f>+'s1'!M24*0.0098</f>
        <v>9448.2099999999991</v>
      </c>
      <c r="C24" s="2">
        <f>+'s1'!N24*0.0098</f>
        <v>994.27</v>
      </c>
      <c r="D24" s="2">
        <f>+'s1'!O24*0.0098</f>
        <v>43.69</v>
      </c>
      <c r="E24" s="2">
        <f>+'s1'!P24*0.0098</f>
        <v>5560.15</v>
      </c>
      <c r="F24" s="2">
        <f>+'s1'!Q24*0.0098</f>
        <v>3055.4</v>
      </c>
      <c r="G24" s="2">
        <f>+'s1'!R24*0.0098</f>
        <v>0</v>
      </c>
      <c r="H24" s="2">
        <f>+'s1'!S24*0.0098</f>
        <v>375.65</v>
      </c>
      <c r="I24" s="2">
        <f>+'s1'!T24*0.0098</f>
        <v>1796.07</v>
      </c>
      <c r="J24" s="2">
        <f>+'s1'!U24*0.0098</f>
        <v>1091.25</v>
      </c>
      <c r="K24" s="2">
        <f>+'s1'!V24*0.0098</f>
        <v>0</v>
      </c>
      <c r="L24" s="2">
        <f>+'s1'!W24*0.0098</f>
        <v>2365.9899999999998</v>
      </c>
      <c r="M24" s="2">
        <f>+'s1'!X24*0.0098</f>
        <v>250.64</v>
      </c>
      <c r="N24" s="2">
        <f>+'s1'!Y24*0.0098</f>
        <v>249.02</v>
      </c>
      <c r="O24" s="2">
        <f>+'s1'!Z24*0.0098</f>
        <v>745.21</v>
      </c>
      <c r="P24" s="2">
        <f>+'s1'!AA24*0.0098</f>
        <v>0</v>
      </c>
      <c r="Q24" s="2">
        <f>+'s1'!AB24*0.0098</f>
        <v>56453.25</v>
      </c>
      <c r="R24" s="2">
        <f>+'s1'!AC24*0.0098</f>
        <v>442.81</v>
      </c>
      <c r="S24" s="2">
        <f t="shared" si="0"/>
        <v>82871.61</v>
      </c>
      <c r="T24" s="1"/>
    </row>
    <row r="25" spans="1:20" x14ac:dyDescent="0.2">
      <c r="A25" s="1" t="s">
        <v>368</v>
      </c>
      <c r="B25" s="2">
        <f>+'s1'!M25*0.0098</f>
        <v>0</v>
      </c>
      <c r="C25" s="2">
        <f>+'s1'!N25*0.0098</f>
        <v>0</v>
      </c>
      <c r="D25" s="2">
        <f>+'s1'!O25*0.0098</f>
        <v>0</v>
      </c>
      <c r="E25" s="2">
        <f>+'s1'!P25*0.0098</f>
        <v>0</v>
      </c>
      <c r="F25" s="2">
        <f>+'s1'!Q25*0.0098</f>
        <v>0</v>
      </c>
      <c r="G25" s="2">
        <f>+'s1'!R25*0.0098</f>
        <v>0</v>
      </c>
      <c r="H25" s="2">
        <f>+'s1'!S25*0.0098</f>
        <v>0</v>
      </c>
      <c r="I25" s="2">
        <f>+'s1'!T25*0.0098</f>
        <v>0</v>
      </c>
      <c r="J25" s="2">
        <f>+'s1'!U25*0.0098</f>
        <v>0</v>
      </c>
      <c r="K25" s="2">
        <f>+'s1'!V25*0.0098</f>
        <v>0</v>
      </c>
      <c r="L25" s="2">
        <f>+'s1'!W25*0.0098</f>
        <v>1245.74</v>
      </c>
      <c r="M25" s="2">
        <f>+'s1'!X25*0.0098</f>
        <v>0</v>
      </c>
      <c r="N25" s="2">
        <f>+'s1'!Y25*0.0098</f>
        <v>0</v>
      </c>
      <c r="O25" s="2">
        <f>+'s1'!Z25*0.0098</f>
        <v>0</v>
      </c>
      <c r="P25" s="2">
        <f>+'s1'!AA25*0.0098</f>
        <v>0</v>
      </c>
      <c r="Q25" s="2">
        <f>+'s1'!AB25*0.0098</f>
        <v>0</v>
      </c>
      <c r="R25" s="2">
        <f>+'s1'!AC25*0.0098</f>
        <v>0</v>
      </c>
      <c r="S25" s="2">
        <f t="shared" si="0"/>
        <v>1245.74</v>
      </c>
      <c r="T25" s="2"/>
    </row>
    <row r="26" spans="1:20" x14ac:dyDescent="0.2">
      <c r="A26" s="1" t="s">
        <v>755</v>
      </c>
      <c r="B26" s="2">
        <f>+'s1'!M26*0.0098</f>
        <v>0</v>
      </c>
      <c r="C26" s="2">
        <f>+'s1'!N26*0.0098</f>
        <v>0</v>
      </c>
      <c r="D26" s="2">
        <f>+'s1'!O26*0.0098</f>
        <v>0</v>
      </c>
      <c r="E26" s="2">
        <f>+'s1'!P26*0.0098</f>
        <v>0</v>
      </c>
      <c r="F26" s="2">
        <f>+'s1'!Q26*0.0098</f>
        <v>0</v>
      </c>
      <c r="G26" s="2">
        <f>+'s1'!R26*0.0098</f>
        <v>0</v>
      </c>
      <c r="H26" s="2">
        <f>+'s1'!S26*0.0098</f>
        <v>0</v>
      </c>
      <c r="I26" s="2">
        <f>+'s1'!T26*0.0098</f>
        <v>0</v>
      </c>
      <c r="J26" s="2">
        <f>+'s1'!U26*0.0098</f>
        <v>0</v>
      </c>
      <c r="K26" s="2">
        <f>+'s1'!V26*0.0098</f>
        <v>0</v>
      </c>
      <c r="L26" s="2">
        <f>+'s1'!W26*0.0098</f>
        <v>0</v>
      </c>
      <c r="M26" s="2">
        <f>+'s1'!X26*0.0098</f>
        <v>0</v>
      </c>
      <c r="N26" s="2">
        <f>+'s1'!Y26*0.0098</f>
        <v>0</v>
      </c>
      <c r="O26" s="2">
        <f>+'s1'!Z26*0.0098</f>
        <v>0</v>
      </c>
      <c r="P26" s="2">
        <f>+'s1'!AA26*0.0098</f>
        <v>0</v>
      </c>
      <c r="Q26" s="2">
        <f>+'s1'!AB26*0.0098</f>
        <v>0</v>
      </c>
      <c r="R26" s="2">
        <f>+'s1'!AC26*0.0098</f>
        <v>0</v>
      </c>
      <c r="S26" s="2">
        <f t="shared" si="0"/>
        <v>0</v>
      </c>
      <c r="T26" s="2"/>
    </row>
    <row r="27" spans="1:20" s="20" customFormat="1" x14ac:dyDescent="0.2">
      <c r="A27" s="1" t="s">
        <v>448</v>
      </c>
      <c r="B27" s="2">
        <f>+'s1'!M27*0.0098</f>
        <v>10975.04</v>
      </c>
      <c r="C27" s="2">
        <f>+'s1'!N27*0.0098</f>
        <v>0</v>
      </c>
      <c r="D27" s="2">
        <f>+'s1'!O27*0.0098</f>
        <v>98108.33</v>
      </c>
      <c r="E27" s="2">
        <f>+'s1'!P27*0.0098</f>
        <v>6848.09</v>
      </c>
      <c r="F27" s="2">
        <f>+'s1'!Q27*0.0098</f>
        <v>0</v>
      </c>
      <c r="G27" s="2">
        <f>+'s1'!R27*0.0098</f>
        <v>0</v>
      </c>
      <c r="H27" s="2">
        <f>+'s1'!S27*0.0098</f>
        <v>0</v>
      </c>
      <c r="I27" s="2">
        <f>+'s1'!T27*0.0098</f>
        <v>0</v>
      </c>
      <c r="J27" s="2">
        <f>+'s1'!U27*0.0098</f>
        <v>0</v>
      </c>
      <c r="K27" s="2">
        <f>+'s1'!V27*0.0098</f>
        <v>0</v>
      </c>
      <c r="L27" s="2">
        <f>+'s1'!W27*0.0098</f>
        <v>0</v>
      </c>
      <c r="M27" s="2">
        <f>+'s1'!X27*0.0098</f>
        <v>0</v>
      </c>
      <c r="N27" s="2">
        <f>+'s1'!Y27*0.0098</f>
        <v>0</v>
      </c>
      <c r="O27" s="2">
        <f>+'s1'!Z27*0.0098</f>
        <v>0</v>
      </c>
      <c r="P27" s="2">
        <f>+'s1'!AA27*0.0098</f>
        <v>0</v>
      </c>
      <c r="Q27" s="2">
        <f>+'s1'!AB27*0.0098</f>
        <v>22959.34</v>
      </c>
      <c r="R27" s="2">
        <f>+'s1'!AC27*0.0098</f>
        <v>0</v>
      </c>
      <c r="S27" s="78">
        <f t="shared" si="0"/>
        <v>138890.79999999999</v>
      </c>
      <c r="T27" s="18"/>
    </row>
    <row r="28" spans="1:20" x14ac:dyDescent="0.2">
      <c r="A28" s="1" t="s">
        <v>353</v>
      </c>
      <c r="B28" s="2">
        <f>+'s1'!M28*0.0098</f>
        <v>0</v>
      </c>
      <c r="C28" s="2">
        <f>+'s1'!N28*0.0098</f>
        <v>0</v>
      </c>
      <c r="D28" s="2">
        <f>+'s1'!O28*0.0098</f>
        <v>13697.65</v>
      </c>
      <c r="E28" s="2">
        <f>+'s1'!P28*0.0098</f>
        <v>0</v>
      </c>
      <c r="F28" s="2">
        <f>+'s1'!Q28*0.0098</f>
        <v>0</v>
      </c>
      <c r="G28" s="2">
        <f>+'s1'!R28*0.0098</f>
        <v>0</v>
      </c>
      <c r="H28" s="2">
        <f>+'s1'!S28*0.0098</f>
        <v>0</v>
      </c>
      <c r="I28" s="2">
        <f>+'s1'!T28*0.0098</f>
        <v>0</v>
      </c>
      <c r="J28" s="2">
        <f>+'s1'!U28*0.0098</f>
        <v>0</v>
      </c>
      <c r="K28" s="2">
        <f>+'s1'!V28*0.0098</f>
        <v>0</v>
      </c>
      <c r="L28" s="2">
        <f>+'s1'!W28*0.0098</f>
        <v>64.28</v>
      </c>
      <c r="M28" s="2">
        <f>+'s1'!X28*0.0098</f>
        <v>0</v>
      </c>
      <c r="N28" s="2">
        <f>+'s1'!Y28*0.0098</f>
        <v>0</v>
      </c>
      <c r="O28" s="2">
        <f>+'s1'!Z28*0.0098</f>
        <v>0</v>
      </c>
      <c r="P28" s="2">
        <f>+'s1'!AA28*0.0098</f>
        <v>0</v>
      </c>
      <c r="Q28" s="2">
        <f>+'s1'!AB28*0.0098</f>
        <v>0</v>
      </c>
      <c r="R28" s="2">
        <f>+'s1'!AC28*0.0098</f>
        <v>0</v>
      </c>
      <c r="S28" s="2">
        <f>SUM(B28:R28)</f>
        <v>13761.93</v>
      </c>
      <c r="T28" s="1"/>
    </row>
    <row r="29" spans="1:20" x14ac:dyDescent="0.2">
      <c r="A29" s="18" t="s">
        <v>488</v>
      </c>
      <c r="B29" s="2">
        <f>+'s1'!M29*0.0098</f>
        <v>0</v>
      </c>
      <c r="C29" s="2">
        <f>+'s1'!N29*0.0098</f>
        <v>0</v>
      </c>
      <c r="D29" s="2">
        <f>+'s1'!O29*0.0098</f>
        <v>0</v>
      </c>
      <c r="E29" s="2">
        <f>+'s1'!P29*0.0098</f>
        <v>0</v>
      </c>
      <c r="F29" s="2">
        <f>+'s1'!Q29*0.0098</f>
        <v>457.42</v>
      </c>
      <c r="G29" s="2">
        <f>+'s1'!R29*0.0098</f>
        <v>0</v>
      </c>
      <c r="H29" s="2">
        <f>+'s1'!S29*0.0098</f>
        <v>0</v>
      </c>
      <c r="I29" s="2">
        <f>+'s1'!T29*0.0098</f>
        <v>0</v>
      </c>
      <c r="J29" s="2">
        <f>+'s1'!U29*0.0098</f>
        <v>0</v>
      </c>
      <c r="K29" s="2">
        <f>+'s1'!V29*0.0098</f>
        <v>0</v>
      </c>
      <c r="L29" s="2">
        <f>+'s1'!W29*0.0098</f>
        <v>0</v>
      </c>
      <c r="M29" s="2">
        <f>+'s1'!X29*0.0098</f>
        <v>0</v>
      </c>
      <c r="N29" s="2">
        <f>+'s1'!Y29*0.0098</f>
        <v>0</v>
      </c>
      <c r="O29" s="2">
        <f>+'s1'!Z29*0.0098</f>
        <v>0</v>
      </c>
      <c r="P29" s="2">
        <f>+'s1'!AA29*0.0098</f>
        <v>0</v>
      </c>
      <c r="Q29" s="2">
        <f>+'s1'!AB29*0.0098</f>
        <v>0</v>
      </c>
      <c r="R29" s="2">
        <f>+'s1'!AC29*0.0098</f>
        <v>0</v>
      </c>
      <c r="S29" s="2">
        <f t="shared" si="0"/>
        <v>457.42</v>
      </c>
      <c r="T29" s="2"/>
    </row>
    <row r="30" spans="1:20" x14ac:dyDescent="0.2">
      <c r="A30" s="1" t="s">
        <v>301</v>
      </c>
      <c r="B30" s="2">
        <f>+'s1'!M30*0.0098</f>
        <v>0</v>
      </c>
      <c r="C30" s="2">
        <f>+'s1'!N30*0.0098</f>
        <v>0</v>
      </c>
      <c r="D30" s="2">
        <f>+'s1'!O30*0.0098</f>
        <v>1055.6500000000001</v>
      </c>
      <c r="E30" s="2">
        <f>+'s1'!P30*0.0098</f>
        <v>0</v>
      </c>
      <c r="F30" s="2">
        <f>+'s1'!Q30*0.0098</f>
        <v>0</v>
      </c>
      <c r="G30" s="2">
        <f>+'s1'!R30*0.0098</f>
        <v>0</v>
      </c>
      <c r="H30" s="2">
        <f>+'s1'!S30*0.0098</f>
        <v>0</v>
      </c>
      <c r="I30" s="2">
        <f>+'s1'!T30*0.0098</f>
        <v>0</v>
      </c>
      <c r="J30" s="2">
        <f>+'s1'!U30*0.0098</f>
        <v>0</v>
      </c>
      <c r="K30" s="2">
        <f>+'s1'!V30*0.0098</f>
        <v>0</v>
      </c>
      <c r="L30" s="2">
        <f>+'s1'!W30*0.0098</f>
        <v>0</v>
      </c>
      <c r="M30" s="2">
        <f>+'s1'!X30*0.0098</f>
        <v>0</v>
      </c>
      <c r="N30" s="2">
        <f>+'s1'!Y30*0.0098</f>
        <v>0</v>
      </c>
      <c r="O30" s="2">
        <f>+'s1'!Z30*0.0098</f>
        <v>0</v>
      </c>
      <c r="P30" s="2">
        <f>+'s1'!AA30*0.0098</f>
        <v>0</v>
      </c>
      <c r="Q30" s="2">
        <f>+'s1'!AB30*0.0098</f>
        <v>0</v>
      </c>
      <c r="R30" s="2">
        <f>+'s1'!AC30*0.0098</f>
        <v>0</v>
      </c>
      <c r="S30" s="2">
        <f t="shared" si="0"/>
        <v>1055.6500000000001</v>
      </c>
      <c r="T30" s="2"/>
    </row>
    <row r="31" spans="1:20" s="89" customFormat="1" x14ac:dyDescent="0.2">
      <c r="A31" s="18" t="s">
        <v>632</v>
      </c>
      <c r="B31" s="2">
        <f>+'s1'!M31*0.0098</f>
        <v>0</v>
      </c>
      <c r="C31" s="2">
        <f>+'s1'!N31*0.0098</f>
        <v>0</v>
      </c>
      <c r="D31" s="2">
        <f>+'s1'!O31*0.0098</f>
        <v>0</v>
      </c>
      <c r="E31" s="2">
        <f>+'s1'!P31*0.0098</f>
        <v>0</v>
      </c>
      <c r="F31" s="2">
        <f>+'s1'!Q31*0.0098</f>
        <v>4.03</v>
      </c>
      <c r="G31" s="2">
        <f>+'s1'!R31*0.0098</f>
        <v>0</v>
      </c>
      <c r="H31" s="2">
        <f>+'s1'!S31*0.0098</f>
        <v>0</v>
      </c>
      <c r="I31" s="2">
        <f>+'s1'!T31*0.0098</f>
        <v>0</v>
      </c>
      <c r="J31" s="2">
        <f>+'s1'!U31*0.0098</f>
        <v>0</v>
      </c>
      <c r="K31" s="2">
        <f>+'s1'!V31*0.0098</f>
        <v>0</v>
      </c>
      <c r="L31" s="2">
        <f>+'s1'!W31*0.0098</f>
        <v>0</v>
      </c>
      <c r="M31" s="2">
        <f>+'s1'!X31*0.0098</f>
        <v>0</v>
      </c>
      <c r="N31" s="2">
        <f>+'s1'!Y31*0.0098</f>
        <v>0</v>
      </c>
      <c r="O31" s="2">
        <f>+'s1'!Z31*0.0098</f>
        <v>0</v>
      </c>
      <c r="P31" s="2">
        <f>+'s1'!AA31*0.0098</f>
        <v>0</v>
      </c>
      <c r="Q31" s="2">
        <f>+'s1'!AB31*0.0098</f>
        <v>0</v>
      </c>
      <c r="R31" s="2">
        <f>+'s1'!AC31*0.0098</f>
        <v>0</v>
      </c>
      <c r="S31" s="78">
        <f>SUM(B31:R31)</f>
        <v>4.03</v>
      </c>
      <c r="T31" s="10"/>
    </row>
    <row r="32" spans="1:20" x14ac:dyDescent="0.2">
      <c r="A32" s="1" t="s">
        <v>42</v>
      </c>
      <c r="B32" s="2">
        <f>+'s1'!M32*0.0098</f>
        <v>1707.48</v>
      </c>
      <c r="C32" s="2">
        <f>+'s1'!N32*0.0098</f>
        <v>0</v>
      </c>
      <c r="D32" s="2">
        <f>+'s1'!O32*0.0098</f>
        <v>0</v>
      </c>
      <c r="E32" s="2">
        <f>+'s1'!P32*0.0098</f>
        <v>708.52</v>
      </c>
      <c r="F32" s="2">
        <f>+'s1'!Q32*0.0098</f>
        <v>0</v>
      </c>
      <c r="G32" s="2">
        <f>+'s1'!R32*0.0098</f>
        <v>0</v>
      </c>
      <c r="H32" s="2">
        <f>+'s1'!S32*0.0098</f>
        <v>0</v>
      </c>
      <c r="I32" s="2">
        <f>+'s1'!T32*0.0098</f>
        <v>83.3</v>
      </c>
      <c r="J32" s="2">
        <f>+'s1'!U32*0.0098</f>
        <v>0</v>
      </c>
      <c r="K32" s="2">
        <f>+'s1'!V32*0.0098</f>
        <v>0</v>
      </c>
      <c r="L32" s="2">
        <f>+'s1'!W32*0.0098</f>
        <v>1589.06</v>
      </c>
      <c r="M32" s="2">
        <f>+'s1'!X32*0.0098</f>
        <v>0</v>
      </c>
      <c r="N32" s="2">
        <f>+'s1'!Y32*0.0098</f>
        <v>0</v>
      </c>
      <c r="O32" s="2">
        <f>+'s1'!Z32*0.0098</f>
        <v>0</v>
      </c>
      <c r="P32" s="2">
        <f>+'s1'!AA32*0.0098</f>
        <v>249.93</v>
      </c>
      <c r="Q32" s="2">
        <f>+'s1'!AB32*0.0098</f>
        <v>799.68</v>
      </c>
      <c r="R32" s="2">
        <f>+'s1'!AC32*0.0098</f>
        <v>0</v>
      </c>
      <c r="S32" s="2">
        <f t="shared" ref="S32:S55" si="1">SUM(B32:R32)</f>
        <v>5137.97</v>
      </c>
      <c r="T32" s="2"/>
    </row>
    <row r="33" spans="1:20" x14ac:dyDescent="0.2">
      <c r="A33" s="1" t="s">
        <v>449</v>
      </c>
      <c r="B33" s="2">
        <f>+'s1'!M33*0.0098</f>
        <v>0</v>
      </c>
      <c r="C33" s="2">
        <f>+'s1'!N33*0.0098</f>
        <v>0</v>
      </c>
      <c r="D33" s="2">
        <f>+'s1'!O33*0.0098</f>
        <v>0</v>
      </c>
      <c r="E33" s="2">
        <f>+'s1'!P33*0.0098</f>
        <v>0</v>
      </c>
      <c r="F33" s="2">
        <f>+'s1'!Q33*0.0098</f>
        <v>1254.3900000000001</v>
      </c>
      <c r="G33" s="2">
        <f>+'s1'!R33*0.0098</f>
        <v>0</v>
      </c>
      <c r="H33" s="2">
        <f>+'s1'!S33*0.0098</f>
        <v>0</v>
      </c>
      <c r="I33" s="2">
        <f>+'s1'!T33*0.0098</f>
        <v>2282.63</v>
      </c>
      <c r="J33" s="2">
        <f>+'s1'!U33*0.0098</f>
        <v>0</v>
      </c>
      <c r="K33" s="2">
        <f>+'s1'!V33*0.0098</f>
        <v>0</v>
      </c>
      <c r="L33" s="2">
        <f>+'s1'!W33*0.0098</f>
        <v>0</v>
      </c>
      <c r="M33" s="2">
        <f>+'s1'!X33*0.0098</f>
        <v>0</v>
      </c>
      <c r="N33" s="2">
        <f>+'s1'!Y33*0.0098</f>
        <v>0</v>
      </c>
      <c r="O33" s="2">
        <f>+'s1'!Z33*0.0098</f>
        <v>0</v>
      </c>
      <c r="P33" s="2">
        <f>+'s1'!AA33*0.0098</f>
        <v>0</v>
      </c>
      <c r="Q33" s="2">
        <f>+'s1'!AB33*0.0098</f>
        <v>0</v>
      </c>
      <c r="R33" s="2">
        <f>+'s1'!AC33*0.0098</f>
        <v>0</v>
      </c>
      <c r="S33" s="2">
        <f>SUM(B33:R33)</f>
        <v>3537.02</v>
      </c>
      <c r="T33" s="2"/>
    </row>
    <row r="34" spans="1:20" x14ac:dyDescent="0.2">
      <c r="A34" s="1" t="s">
        <v>43</v>
      </c>
      <c r="B34" s="2">
        <f>+'s1'!M34*0.0098</f>
        <v>0</v>
      </c>
      <c r="C34" s="2">
        <f>+'s1'!N34*0.0098</f>
        <v>0</v>
      </c>
      <c r="D34" s="2">
        <f>+'s1'!O34*0.0098</f>
        <v>37164.92</v>
      </c>
      <c r="E34" s="2">
        <f>+'s1'!P34*0.0098</f>
        <v>0</v>
      </c>
      <c r="F34" s="2">
        <f>+'s1'!Q34*0.0098</f>
        <v>0</v>
      </c>
      <c r="G34" s="2">
        <f>+'s1'!R34*0.0098</f>
        <v>0</v>
      </c>
      <c r="H34" s="2">
        <f>+'s1'!S34*0.0098</f>
        <v>0</v>
      </c>
      <c r="I34" s="2">
        <f>+'s1'!T34*0.0098</f>
        <v>0</v>
      </c>
      <c r="J34" s="2">
        <f>+'s1'!U34*0.0098</f>
        <v>0</v>
      </c>
      <c r="K34" s="2">
        <f>+'s1'!V34*0.0098</f>
        <v>0</v>
      </c>
      <c r="L34" s="2">
        <f>+'s1'!W34*0.0098</f>
        <v>0</v>
      </c>
      <c r="M34" s="2">
        <f>+'s1'!X34*0.0098</f>
        <v>0</v>
      </c>
      <c r="N34" s="2">
        <f>+'s1'!Y34*0.0098</f>
        <v>0</v>
      </c>
      <c r="O34" s="2">
        <f>+'s1'!Z34*0.0098</f>
        <v>0</v>
      </c>
      <c r="P34" s="2">
        <f>+'s1'!AA34*0.0098</f>
        <v>0</v>
      </c>
      <c r="Q34" s="2">
        <f>+'s1'!AB34*0.0098</f>
        <v>86.48</v>
      </c>
      <c r="R34" s="2">
        <f>+'s1'!AC34*0.0098</f>
        <v>0</v>
      </c>
      <c r="S34" s="2">
        <f t="shared" si="1"/>
        <v>37251.4</v>
      </c>
      <c r="T34" s="2"/>
    </row>
    <row r="35" spans="1:20" ht="13.5" customHeight="1" x14ac:dyDescent="0.2">
      <c r="A35" s="1" t="s">
        <v>44</v>
      </c>
      <c r="B35" s="2">
        <f>+'s1'!M35*0.0098</f>
        <v>0</v>
      </c>
      <c r="C35" s="2">
        <f>+'s1'!N35*0.0098</f>
        <v>0</v>
      </c>
      <c r="D35" s="2">
        <f>+'s1'!O35*0.0098</f>
        <v>0</v>
      </c>
      <c r="E35" s="2">
        <f>+'s1'!P35*0.0098</f>
        <v>0</v>
      </c>
      <c r="F35" s="2">
        <f>+'s1'!Q35*0.0098</f>
        <v>0</v>
      </c>
      <c r="G35" s="2">
        <f>+'s1'!R35*0.0098</f>
        <v>0</v>
      </c>
      <c r="H35" s="2">
        <f>+'s1'!S35*0.0098</f>
        <v>19.61</v>
      </c>
      <c r="I35" s="2">
        <f>+'s1'!T35*0.0098</f>
        <v>0</v>
      </c>
      <c r="J35" s="2">
        <f>+'s1'!U35*0.0098</f>
        <v>0</v>
      </c>
      <c r="K35" s="2">
        <f>+'s1'!V35*0.0098</f>
        <v>0</v>
      </c>
      <c r="L35" s="2">
        <f>+'s1'!W35*0.0098</f>
        <v>0</v>
      </c>
      <c r="M35" s="2">
        <f>+'s1'!X35*0.0098</f>
        <v>0</v>
      </c>
      <c r="N35" s="2">
        <f>+'s1'!Y35*0.0098</f>
        <v>19.84</v>
      </c>
      <c r="O35" s="2">
        <f>+'s1'!Z35*0.0098</f>
        <v>0</v>
      </c>
      <c r="P35" s="2">
        <f>+'s1'!AA35*0.0098</f>
        <v>0</v>
      </c>
      <c r="Q35" s="2">
        <f>+'s1'!AB35*0.0098</f>
        <v>0</v>
      </c>
      <c r="R35" s="2">
        <f>+'s1'!AC35*0.0098</f>
        <v>238.48</v>
      </c>
      <c r="S35" s="2">
        <f t="shared" si="1"/>
        <v>277.93</v>
      </c>
      <c r="T35" s="2"/>
    </row>
    <row r="36" spans="1:20" x14ac:dyDescent="0.2">
      <c r="A36" s="18" t="s">
        <v>45</v>
      </c>
      <c r="B36" s="2">
        <f>+'s1'!M36*0.0098</f>
        <v>0</v>
      </c>
      <c r="C36" s="2">
        <f>+'s1'!N36*0.0098</f>
        <v>0</v>
      </c>
      <c r="D36" s="2">
        <f>+'s1'!O36*0.0098</f>
        <v>13519.04</v>
      </c>
      <c r="E36" s="2">
        <f>+'s1'!P36*0.0098</f>
        <v>0</v>
      </c>
      <c r="F36" s="2">
        <f>+'s1'!Q36*0.0098</f>
        <v>0</v>
      </c>
      <c r="G36" s="2">
        <f>+'s1'!R36*0.0098</f>
        <v>0</v>
      </c>
      <c r="H36" s="2">
        <f>+'s1'!S36*0.0098</f>
        <v>0</v>
      </c>
      <c r="I36" s="2">
        <f>+'s1'!T36*0.0098</f>
        <v>0</v>
      </c>
      <c r="J36" s="2">
        <f>+'s1'!U36*0.0098</f>
        <v>0</v>
      </c>
      <c r="K36" s="2">
        <f>+'s1'!V36*0.0098</f>
        <v>0</v>
      </c>
      <c r="L36" s="2">
        <f>+'s1'!W36*0.0098</f>
        <v>0</v>
      </c>
      <c r="M36" s="2">
        <f>+'s1'!X36*0.0098</f>
        <v>0</v>
      </c>
      <c r="N36" s="2">
        <f>+'s1'!Y36*0.0098</f>
        <v>0</v>
      </c>
      <c r="O36" s="2">
        <f>+'s1'!Z36*0.0098</f>
        <v>0</v>
      </c>
      <c r="P36" s="2">
        <f>+'s1'!AA36*0.0098</f>
        <v>0</v>
      </c>
      <c r="Q36" s="2">
        <f>+'s1'!AB36*0.0098</f>
        <v>0</v>
      </c>
      <c r="R36" s="2">
        <f>+'s1'!AC36*0.0098</f>
        <v>0</v>
      </c>
      <c r="S36" s="2">
        <f t="shared" si="1"/>
        <v>13519.04</v>
      </c>
      <c r="T36" s="2"/>
    </row>
    <row r="37" spans="1:20" s="89" customFormat="1" x14ac:dyDescent="0.2">
      <c r="A37" s="18" t="s">
        <v>610</v>
      </c>
      <c r="B37" s="2">
        <f>+'s1'!M37*0.0098</f>
        <v>0</v>
      </c>
      <c r="C37" s="2">
        <f>+'s1'!N37*0.0098</f>
        <v>0</v>
      </c>
      <c r="D37" s="2">
        <f>+'s1'!O37*0.0098</f>
        <v>0</v>
      </c>
      <c r="E37" s="2">
        <f>+'s1'!P37*0.0098</f>
        <v>0</v>
      </c>
      <c r="F37" s="2">
        <f>+'s1'!Q37*0.0098</f>
        <v>0</v>
      </c>
      <c r="G37" s="2">
        <f>+'s1'!R37*0.0098</f>
        <v>0</v>
      </c>
      <c r="H37" s="2">
        <f>+'s1'!S37*0.0098</f>
        <v>0</v>
      </c>
      <c r="I37" s="2">
        <f>+'s1'!T37*0.0098</f>
        <v>0</v>
      </c>
      <c r="J37" s="2">
        <f>+'s1'!U37*0.0098</f>
        <v>0</v>
      </c>
      <c r="K37" s="2">
        <f>+'s1'!V37*0.0098</f>
        <v>0</v>
      </c>
      <c r="L37" s="2">
        <f>+'s1'!W37*0.0098</f>
        <v>0</v>
      </c>
      <c r="M37" s="2">
        <f>+'s1'!X37*0.0098</f>
        <v>0</v>
      </c>
      <c r="N37" s="2">
        <f>+'s1'!Y37*0.0098</f>
        <v>0</v>
      </c>
      <c r="O37" s="2">
        <f>+'s1'!Z37*0.0098</f>
        <v>0</v>
      </c>
      <c r="P37" s="2">
        <f>+'s1'!AA37*0.0098</f>
        <v>0</v>
      </c>
      <c r="Q37" s="2">
        <f>+'s1'!AB37*0.0098</f>
        <v>1.06</v>
      </c>
      <c r="R37" s="2">
        <f>+'s1'!AC37*0.0098</f>
        <v>0</v>
      </c>
      <c r="S37" s="78">
        <f>SUM(B37:R37)</f>
        <v>1.06</v>
      </c>
      <c r="T37" s="10"/>
    </row>
    <row r="38" spans="1:20" x14ac:dyDescent="0.2">
      <c r="A38" s="18" t="s">
        <v>603</v>
      </c>
      <c r="B38" s="2">
        <f>+'s1'!M38*0.0098</f>
        <v>0</v>
      </c>
      <c r="C38" s="2">
        <f>+'s1'!N38*0.0098</f>
        <v>0</v>
      </c>
      <c r="D38" s="2">
        <f>+'s1'!O38*0.0098</f>
        <v>224.34</v>
      </c>
      <c r="E38" s="2">
        <f>+'s1'!P38*0.0098</f>
        <v>0</v>
      </c>
      <c r="F38" s="2">
        <f>+'s1'!Q38*0.0098</f>
        <v>0</v>
      </c>
      <c r="G38" s="2">
        <f>+'s1'!R38*0.0098</f>
        <v>0</v>
      </c>
      <c r="H38" s="2">
        <f>+'s1'!S38*0.0098</f>
        <v>0</v>
      </c>
      <c r="I38" s="2">
        <f>+'s1'!T38*0.0098</f>
        <v>0</v>
      </c>
      <c r="J38" s="2">
        <f>+'s1'!U38*0.0098</f>
        <v>0</v>
      </c>
      <c r="K38" s="2">
        <f>+'s1'!V38*0.0098</f>
        <v>0</v>
      </c>
      <c r="L38" s="2">
        <f>+'s1'!W38*0.0098</f>
        <v>0</v>
      </c>
      <c r="M38" s="2">
        <f>+'s1'!X38*0.0098</f>
        <v>0</v>
      </c>
      <c r="N38" s="2">
        <f>+'s1'!Y38*0.0098</f>
        <v>0</v>
      </c>
      <c r="O38" s="2">
        <f>+'s1'!Z38*0.0098</f>
        <v>0</v>
      </c>
      <c r="P38" s="2">
        <f>+'s1'!AA38*0.0098</f>
        <v>0</v>
      </c>
      <c r="Q38" s="2">
        <f>+'s1'!AB38*0.0098</f>
        <v>3318.61</v>
      </c>
      <c r="R38" s="2">
        <f>+'s1'!AC38*0.0098</f>
        <v>0</v>
      </c>
      <c r="S38" s="2">
        <f t="shared" si="1"/>
        <v>3542.95</v>
      </c>
      <c r="T38" s="2"/>
    </row>
    <row r="39" spans="1:20" x14ac:dyDescent="0.2">
      <c r="A39" s="1" t="s">
        <v>46</v>
      </c>
      <c r="B39" s="2">
        <f>+'s1'!M39*0.0098</f>
        <v>0</v>
      </c>
      <c r="C39" s="2">
        <f>+'s1'!N39*0.0098</f>
        <v>0</v>
      </c>
      <c r="D39" s="2">
        <f>+'s1'!O39*0.0098</f>
        <v>0</v>
      </c>
      <c r="E39" s="2">
        <f>+'s1'!P39*0.0098</f>
        <v>0</v>
      </c>
      <c r="F39" s="2">
        <f>+'s1'!Q39*0.0098</f>
        <v>1176.77</v>
      </c>
      <c r="G39" s="2">
        <f>+'s1'!R39*0.0098</f>
        <v>0</v>
      </c>
      <c r="H39" s="2">
        <f>+'s1'!S39*0.0098</f>
        <v>0</v>
      </c>
      <c r="I39" s="2">
        <f>+'s1'!T39*0.0098</f>
        <v>0</v>
      </c>
      <c r="J39" s="2">
        <f>+'s1'!U39*0.0098</f>
        <v>0</v>
      </c>
      <c r="K39" s="2">
        <f>+'s1'!V39*0.0098</f>
        <v>0</v>
      </c>
      <c r="L39" s="2">
        <f>+'s1'!W39*0.0098</f>
        <v>0</v>
      </c>
      <c r="M39" s="2">
        <f>+'s1'!X39*0.0098</f>
        <v>0</v>
      </c>
      <c r="N39" s="2">
        <f>+'s1'!Y39*0.0098</f>
        <v>0</v>
      </c>
      <c r="O39" s="2">
        <f>+'s1'!Z39*0.0098</f>
        <v>0</v>
      </c>
      <c r="P39" s="2">
        <f>+'s1'!AA39*0.0098</f>
        <v>0</v>
      </c>
      <c r="Q39" s="2">
        <f>+'s1'!AB39*0.0098</f>
        <v>0</v>
      </c>
      <c r="R39" s="2">
        <f>+'s1'!AC39*0.0098</f>
        <v>0</v>
      </c>
      <c r="S39" s="2">
        <f>SUM(B39:R39)</f>
        <v>1176.77</v>
      </c>
      <c r="T39" s="1"/>
    </row>
    <row r="40" spans="1:20" x14ac:dyDescent="0.2">
      <c r="A40" s="1" t="s">
        <v>450</v>
      </c>
      <c r="B40" s="2">
        <f>+'s1'!M40*0.0098</f>
        <v>0</v>
      </c>
      <c r="C40" s="2">
        <f>+'s1'!N40*0.0098</f>
        <v>0</v>
      </c>
      <c r="D40" s="2">
        <f>+'s1'!O40*0.0098</f>
        <v>65.680000000000007</v>
      </c>
      <c r="E40" s="2">
        <f>+'s1'!P40*0.0098</f>
        <v>0</v>
      </c>
      <c r="F40" s="2">
        <f>+'s1'!Q40*0.0098</f>
        <v>0</v>
      </c>
      <c r="G40" s="2">
        <f>+'s1'!R40*0.0098</f>
        <v>0</v>
      </c>
      <c r="H40" s="2">
        <f>+'s1'!S40*0.0098</f>
        <v>0</v>
      </c>
      <c r="I40" s="2">
        <f>+'s1'!T40*0.0098</f>
        <v>0</v>
      </c>
      <c r="J40" s="2">
        <f>+'s1'!U40*0.0098</f>
        <v>0</v>
      </c>
      <c r="K40" s="2">
        <f>+'s1'!V40*0.0098</f>
        <v>0</v>
      </c>
      <c r="L40" s="2">
        <f>+'s1'!W40*0.0098</f>
        <v>0</v>
      </c>
      <c r="M40" s="2">
        <f>+'s1'!X40*0.0098</f>
        <v>0</v>
      </c>
      <c r="N40" s="2">
        <f>+'s1'!Y40*0.0098</f>
        <v>0</v>
      </c>
      <c r="O40" s="2">
        <f>+'s1'!Z40*0.0098</f>
        <v>0</v>
      </c>
      <c r="P40" s="2">
        <f>+'s1'!AA40*0.0098</f>
        <v>0</v>
      </c>
      <c r="Q40" s="2">
        <f>+'s1'!AB40*0.0098</f>
        <v>0</v>
      </c>
      <c r="R40" s="2">
        <f>+'s1'!AC40*0.0098</f>
        <v>0</v>
      </c>
      <c r="S40" s="2">
        <f t="shared" si="1"/>
        <v>65.680000000000007</v>
      </c>
      <c r="T40" s="1"/>
    </row>
    <row r="41" spans="1:20" x14ac:dyDescent="0.2">
      <c r="A41" s="1" t="s">
        <v>433</v>
      </c>
      <c r="B41" s="2">
        <f>+'s1'!M41*0.0098</f>
        <v>0</v>
      </c>
      <c r="C41" s="2">
        <f>+'s1'!N41*0.0098</f>
        <v>0</v>
      </c>
      <c r="D41" s="2">
        <f>+'s1'!O41*0.0098</f>
        <v>47474.67</v>
      </c>
      <c r="E41" s="2">
        <f>+'s1'!P41*0.0098</f>
        <v>0</v>
      </c>
      <c r="F41" s="2">
        <f>+'s1'!Q41*0.0098</f>
        <v>0</v>
      </c>
      <c r="G41" s="2">
        <f>+'s1'!R41*0.0098</f>
        <v>0</v>
      </c>
      <c r="H41" s="2">
        <f>+'s1'!S41*0.0098</f>
        <v>0</v>
      </c>
      <c r="I41" s="2">
        <f>+'s1'!T41*0.0098</f>
        <v>0</v>
      </c>
      <c r="J41" s="2">
        <f>+'s1'!U41*0.0098</f>
        <v>0</v>
      </c>
      <c r="K41" s="2">
        <f>+'s1'!V41*0.0098</f>
        <v>0</v>
      </c>
      <c r="L41" s="2">
        <f>+'s1'!W41*0.0098</f>
        <v>0</v>
      </c>
      <c r="M41" s="2">
        <f>+'s1'!X41*0.0098</f>
        <v>0</v>
      </c>
      <c r="N41" s="2">
        <f>+'s1'!Y41*0.0098</f>
        <v>1389.62</v>
      </c>
      <c r="O41" s="2">
        <f>+'s1'!Z41*0.0098</f>
        <v>0</v>
      </c>
      <c r="P41" s="2">
        <f>+'s1'!AA41*0.0098</f>
        <v>0</v>
      </c>
      <c r="Q41" s="2">
        <f>+'s1'!AB41*0.0098</f>
        <v>0</v>
      </c>
      <c r="R41" s="2">
        <f>+'s1'!AC41*0.0098</f>
        <v>0</v>
      </c>
      <c r="S41" s="2">
        <f>SUM(B41:R41)</f>
        <v>48864.29</v>
      </c>
      <c r="T41" s="1"/>
    </row>
    <row r="42" spans="1:20" x14ac:dyDescent="0.2">
      <c r="A42" s="1" t="s">
        <v>451</v>
      </c>
      <c r="B42" s="2">
        <f>+'s1'!M42*0.0098</f>
        <v>0</v>
      </c>
      <c r="C42" s="2">
        <f>+'s1'!N42*0.0098</f>
        <v>0</v>
      </c>
      <c r="D42" s="2">
        <f>+'s1'!O42*0.0098</f>
        <v>2058.41</v>
      </c>
      <c r="E42" s="2">
        <f>+'s1'!P42*0.0098</f>
        <v>0</v>
      </c>
      <c r="F42" s="2">
        <f>+'s1'!Q42*0.0098</f>
        <v>430.84</v>
      </c>
      <c r="G42" s="2">
        <f>+'s1'!R42*0.0098</f>
        <v>0</v>
      </c>
      <c r="H42" s="2">
        <f>+'s1'!S42*0.0098</f>
        <v>0</v>
      </c>
      <c r="I42" s="2">
        <f>+'s1'!T42*0.0098</f>
        <v>0</v>
      </c>
      <c r="J42" s="2">
        <f>+'s1'!U42*0.0098</f>
        <v>0</v>
      </c>
      <c r="K42" s="2">
        <f>+'s1'!V42*0.0098</f>
        <v>0</v>
      </c>
      <c r="L42" s="2">
        <f>+'s1'!W42*0.0098</f>
        <v>0</v>
      </c>
      <c r="M42" s="2">
        <f>+'s1'!X42*0.0098</f>
        <v>0</v>
      </c>
      <c r="N42" s="2">
        <f>+'s1'!Y42*0.0098</f>
        <v>0</v>
      </c>
      <c r="O42" s="2">
        <f>+'s1'!Z42*0.0098</f>
        <v>0</v>
      </c>
      <c r="P42" s="2">
        <f>+'s1'!AA42*0.0098</f>
        <v>0</v>
      </c>
      <c r="Q42" s="2">
        <f>+'s1'!AB42*0.0098</f>
        <v>117.62</v>
      </c>
      <c r="R42" s="2">
        <f>+'s1'!AC42*0.0098</f>
        <v>0</v>
      </c>
      <c r="S42" s="2">
        <f t="shared" si="1"/>
        <v>2606.87</v>
      </c>
      <c r="T42" s="1"/>
    </row>
    <row r="43" spans="1:20" x14ac:dyDescent="0.2">
      <c r="A43" s="1" t="s">
        <v>756</v>
      </c>
      <c r="B43" s="2">
        <f>+'s1'!M43*0.0098</f>
        <v>0</v>
      </c>
      <c r="C43" s="2">
        <f>+'s1'!N43*0.0098</f>
        <v>0</v>
      </c>
      <c r="D43" s="2">
        <f>+'s1'!O43*0.0098</f>
        <v>0</v>
      </c>
      <c r="E43" s="2">
        <f>+'s1'!P43*0.0098</f>
        <v>0</v>
      </c>
      <c r="F43" s="2">
        <f>+'s1'!Q43*0.0098</f>
        <v>0</v>
      </c>
      <c r="G43" s="2">
        <f>+'s1'!R43*0.0098</f>
        <v>0</v>
      </c>
      <c r="H43" s="2">
        <f>+'s1'!S43*0.0098</f>
        <v>0</v>
      </c>
      <c r="I43" s="2">
        <f>+'s1'!T43*0.0098</f>
        <v>0</v>
      </c>
      <c r="J43" s="2">
        <f>+'s1'!U43*0.0098</f>
        <v>0</v>
      </c>
      <c r="K43" s="2">
        <f>+'s1'!V43*0.0098</f>
        <v>0</v>
      </c>
      <c r="L43" s="2">
        <f>+'s1'!W43*0.0098</f>
        <v>0</v>
      </c>
      <c r="M43" s="2">
        <f>+'s1'!X43*0.0098</f>
        <v>0</v>
      </c>
      <c r="N43" s="2">
        <f>+'s1'!Y43*0.0098</f>
        <v>0</v>
      </c>
      <c r="O43" s="2">
        <f>+'s1'!Z43*0.0098</f>
        <v>0</v>
      </c>
      <c r="P43" s="2">
        <f>+'s1'!AA43*0.0098</f>
        <v>0</v>
      </c>
      <c r="Q43" s="2">
        <f>+'s1'!AB43*0.0098</f>
        <v>0</v>
      </c>
      <c r="R43" s="2">
        <f>+'s1'!AC43*0.0098</f>
        <v>0</v>
      </c>
      <c r="S43" s="2">
        <f>SUM(B43:R43)</f>
        <v>0</v>
      </c>
      <c r="T43" s="1"/>
    </row>
    <row r="44" spans="1:20" x14ac:dyDescent="0.2">
      <c r="A44" s="1" t="s">
        <v>760</v>
      </c>
      <c r="B44" s="2">
        <f>+'s1'!M44*0.0098</f>
        <v>0</v>
      </c>
      <c r="C44" s="2">
        <f>+'s1'!N44*0.0098</f>
        <v>0</v>
      </c>
      <c r="D44" s="2">
        <f>+'s1'!O44*0.0098</f>
        <v>17.350000000000001</v>
      </c>
      <c r="E44" s="2">
        <f>+'s1'!P44*0.0098</f>
        <v>0</v>
      </c>
      <c r="F44" s="2">
        <f>+'s1'!Q44*0.0098</f>
        <v>29.97</v>
      </c>
      <c r="G44" s="2">
        <f>+'s1'!R44*0.0098</f>
        <v>0</v>
      </c>
      <c r="H44" s="2">
        <f>+'s1'!S44*0.0098</f>
        <v>0</v>
      </c>
      <c r="I44" s="2">
        <f>+'s1'!T44*0.0098</f>
        <v>0</v>
      </c>
      <c r="J44" s="2">
        <f>+'s1'!U44*0.0098</f>
        <v>0</v>
      </c>
      <c r="K44" s="2">
        <f>+'s1'!V44*0.0098</f>
        <v>0</v>
      </c>
      <c r="L44" s="2">
        <f>+'s1'!W44*0.0098</f>
        <v>0</v>
      </c>
      <c r="M44" s="2">
        <f>+'s1'!X44*0.0098</f>
        <v>0</v>
      </c>
      <c r="N44" s="2">
        <f>+'s1'!Y44*0.0098</f>
        <v>0</v>
      </c>
      <c r="O44" s="2">
        <f>+'s1'!Z44*0.0098</f>
        <v>0</v>
      </c>
      <c r="P44" s="2">
        <f>+'s1'!AA44*0.0098</f>
        <v>0</v>
      </c>
      <c r="Q44" s="2">
        <f>+'s1'!AB44*0.0098</f>
        <v>0</v>
      </c>
      <c r="R44" s="2">
        <f>+'s1'!AC44*0.0098</f>
        <v>0</v>
      </c>
      <c r="S44" s="2">
        <f>SUM(B44:R44)</f>
        <v>47.32</v>
      </c>
      <c r="T44" s="2"/>
    </row>
    <row r="45" spans="1:20" x14ac:dyDescent="0.2">
      <c r="A45" s="1" t="s">
        <v>721</v>
      </c>
      <c r="B45" s="2">
        <f>+'s1'!M45*0.0098</f>
        <v>0</v>
      </c>
      <c r="C45" s="2">
        <f>+'s1'!N45*0.0098</f>
        <v>0</v>
      </c>
      <c r="D45" s="2">
        <f>+'s1'!O45*0.0098</f>
        <v>0</v>
      </c>
      <c r="E45" s="2">
        <f>+'s1'!P45*0.0098</f>
        <v>0</v>
      </c>
      <c r="F45" s="2">
        <f>+'s1'!Q45*0.0098-0.1</f>
        <v>1.08</v>
      </c>
      <c r="G45" s="2">
        <f>+'s1'!R45*0.0098</f>
        <v>0</v>
      </c>
      <c r="H45" s="2">
        <f>+'s1'!S45*0.0098</f>
        <v>0</v>
      </c>
      <c r="I45" s="2">
        <f>+'s1'!T45*0.0098</f>
        <v>0</v>
      </c>
      <c r="J45" s="2">
        <f>+'s1'!U45*0.0098</f>
        <v>0</v>
      </c>
      <c r="K45" s="2">
        <f>+'s1'!V45*0.0098</f>
        <v>0</v>
      </c>
      <c r="L45" s="2">
        <f>+'s1'!W45*0.0098</f>
        <v>0</v>
      </c>
      <c r="M45" s="2">
        <f>+'s1'!X45*0.0098</f>
        <v>0</v>
      </c>
      <c r="N45" s="2">
        <f>+'s1'!Y45*0.0098</f>
        <v>0</v>
      </c>
      <c r="O45" s="2">
        <f>+'s1'!Z45*0.0098</f>
        <v>0</v>
      </c>
      <c r="P45" s="2">
        <f>+'s1'!AA45*0.0098</f>
        <v>0</v>
      </c>
      <c r="Q45" s="2">
        <f>+'s1'!AB45*0.0098</f>
        <v>0</v>
      </c>
      <c r="R45" s="2">
        <f>+'s1'!AC45*0.0098</f>
        <v>0</v>
      </c>
      <c r="S45" s="2">
        <f>SUM(B45:R45)</f>
        <v>1.08</v>
      </c>
      <c r="T45" s="1"/>
    </row>
    <row r="46" spans="1:20" x14ac:dyDescent="0.2">
      <c r="A46" s="1" t="s">
        <v>457</v>
      </c>
      <c r="B46" s="2">
        <f>+'s1'!M46*0.0098</f>
        <v>0</v>
      </c>
      <c r="C46" s="2">
        <f>+'s1'!N46*0.0098</f>
        <v>0</v>
      </c>
      <c r="D46" s="2">
        <f>+'s1'!O46*0.0098</f>
        <v>0</v>
      </c>
      <c r="E46" s="2">
        <f>+'s1'!P46*0.0098</f>
        <v>0</v>
      </c>
      <c r="F46" s="2">
        <f>+'s1'!Q46*0.0098</f>
        <v>0</v>
      </c>
      <c r="G46" s="2">
        <f>+'s1'!R46*0.0098</f>
        <v>0</v>
      </c>
      <c r="H46" s="2">
        <f>+'s1'!S46*0.0098</f>
        <v>0</v>
      </c>
      <c r="I46" s="2">
        <f>+'s1'!T46*0.0098</f>
        <v>12.16</v>
      </c>
      <c r="J46" s="2">
        <f>+'s1'!U46*0.0098</f>
        <v>0</v>
      </c>
      <c r="K46" s="2">
        <f>+'s1'!V46*0.0098</f>
        <v>0</v>
      </c>
      <c r="L46" s="2">
        <f>+'s1'!W46*0.0098</f>
        <v>0</v>
      </c>
      <c r="M46" s="2">
        <f>+'s1'!X46*0.0098</f>
        <v>0</v>
      </c>
      <c r="N46" s="2">
        <f>+'s1'!Y46*0.0098</f>
        <v>0</v>
      </c>
      <c r="O46" s="2">
        <f>+'s1'!Z46*0.0098</f>
        <v>0</v>
      </c>
      <c r="P46" s="2">
        <f>+'s1'!AA46*0.0098</f>
        <v>0</v>
      </c>
      <c r="Q46" s="2">
        <f>+'s1'!AB46*0.0098</f>
        <v>3.33</v>
      </c>
      <c r="R46" s="2">
        <f>+'s1'!AC46*0.0098</f>
        <v>0</v>
      </c>
      <c r="S46" s="2">
        <f t="shared" si="1"/>
        <v>15.49</v>
      </c>
      <c r="T46" s="1"/>
    </row>
    <row r="47" spans="1:20" x14ac:dyDescent="0.2">
      <c r="A47" s="1" t="s">
        <v>738</v>
      </c>
      <c r="B47" s="2">
        <f>+'s1'!M47*0.0098</f>
        <v>0</v>
      </c>
      <c r="C47" s="2">
        <f>+'s1'!N47*0.0098</f>
        <v>0</v>
      </c>
      <c r="D47" s="2">
        <f>+'s1'!O47*0.0098</f>
        <v>0</v>
      </c>
      <c r="E47" s="2">
        <f>+'s1'!P47*0.0098</f>
        <v>0</v>
      </c>
      <c r="F47" s="2">
        <f>+'s1'!Q47*0.0098-323.88</f>
        <v>3394.38</v>
      </c>
      <c r="G47" s="2">
        <f>+'s1'!R47*0.0098</f>
        <v>0</v>
      </c>
      <c r="H47" s="2">
        <f>+'s1'!S47*0.0098</f>
        <v>0</v>
      </c>
      <c r="I47" s="2">
        <f>+'s1'!T47*0.0098</f>
        <v>0</v>
      </c>
      <c r="J47" s="2">
        <f>+'s1'!U47*0.0098</f>
        <v>0</v>
      </c>
      <c r="K47" s="2">
        <f>+'s1'!V47*0.0098</f>
        <v>0</v>
      </c>
      <c r="L47" s="2">
        <f>+'s1'!W47*0.0098</f>
        <v>0</v>
      </c>
      <c r="M47" s="2">
        <f>+'s1'!X47*0.0098</f>
        <v>0</v>
      </c>
      <c r="N47" s="2">
        <f>+'s1'!Y47*0.0098</f>
        <v>0</v>
      </c>
      <c r="O47" s="2">
        <f>+'s1'!Z47*0.0098</f>
        <v>0</v>
      </c>
      <c r="P47" s="2">
        <f>+'s1'!AA47*0.0098</f>
        <v>0</v>
      </c>
      <c r="Q47" s="2">
        <f>+'s1'!AB47*0.0098</f>
        <v>0</v>
      </c>
      <c r="R47" s="2">
        <f>+'s1'!AC47*0.0098</f>
        <v>0</v>
      </c>
      <c r="S47" s="2">
        <f>SUM(B47:R47)</f>
        <v>3394.38</v>
      </c>
      <c r="T47" s="1"/>
    </row>
    <row r="48" spans="1:20" x14ac:dyDescent="0.2">
      <c r="A48" s="18" t="s">
        <v>723</v>
      </c>
      <c r="B48" s="2">
        <f>+'s1'!M48*0.0098</f>
        <v>0</v>
      </c>
      <c r="C48" s="2">
        <f>+'s1'!N48*0.0098</f>
        <v>0</v>
      </c>
      <c r="D48" s="2">
        <f>+'s1'!O48*0.0098</f>
        <v>0</v>
      </c>
      <c r="E48" s="2">
        <f>+'s1'!P48*0.0098</f>
        <v>0</v>
      </c>
      <c r="F48" s="2">
        <f>+'s1'!Q48*0.0098</f>
        <v>0</v>
      </c>
      <c r="G48" s="2">
        <f>+'s1'!R48*0.0098</f>
        <v>0</v>
      </c>
      <c r="H48" s="2">
        <f>+'s1'!S48*0.0098</f>
        <v>0</v>
      </c>
      <c r="I48" s="2">
        <f>+'s1'!T48*0.0098</f>
        <v>0</v>
      </c>
      <c r="J48" s="2">
        <f>+'s1'!U48*0.0098</f>
        <v>0</v>
      </c>
      <c r="K48" s="2">
        <f>+'s1'!V48*0.0098</f>
        <v>0</v>
      </c>
      <c r="L48" s="2">
        <f>+'s1'!W48*0.0098</f>
        <v>0</v>
      </c>
      <c r="M48" s="2">
        <f>+'s1'!X48*0.0098</f>
        <v>0</v>
      </c>
      <c r="N48" s="2">
        <f>+'s1'!Y48*0.0098</f>
        <v>0</v>
      </c>
      <c r="O48" s="2">
        <f>+'s1'!Z48*0.0098</f>
        <v>0</v>
      </c>
      <c r="P48" s="2">
        <f>+'s1'!AA48*0.0098</f>
        <v>0</v>
      </c>
      <c r="Q48" s="2">
        <f>+'s1'!AB48*0.0098</f>
        <v>0</v>
      </c>
      <c r="R48" s="2">
        <f>+'s1'!AC48*0.0098-161.96</f>
        <v>3366.7</v>
      </c>
      <c r="S48" s="2">
        <f>SUM(B48:R48)</f>
        <v>3366.7</v>
      </c>
      <c r="T48" s="2"/>
    </row>
    <row r="49" spans="1:20" s="89" customFormat="1" x14ac:dyDescent="0.2">
      <c r="A49" s="18" t="s">
        <v>142</v>
      </c>
      <c r="B49" s="2">
        <f>+'s1'!M49*0.0098</f>
        <v>0</v>
      </c>
      <c r="C49" s="2">
        <f>+'s1'!N49*0.0098</f>
        <v>0</v>
      </c>
      <c r="D49" s="2">
        <f>+'s1'!O49*0.0098</f>
        <v>0</v>
      </c>
      <c r="E49" s="2">
        <f>+'s1'!P49*0.0098</f>
        <v>0</v>
      </c>
      <c r="F49" s="2">
        <f>+'s1'!Q49*0.0098</f>
        <v>0</v>
      </c>
      <c r="G49" s="2">
        <f>+'s1'!R49*0.0098</f>
        <v>0</v>
      </c>
      <c r="H49" s="2">
        <f>+'s1'!S49*0.0098</f>
        <v>0</v>
      </c>
      <c r="I49" s="2">
        <f>+'s1'!T49*0.0098</f>
        <v>0</v>
      </c>
      <c r="J49" s="2">
        <f>+'s1'!U49*0.0098</f>
        <v>0</v>
      </c>
      <c r="K49" s="2">
        <f>+'s1'!V49*0.0098</f>
        <v>0</v>
      </c>
      <c r="L49" s="2">
        <f>+'s1'!W49*0.0098</f>
        <v>0</v>
      </c>
      <c r="M49" s="2">
        <f>+'s1'!X49*0.0098</f>
        <v>0</v>
      </c>
      <c r="N49" s="2">
        <f>+'s1'!Y49*0.0098</f>
        <v>1140.49</v>
      </c>
      <c r="O49" s="2">
        <f>+'s1'!Z49*0.0098</f>
        <v>0</v>
      </c>
      <c r="P49" s="2">
        <f>+'s1'!AA49*0.0098</f>
        <v>0</v>
      </c>
      <c r="Q49" s="2">
        <f>+'s1'!AB49*0.0098</f>
        <v>0</v>
      </c>
      <c r="R49" s="2">
        <f>+'s1'!AC49*0.0098</f>
        <v>0</v>
      </c>
      <c r="S49" s="78">
        <f>SUM(B49:R49)</f>
        <v>1140.49</v>
      </c>
      <c r="T49" s="10"/>
    </row>
    <row r="50" spans="1:20" x14ac:dyDescent="0.2">
      <c r="A50" s="1" t="s">
        <v>434</v>
      </c>
      <c r="B50" s="2">
        <f>+'s1'!M50*0.0098</f>
        <v>0</v>
      </c>
      <c r="C50" s="2">
        <f>+'s1'!N50*0.0098</f>
        <v>0</v>
      </c>
      <c r="D50" s="2">
        <f>+'s1'!O50*0.0098</f>
        <v>26513.17</v>
      </c>
      <c r="E50" s="2">
        <f>+'s1'!P50*0.0098</f>
        <v>0</v>
      </c>
      <c r="F50" s="2">
        <f>+'s1'!Q50*0.0098</f>
        <v>0</v>
      </c>
      <c r="G50" s="2">
        <f>+'s1'!R50*0.0098</f>
        <v>0</v>
      </c>
      <c r="H50" s="2">
        <f>+'s1'!S50*0.0098</f>
        <v>0</v>
      </c>
      <c r="I50" s="2">
        <f>+'s1'!T50*0.0098</f>
        <v>0</v>
      </c>
      <c r="J50" s="2">
        <f>+'s1'!U50*0.0098</f>
        <v>0</v>
      </c>
      <c r="K50" s="2">
        <f>+'s1'!V50*0.0098</f>
        <v>0</v>
      </c>
      <c r="L50" s="2">
        <f>+'s1'!W50*0.0098</f>
        <v>0</v>
      </c>
      <c r="M50" s="2">
        <f>+'s1'!X50*0.0098</f>
        <v>0</v>
      </c>
      <c r="N50" s="2">
        <f>+'s1'!Y50*0.0098</f>
        <v>597.5</v>
      </c>
      <c r="O50" s="2">
        <f>+'s1'!Z50*0.0098</f>
        <v>0</v>
      </c>
      <c r="P50" s="2">
        <f>+'s1'!AA50*0.0098</f>
        <v>0</v>
      </c>
      <c r="Q50" s="2">
        <f>+'s1'!AB50*0.0098</f>
        <v>0</v>
      </c>
      <c r="R50" s="2">
        <f>+'s1'!AC50*0.0098</f>
        <v>0</v>
      </c>
      <c r="S50" s="2">
        <f t="shared" si="1"/>
        <v>27110.67</v>
      </c>
      <c r="T50" s="2"/>
    </row>
    <row r="51" spans="1:20" x14ac:dyDescent="0.2">
      <c r="A51" s="18" t="s">
        <v>495</v>
      </c>
      <c r="B51" s="2">
        <f>+'s1'!M51*0.0098</f>
        <v>0</v>
      </c>
      <c r="C51" s="2">
        <f>+'s1'!N51*0.0098</f>
        <v>0</v>
      </c>
      <c r="D51" s="2">
        <f>+'s1'!O51*0.0098</f>
        <v>0</v>
      </c>
      <c r="E51" s="2">
        <f>+'s1'!P51*0.0098</f>
        <v>0</v>
      </c>
      <c r="F51" s="2">
        <f>+'s1'!Q51*0.0098</f>
        <v>0</v>
      </c>
      <c r="G51" s="2">
        <f>+'s1'!R51*0.0098</f>
        <v>0</v>
      </c>
      <c r="H51" s="2">
        <f>+'s1'!S51*0.0098</f>
        <v>0</v>
      </c>
      <c r="I51" s="2">
        <f>+'s1'!T51*0.0098</f>
        <v>0</v>
      </c>
      <c r="J51" s="2">
        <f>+'s1'!U51*0.0098</f>
        <v>0</v>
      </c>
      <c r="K51" s="2">
        <f>+'s1'!V51*0.0098</f>
        <v>0</v>
      </c>
      <c r="L51" s="2">
        <f>+'s1'!W51*0.0098</f>
        <v>0</v>
      </c>
      <c r="M51" s="2">
        <f>+'s1'!X51*0.0098</f>
        <v>0</v>
      </c>
      <c r="N51" s="2">
        <f>+'s1'!Y51*0.0098</f>
        <v>1007.62</v>
      </c>
      <c r="O51" s="2">
        <f>+'s1'!Z51*0.0098</f>
        <v>0</v>
      </c>
      <c r="P51" s="2">
        <f>+'s1'!AA51*0.0098</f>
        <v>0</v>
      </c>
      <c r="Q51" s="2">
        <f>+'s1'!AB51*0.0098</f>
        <v>0</v>
      </c>
      <c r="R51" s="2">
        <f>+'s1'!AC51*0.0098</f>
        <v>0</v>
      </c>
      <c r="S51" s="2">
        <f t="shared" si="1"/>
        <v>1007.62</v>
      </c>
      <c r="T51" s="2"/>
    </row>
    <row r="52" spans="1:20" x14ac:dyDescent="0.2">
      <c r="A52" s="18" t="s">
        <v>604</v>
      </c>
      <c r="B52" s="2">
        <f>+'s1'!M52*0.0098</f>
        <v>0</v>
      </c>
      <c r="C52" s="2">
        <f>+'s1'!N52*0.0098</f>
        <v>39.47</v>
      </c>
      <c r="D52" s="2">
        <f>+'s1'!O52*0.0098</f>
        <v>1588.51</v>
      </c>
      <c r="E52" s="2">
        <f>+'s1'!P52*0.0098</f>
        <v>0</v>
      </c>
      <c r="F52" s="2">
        <f>+'s1'!Q52*0.0098</f>
        <v>1095.03</v>
      </c>
      <c r="G52" s="2">
        <f>+'s1'!R52*0.0098</f>
        <v>0</v>
      </c>
      <c r="H52" s="2">
        <f>+'s1'!S52*0.0098</f>
        <v>0</v>
      </c>
      <c r="I52" s="2">
        <f>+'s1'!T52*0.0098</f>
        <v>52.42</v>
      </c>
      <c r="J52" s="2">
        <f>+'s1'!U52*0.0098</f>
        <v>0</v>
      </c>
      <c r="K52" s="2">
        <f>+'s1'!V52*0.0098</f>
        <v>0</v>
      </c>
      <c r="L52" s="2">
        <f>+'s1'!W52*0.0098</f>
        <v>0</v>
      </c>
      <c r="M52" s="2">
        <f>+'s1'!X52*0.0098</f>
        <v>0</v>
      </c>
      <c r="N52" s="2">
        <f>+'s1'!Y52*0.0098</f>
        <v>0</v>
      </c>
      <c r="O52" s="2">
        <f>+'s1'!Z52*0.0098</f>
        <v>0</v>
      </c>
      <c r="P52" s="2">
        <f>+'s1'!AA52*0.0098</f>
        <v>0</v>
      </c>
      <c r="Q52" s="2">
        <f>+'s1'!AB52*0.0098</f>
        <v>0</v>
      </c>
      <c r="R52" s="2">
        <f>+'s1'!AC52*0.0098</f>
        <v>0</v>
      </c>
      <c r="S52" s="2">
        <f>SUM(B52:R52)</f>
        <v>2775.43</v>
      </c>
      <c r="T52" s="2"/>
    </row>
    <row r="53" spans="1:20" x14ac:dyDescent="0.2">
      <c r="A53" s="7" t="s">
        <v>352</v>
      </c>
      <c r="B53" s="2">
        <f>+'s1'!M53*0.0098</f>
        <v>0</v>
      </c>
      <c r="C53" s="2">
        <f>+'s1'!N53*0.0098</f>
        <v>0</v>
      </c>
      <c r="D53" s="2">
        <f>+'s1'!O53*0.0098</f>
        <v>0</v>
      </c>
      <c r="E53" s="2">
        <f>+'s1'!P53*0.0098</f>
        <v>0</v>
      </c>
      <c r="F53" s="2">
        <f>+'s1'!Q53*0.0098</f>
        <v>0</v>
      </c>
      <c r="G53" s="2">
        <f>+'s1'!R53*0.0098</f>
        <v>30.31</v>
      </c>
      <c r="H53" s="2">
        <f>+'s1'!S53*0.0098</f>
        <v>0</v>
      </c>
      <c r="I53" s="2">
        <f>+'s1'!T53*0.0098</f>
        <v>0</v>
      </c>
      <c r="J53" s="2">
        <f>+'s1'!U53*0.0098</f>
        <v>0</v>
      </c>
      <c r="K53" s="2">
        <f>+'s1'!V53*0.0098</f>
        <v>0</v>
      </c>
      <c r="L53" s="2">
        <f>+'s1'!W53*0.0098</f>
        <v>0</v>
      </c>
      <c r="M53" s="2">
        <f>+'s1'!X53*0.0098</f>
        <v>103.73</v>
      </c>
      <c r="N53" s="2">
        <f>+'s1'!Y53*0.0098</f>
        <v>932.59</v>
      </c>
      <c r="O53" s="2">
        <f>+'s1'!Z53*0.0098</f>
        <v>0</v>
      </c>
      <c r="P53" s="2">
        <f>+'s1'!AA53*0.0098</f>
        <v>0</v>
      </c>
      <c r="Q53" s="2">
        <f>+'s1'!AB53*0.0098</f>
        <v>0</v>
      </c>
      <c r="R53" s="2">
        <f>+'s1'!AC53*0.0098</f>
        <v>400.34</v>
      </c>
      <c r="S53" s="2">
        <f>SUM(B53:R53)</f>
        <v>1466.97</v>
      </c>
      <c r="T53" s="2"/>
    </row>
    <row r="54" spans="1:20" x14ac:dyDescent="0.2">
      <c r="A54" s="7" t="s">
        <v>435</v>
      </c>
      <c r="B54" s="2">
        <f>+'s1'!M54*0.0098</f>
        <v>0</v>
      </c>
      <c r="C54" s="2">
        <f>+'s1'!N54*0.0098</f>
        <v>0</v>
      </c>
      <c r="D54" s="2">
        <f>+'s1'!O54*0.0098</f>
        <v>0</v>
      </c>
      <c r="E54" s="2">
        <f>+'s1'!P54*0.0098</f>
        <v>0</v>
      </c>
      <c r="F54" s="2">
        <f>+'s1'!Q54*0.0098</f>
        <v>0</v>
      </c>
      <c r="G54" s="2">
        <f>+'s1'!R54*0.0098</f>
        <v>0</v>
      </c>
      <c r="H54" s="2">
        <f>+'s1'!S54*0.0098</f>
        <v>0</v>
      </c>
      <c r="I54" s="2">
        <f>+'s1'!T54*0.0098</f>
        <v>148.63999999999999</v>
      </c>
      <c r="J54" s="2">
        <f>+'s1'!U54*0.0098</f>
        <v>0</v>
      </c>
      <c r="K54" s="2">
        <f>+'s1'!V54*0.0098</f>
        <v>0</v>
      </c>
      <c r="L54" s="2">
        <f>+'s1'!W54*0.0098</f>
        <v>0</v>
      </c>
      <c r="M54" s="2">
        <f>+'s1'!X54*0.0098</f>
        <v>0</v>
      </c>
      <c r="N54" s="2">
        <f>+'s1'!Y54*0.0098</f>
        <v>0</v>
      </c>
      <c r="O54" s="2">
        <f>+'s1'!Z54*0.0098</f>
        <v>0</v>
      </c>
      <c r="P54" s="2">
        <f>+'s1'!AA54*0.0098</f>
        <v>0</v>
      </c>
      <c r="Q54" s="2">
        <f>+'s1'!AB54*0.0098</f>
        <v>0</v>
      </c>
      <c r="R54" s="2">
        <f>+'s1'!AC54*0.0098</f>
        <v>0</v>
      </c>
      <c r="S54" s="2">
        <f t="shared" si="1"/>
        <v>148.63999999999999</v>
      </c>
      <c r="T54" s="2"/>
    </row>
    <row r="55" spans="1:20" x14ac:dyDescent="0.2">
      <c r="A55" s="1" t="s">
        <v>47</v>
      </c>
      <c r="B55" s="2">
        <f>+'s1'!M55*0.0098</f>
        <v>0</v>
      </c>
      <c r="C55" s="2">
        <f>+'s1'!N55*0.0098</f>
        <v>0</v>
      </c>
      <c r="D55" s="2">
        <f>+'s1'!O55*0.0098</f>
        <v>0</v>
      </c>
      <c r="E55" s="2">
        <f>+'s1'!P55*0.0098</f>
        <v>0</v>
      </c>
      <c r="F55" s="2">
        <f>+'s1'!Q55*0.0098</f>
        <v>649.19000000000005</v>
      </c>
      <c r="G55" s="2">
        <f>+'s1'!R55*0.0098</f>
        <v>0</v>
      </c>
      <c r="H55" s="2">
        <f>+'s1'!S55*0.0098</f>
        <v>0</v>
      </c>
      <c r="I55" s="2">
        <f>+'s1'!T55*0.0098</f>
        <v>223.75</v>
      </c>
      <c r="J55" s="2">
        <f>+'s1'!U55*0.0098</f>
        <v>0</v>
      </c>
      <c r="K55" s="2">
        <f>+'s1'!V55*0.0098</f>
        <v>0</v>
      </c>
      <c r="L55" s="2">
        <f>+'s1'!W55*0.0098</f>
        <v>0</v>
      </c>
      <c r="M55" s="2">
        <f>+'s1'!X55*0.0098</f>
        <v>0</v>
      </c>
      <c r="N55" s="2">
        <f>+'s1'!Y55*0.0098</f>
        <v>0</v>
      </c>
      <c r="O55" s="2">
        <f>+'s1'!Z55*0.0098</f>
        <v>0</v>
      </c>
      <c r="P55" s="2">
        <f>+'s1'!AA55*0.0098</f>
        <v>0</v>
      </c>
      <c r="Q55" s="2">
        <f>+'s1'!AB55*0.0098</f>
        <v>0</v>
      </c>
      <c r="R55" s="2">
        <f>+'s1'!AC55*0.0098</f>
        <v>0</v>
      </c>
      <c r="S55" s="2">
        <f t="shared" si="1"/>
        <v>872.94</v>
      </c>
      <c r="T55" s="2"/>
    </row>
    <row r="56" spans="1:20" x14ac:dyDescent="0.2">
      <c r="A56" s="18" t="s">
        <v>48</v>
      </c>
      <c r="B56" s="2">
        <f>+'s1'!M56*0.0098</f>
        <v>0</v>
      </c>
      <c r="C56" s="2">
        <f>+'s1'!N56*0.0098</f>
        <v>0</v>
      </c>
      <c r="D56" s="2">
        <f>+'s1'!O56*0.0098</f>
        <v>16738.12</v>
      </c>
      <c r="E56" s="2">
        <f>+'s1'!P56*0.0098</f>
        <v>0</v>
      </c>
      <c r="F56" s="2">
        <f>+'s1'!Q56*0.0098</f>
        <v>474.32</v>
      </c>
      <c r="G56" s="2">
        <f>+'s1'!R56*0.0098</f>
        <v>0</v>
      </c>
      <c r="H56" s="2">
        <f>+'s1'!S56*0.0098</f>
        <v>274.31</v>
      </c>
      <c r="I56" s="2">
        <f>+'s1'!T56*0.0098</f>
        <v>369.54</v>
      </c>
      <c r="J56" s="2">
        <f>+'s1'!U56*0.0098</f>
        <v>51.13</v>
      </c>
      <c r="K56" s="2">
        <f>+'s1'!V56*0.0098</f>
        <v>747.99</v>
      </c>
      <c r="L56" s="2">
        <f>+'s1'!W56*0.0098</f>
        <v>0</v>
      </c>
      <c r="M56" s="2">
        <f>+'s1'!X56*0.0098</f>
        <v>0</v>
      </c>
      <c r="N56" s="2">
        <f>+'s1'!Y56*0.0098</f>
        <v>0</v>
      </c>
      <c r="O56" s="2">
        <f>+'s1'!Z56*0.0098</f>
        <v>68.25</v>
      </c>
      <c r="P56" s="2">
        <f>+'s1'!AA56*0.0098</f>
        <v>0</v>
      </c>
      <c r="Q56" s="2">
        <f>+'s1'!AB56*0.0098</f>
        <v>119.62</v>
      </c>
      <c r="R56" s="2">
        <f>+'s1'!AC56*0.0098</f>
        <v>0</v>
      </c>
      <c r="S56" s="2">
        <f t="shared" ref="S56:S69" si="2">SUM(B56:R56)</f>
        <v>18843.28</v>
      </c>
      <c r="T56" s="2"/>
    </row>
    <row r="57" spans="1:20" x14ac:dyDescent="0.2">
      <c r="A57" s="1" t="s">
        <v>49</v>
      </c>
      <c r="B57" s="2">
        <f>+'s1'!M57*0.0098</f>
        <v>0</v>
      </c>
      <c r="C57" s="2">
        <f>+'s1'!N57*0.0098</f>
        <v>0</v>
      </c>
      <c r="D57" s="2">
        <f>+'s1'!O57*0.0098</f>
        <v>122969.67</v>
      </c>
      <c r="E57" s="2">
        <f>+'s1'!P57*0.0098</f>
        <v>0</v>
      </c>
      <c r="F57" s="2">
        <f>+'s1'!Q57*0.0098</f>
        <v>0</v>
      </c>
      <c r="G57" s="2">
        <f>+'s1'!R57*0.0098</f>
        <v>0</v>
      </c>
      <c r="H57" s="2">
        <f>+'s1'!S57*0.0098</f>
        <v>0</v>
      </c>
      <c r="I57" s="2">
        <f>+'s1'!T57*0.0098</f>
        <v>0</v>
      </c>
      <c r="J57" s="2">
        <f>+'s1'!U57*0.0098</f>
        <v>0</v>
      </c>
      <c r="K57" s="2">
        <f>+'s1'!V57*0.0098</f>
        <v>0</v>
      </c>
      <c r="L57" s="2">
        <f>+'s1'!W57*0.0098</f>
        <v>0</v>
      </c>
      <c r="M57" s="2">
        <f>+'s1'!X57*0.0098</f>
        <v>0</v>
      </c>
      <c r="N57" s="2">
        <f>+'s1'!Y57*0.0098</f>
        <v>3000.76</v>
      </c>
      <c r="O57" s="2">
        <f>+'s1'!Z57*0.0098</f>
        <v>0</v>
      </c>
      <c r="P57" s="2">
        <f>+'s1'!AA57*0.0098</f>
        <v>0</v>
      </c>
      <c r="Q57" s="2">
        <f>+'s1'!AB57*0.0098</f>
        <v>0</v>
      </c>
      <c r="R57" s="2">
        <f>+'s1'!AC57*0.0098</f>
        <v>0</v>
      </c>
      <c r="S57" s="2">
        <f t="shared" si="2"/>
        <v>125970.43</v>
      </c>
      <c r="T57" s="2"/>
    </row>
    <row r="58" spans="1:20" x14ac:dyDescent="0.2">
      <c r="A58" s="1" t="s">
        <v>362</v>
      </c>
      <c r="B58" s="2">
        <f>+'s1'!M58*0.0098</f>
        <v>202.48</v>
      </c>
      <c r="C58" s="2">
        <f>+'s1'!N58*0.0098</f>
        <v>0</v>
      </c>
      <c r="D58" s="2">
        <f>+'s1'!O58*0.0098</f>
        <v>48.08</v>
      </c>
      <c r="E58" s="2">
        <f>+'s1'!P58*0.0098</f>
        <v>0</v>
      </c>
      <c r="F58" s="2">
        <f>+'s1'!Q58*0.0098</f>
        <v>0</v>
      </c>
      <c r="G58" s="2">
        <f>+'s1'!R58*0.0098</f>
        <v>0</v>
      </c>
      <c r="H58" s="2">
        <f>+'s1'!S58*0.0098</f>
        <v>0</v>
      </c>
      <c r="I58" s="2">
        <f>+'s1'!T58*0.0098</f>
        <v>0</v>
      </c>
      <c r="J58" s="2">
        <f>+'s1'!U58*0.0098</f>
        <v>0</v>
      </c>
      <c r="K58" s="2">
        <f>+'s1'!V58*0.0098</f>
        <v>0</v>
      </c>
      <c r="L58" s="2">
        <f>+'s1'!W58*0.0098</f>
        <v>0</v>
      </c>
      <c r="M58" s="2">
        <f>+'s1'!X58*0.0098</f>
        <v>0</v>
      </c>
      <c r="N58" s="2">
        <f>+'s1'!Y58*0.0098</f>
        <v>0</v>
      </c>
      <c r="O58" s="2">
        <f>+'s1'!Z58*0.0098</f>
        <v>0</v>
      </c>
      <c r="P58" s="2">
        <f>+'s1'!AA58*0.0098</f>
        <v>0</v>
      </c>
      <c r="Q58" s="2">
        <f>+'s1'!AB58*0.0098</f>
        <v>0</v>
      </c>
      <c r="R58" s="2">
        <f>+'s1'!AC58*0.0098</f>
        <v>0</v>
      </c>
      <c r="S58" s="2">
        <f t="shared" si="2"/>
        <v>250.56</v>
      </c>
      <c r="T58" s="1"/>
    </row>
    <row r="59" spans="1:20" s="20" customFormat="1" x14ac:dyDescent="0.2">
      <c r="A59" s="1" t="s">
        <v>50</v>
      </c>
      <c r="B59" s="2">
        <f>+'s1'!M59*0.0098</f>
        <v>0</v>
      </c>
      <c r="C59" s="2">
        <f>+'s1'!N59*0.0098</f>
        <v>0</v>
      </c>
      <c r="D59" s="2">
        <f>+'s1'!O59*0.0098</f>
        <v>110.08</v>
      </c>
      <c r="E59" s="2">
        <f>+'s1'!P59*0.0098</f>
        <v>0</v>
      </c>
      <c r="F59" s="2">
        <f>+'s1'!Q59*0.0098</f>
        <v>0</v>
      </c>
      <c r="G59" s="2">
        <f>+'s1'!R59*0.0098</f>
        <v>0</v>
      </c>
      <c r="H59" s="2">
        <f>+'s1'!S59*0.0098</f>
        <v>0</v>
      </c>
      <c r="I59" s="2">
        <f>+'s1'!T59*0.0098</f>
        <v>0</v>
      </c>
      <c r="J59" s="2">
        <f>+'s1'!U59*0.0098</f>
        <v>0</v>
      </c>
      <c r="K59" s="2">
        <f>+'s1'!V59*0.0098</f>
        <v>0</v>
      </c>
      <c r="L59" s="2">
        <f>+'s1'!W59*0.0098</f>
        <v>0</v>
      </c>
      <c r="M59" s="2">
        <f>+'s1'!X59*0.0098</f>
        <v>0</v>
      </c>
      <c r="N59" s="2">
        <f>+'s1'!Y59*0.0098</f>
        <v>0</v>
      </c>
      <c r="O59" s="2">
        <f>+'s1'!Z59*0.0098</f>
        <v>0</v>
      </c>
      <c r="P59" s="2">
        <f>+'s1'!AA59*0.0098</f>
        <v>0</v>
      </c>
      <c r="Q59" s="2">
        <f>+'s1'!AB59*0.0098</f>
        <v>0</v>
      </c>
      <c r="R59" s="2">
        <f>+'s1'!AC59*0.0098</f>
        <v>0</v>
      </c>
      <c r="S59" s="78">
        <f t="shared" si="2"/>
        <v>110.08</v>
      </c>
      <c r="T59" s="78"/>
    </row>
    <row r="60" spans="1:20" x14ac:dyDescent="0.2">
      <c r="A60" s="1" t="s">
        <v>354</v>
      </c>
      <c r="B60" s="2">
        <f>+'s1'!M60*0.0098</f>
        <v>338.24</v>
      </c>
      <c r="C60" s="2">
        <f>+'s1'!N60*0.0098</f>
        <v>138.66999999999999</v>
      </c>
      <c r="D60" s="2">
        <f>+'s1'!O60*0.0098</f>
        <v>0</v>
      </c>
      <c r="E60" s="2">
        <f>+'s1'!P60*0.0098</f>
        <v>630.24</v>
      </c>
      <c r="F60" s="2">
        <f>+'s1'!Q60*0.0098</f>
        <v>0</v>
      </c>
      <c r="G60" s="2">
        <f>+'s1'!R60*0.0098</f>
        <v>0</v>
      </c>
      <c r="H60" s="2">
        <f>+'s1'!S60*0.0098</f>
        <v>0</v>
      </c>
      <c r="I60" s="2">
        <f>+'s1'!T60*0.0098</f>
        <v>0</v>
      </c>
      <c r="J60" s="2">
        <f>+'s1'!U60*0.0098</f>
        <v>0</v>
      </c>
      <c r="K60" s="2">
        <f>+'s1'!V60*0.0098</f>
        <v>0</v>
      </c>
      <c r="L60" s="2">
        <f>+'s1'!W60*0.0098</f>
        <v>6.77</v>
      </c>
      <c r="M60" s="2">
        <f>+'s1'!X60*0.0098</f>
        <v>0</v>
      </c>
      <c r="N60" s="2">
        <f>+'s1'!Y60*0.0098</f>
        <v>0</v>
      </c>
      <c r="O60" s="2">
        <f>+'s1'!Z60*0.0098</f>
        <v>0</v>
      </c>
      <c r="P60" s="2">
        <f>+'s1'!AA60*0.0098</f>
        <v>22.45</v>
      </c>
      <c r="Q60" s="2">
        <f>+'s1'!AB60*0.0098</f>
        <v>1560.9</v>
      </c>
      <c r="R60" s="2">
        <f>+'s1'!AC60*0.0098</f>
        <v>0</v>
      </c>
      <c r="S60" s="2">
        <f t="shared" si="2"/>
        <v>2697.27</v>
      </c>
      <c r="T60" s="1"/>
    </row>
    <row r="61" spans="1:20" s="20" customFormat="1" x14ac:dyDescent="0.2">
      <c r="A61" s="1" t="s">
        <v>51</v>
      </c>
      <c r="B61" s="2">
        <f>+'s1'!M61*0.0098</f>
        <v>503.94</v>
      </c>
      <c r="C61" s="2">
        <f>+'s1'!N61*0.0098</f>
        <v>0</v>
      </c>
      <c r="D61" s="2">
        <f>+'s1'!O61*0.0098</f>
        <v>1556.35</v>
      </c>
      <c r="E61" s="2">
        <f>+'s1'!P61*0.0098</f>
        <v>0</v>
      </c>
      <c r="F61" s="2">
        <f>+'s1'!Q61*0.0098</f>
        <v>1965.61</v>
      </c>
      <c r="G61" s="2">
        <f>+'s1'!R61*0.0098</f>
        <v>0</v>
      </c>
      <c r="H61" s="2">
        <f>+'s1'!S61*0.0098</f>
        <v>0</v>
      </c>
      <c r="I61" s="2">
        <f>+'s1'!T61*0.0098</f>
        <v>60.8</v>
      </c>
      <c r="J61" s="2">
        <f>+'s1'!U61*0.0098</f>
        <v>0</v>
      </c>
      <c r="K61" s="2">
        <f>+'s1'!V61*0.0098</f>
        <v>0</v>
      </c>
      <c r="L61" s="2">
        <f>+'s1'!W61*0.0098</f>
        <v>850</v>
      </c>
      <c r="M61" s="2">
        <f>+'s1'!X61*0.0098</f>
        <v>472.29</v>
      </c>
      <c r="N61" s="2">
        <f>+'s1'!Y61*0.0098</f>
        <v>583.69000000000005</v>
      </c>
      <c r="O61" s="2">
        <f>+'s1'!Z61*0.0098</f>
        <v>0</v>
      </c>
      <c r="P61" s="2">
        <f>+'s1'!AA61*0.0098</f>
        <v>0</v>
      </c>
      <c r="Q61" s="2">
        <f>+'s1'!AB61*0.0098</f>
        <v>10274.86</v>
      </c>
      <c r="R61" s="2">
        <f>+'s1'!AC61*0.0098</f>
        <v>0</v>
      </c>
      <c r="S61" s="78">
        <f t="shared" si="2"/>
        <v>16267.54</v>
      </c>
      <c r="T61" s="18"/>
    </row>
    <row r="62" spans="1:20" x14ac:dyDescent="0.2">
      <c r="A62" s="1" t="s">
        <v>52</v>
      </c>
      <c r="B62" s="2">
        <f>+'s1'!M62*0.0098</f>
        <v>0</v>
      </c>
      <c r="C62" s="2">
        <f>+'s1'!N62*0.0098</f>
        <v>0</v>
      </c>
      <c r="D62" s="2">
        <f>+'s1'!O62*0.0098</f>
        <v>2169.29</v>
      </c>
      <c r="E62" s="2">
        <f>+'s1'!P62*0.0098</f>
        <v>0</v>
      </c>
      <c r="F62" s="2">
        <f>+'s1'!Q62*0.0098</f>
        <v>0</v>
      </c>
      <c r="G62" s="2">
        <f>+'s1'!R62*0.0098</f>
        <v>0</v>
      </c>
      <c r="H62" s="2">
        <f>+'s1'!S62*0.0098</f>
        <v>0</v>
      </c>
      <c r="I62" s="2">
        <f>+'s1'!T62*0.0098</f>
        <v>0</v>
      </c>
      <c r="J62" s="2">
        <f>+'s1'!U62*0.0098</f>
        <v>0</v>
      </c>
      <c r="K62" s="2">
        <f>+'s1'!V62*0.0098</f>
        <v>267.48</v>
      </c>
      <c r="L62" s="2">
        <f>+'s1'!W62*0.0098</f>
        <v>0</v>
      </c>
      <c r="M62" s="2">
        <f>+'s1'!X62*0.0098</f>
        <v>0</v>
      </c>
      <c r="N62" s="2">
        <f>+'s1'!Y62*0.0098</f>
        <v>0</v>
      </c>
      <c r="O62" s="2">
        <f>+'s1'!Z62*0.0098</f>
        <v>0</v>
      </c>
      <c r="P62" s="2">
        <f>+'s1'!AA62*0.0098</f>
        <v>0</v>
      </c>
      <c r="Q62" s="2">
        <f>+'s1'!AB62*0.0098</f>
        <v>0</v>
      </c>
      <c r="R62" s="2">
        <f>+'s1'!AC62*0.0098</f>
        <v>271.43</v>
      </c>
      <c r="S62" s="2">
        <f t="shared" si="2"/>
        <v>2708.2</v>
      </c>
      <c r="T62" s="1"/>
    </row>
    <row r="63" spans="1:20" s="20" customFormat="1" ht="13.5" customHeight="1" x14ac:dyDescent="0.2">
      <c r="A63" s="1" t="s">
        <v>474</v>
      </c>
      <c r="B63" s="2">
        <f>+'s1'!M63*0.0098</f>
        <v>0</v>
      </c>
      <c r="C63" s="2">
        <f>+'s1'!N63*0.0098</f>
        <v>0</v>
      </c>
      <c r="D63" s="2">
        <f>+'s1'!O63*0.0098</f>
        <v>0</v>
      </c>
      <c r="E63" s="2">
        <f>+'s1'!P63*0.0098</f>
        <v>0</v>
      </c>
      <c r="F63" s="2">
        <f>+'s1'!Q63*0.0098</f>
        <v>0</v>
      </c>
      <c r="G63" s="2">
        <f>+'s1'!R63*0.0098</f>
        <v>0</v>
      </c>
      <c r="H63" s="2">
        <f>+'s1'!S63*0.0098</f>
        <v>0</v>
      </c>
      <c r="I63" s="2">
        <f>+'s1'!T63*0.0098</f>
        <v>0</v>
      </c>
      <c r="J63" s="2">
        <f>+'s1'!U63*0.0098</f>
        <v>0</v>
      </c>
      <c r="K63" s="2">
        <f>+'s1'!V63*0.0098</f>
        <v>0</v>
      </c>
      <c r="L63" s="2">
        <f>+'s1'!W63*0.0098</f>
        <v>0</v>
      </c>
      <c r="M63" s="2">
        <f>+'s1'!X63*0.0098</f>
        <v>0</v>
      </c>
      <c r="N63" s="2">
        <f>+'s1'!Y63*0.0098</f>
        <v>0</v>
      </c>
      <c r="O63" s="2">
        <f>+'s1'!Z63*0.0098</f>
        <v>0</v>
      </c>
      <c r="P63" s="2">
        <f>+'s1'!AA63*0.0098</f>
        <v>0</v>
      </c>
      <c r="Q63" s="2">
        <f>+'s1'!AB63*0.0098</f>
        <v>0</v>
      </c>
      <c r="R63" s="2">
        <f>+'s1'!AC63*0.0098</f>
        <v>54.38</v>
      </c>
      <c r="S63" s="78">
        <f t="shared" si="2"/>
        <v>54.38</v>
      </c>
      <c r="T63" s="78"/>
    </row>
    <row r="64" spans="1:20" s="20" customFormat="1" x14ac:dyDescent="0.2">
      <c r="A64" s="1" t="s">
        <v>436</v>
      </c>
      <c r="B64" s="2">
        <f>+'s1'!M64*0.0098</f>
        <v>0</v>
      </c>
      <c r="C64" s="2">
        <f>+'s1'!N64*0.0098</f>
        <v>0</v>
      </c>
      <c r="D64" s="2">
        <f>+'s1'!O64*0.0098</f>
        <v>405.73</v>
      </c>
      <c r="E64" s="2">
        <f>+'s1'!P64*0.0098</f>
        <v>0</v>
      </c>
      <c r="F64" s="2">
        <f>+'s1'!Q64*0.0098</f>
        <v>0</v>
      </c>
      <c r="G64" s="2">
        <f>+'s1'!R64*0.0098</f>
        <v>0</v>
      </c>
      <c r="H64" s="2">
        <f>+'s1'!S64*0.0098</f>
        <v>0</v>
      </c>
      <c r="I64" s="2">
        <f>+'s1'!T64*0.0098</f>
        <v>0</v>
      </c>
      <c r="J64" s="2">
        <f>+'s1'!U64*0.0098</f>
        <v>0</v>
      </c>
      <c r="K64" s="2">
        <f>+'s1'!V64*0.0098</f>
        <v>0</v>
      </c>
      <c r="L64" s="2">
        <f>+'s1'!W64*0.0098</f>
        <v>0</v>
      </c>
      <c r="M64" s="2">
        <f>+'s1'!X64*0.0098</f>
        <v>0</v>
      </c>
      <c r="N64" s="2">
        <f>+'s1'!Y64*0.0098</f>
        <v>0</v>
      </c>
      <c r="O64" s="2">
        <f>+'s1'!Z64*0.0098</f>
        <v>0</v>
      </c>
      <c r="P64" s="2">
        <f>+'s1'!AA64*0.0098</f>
        <v>0</v>
      </c>
      <c r="Q64" s="2">
        <f>+'s1'!AB64*0.0098</f>
        <v>187.94</v>
      </c>
      <c r="R64" s="2">
        <f>+'s1'!AC64*0.0098</f>
        <v>0</v>
      </c>
      <c r="S64" s="78">
        <f t="shared" si="2"/>
        <v>593.66999999999996</v>
      </c>
      <c r="T64" s="78"/>
    </row>
    <row r="65" spans="1:20" s="20" customFormat="1" x14ac:dyDescent="0.2">
      <c r="A65" s="1" t="s">
        <v>458</v>
      </c>
      <c r="B65" s="2">
        <f>+'s1'!M65*0.0098</f>
        <v>0</v>
      </c>
      <c r="C65" s="2">
        <f>+'s1'!N65*0.0098</f>
        <v>0.74</v>
      </c>
      <c r="D65" s="2">
        <f>+'s1'!O65*0.0098</f>
        <v>0</v>
      </c>
      <c r="E65" s="2">
        <f>+'s1'!P65*0.0098</f>
        <v>0</v>
      </c>
      <c r="F65" s="2">
        <f>+'s1'!Q65*0.0098</f>
        <v>0</v>
      </c>
      <c r="G65" s="2">
        <f>+'s1'!R65*0.0098</f>
        <v>0</v>
      </c>
      <c r="H65" s="2">
        <f>+'s1'!S65*0.0098</f>
        <v>0</v>
      </c>
      <c r="I65" s="2">
        <f>+'s1'!T65*0.0098</f>
        <v>0</v>
      </c>
      <c r="J65" s="2">
        <f>+'s1'!U65*0.0098</f>
        <v>0</v>
      </c>
      <c r="K65" s="2">
        <f>+'s1'!V65*0.0098</f>
        <v>0</v>
      </c>
      <c r="L65" s="2">
        <f>+'s1'!W65*0.0098</f>
        <v>381.9</v>
      </c>
      <c r="M65" s="2">
        <f>+'s1'!X65*0.0098</f>
        <v>0</v>
      </c>
      <c r="N65" s="2">
        <f>+'s1'!Y65*0.0098</f>
        <v>0</v>
      </c>
      <c r="O65" s="2">
        <f>+'s1'!Z65*0.0098</f>
        <v>0</v>
      </c>
      <c r="P65" s="2">
        <f>+'s1'!AA65*0.0098</f>
        <v>0</v>
      </c>
      <c r="Q65" s="2">
        <f>+'s1'!AB65*0.0098</f>
        <v>0</v>
      </c>
      <c r="R65" s="2">
        <f>+'s1'!AC65*0.0098</f>
        <v>0</v>
      </c>
      <c r="S65" s="78">
        <f t="shared" si="2"/>
        <v>382.64</v>
      </c>
      <c r="T65" s="18"/>
    </row>
    <row r="66" spans="1:20" s="20" customFormat="1" x14ac:dyDescent="0.2">
      <c r="A66" s="1" t="s">
        <v>712</v>
      </c>
      <c r="B66" s="2">
        <f>+'s1'!M66*0.0098</f>
        <v>0</v>
      </c>
      <c r="C66" s="2">
        <f>+'s1'!N66*0.0098</f>
        <v>0</v>
      </c>
      <c r="D66" s="2">
        <f>+'s1'!O66*0.0098-424.18</f>
        <v>441.86</v>
      </c>
      <c r="E66" s="2">
        <f>+'s1'!P66*0.0098</f>
        <v>0</v>
      </c>
      <c r="F66" s="2">
        <f>+'s1'!Q66*0.0098</f>
        <v>0</v>
      </c>
      <c r="G66" s="2">
        <f>+'s1'!R66*0.0098</f>
        <v>0</v>
      </c>
      <c r="H66" s="2">
        <f>+'s1'!S66*0.0098</f>
        <v>0</v>
      </c>
      <c r="I66" s="2">
        <f>+'s1'!T66*0.0098</f>
        <v>0</v>
      </c>
      <c r="J66" s="2">
        <f>+'s1'!U66*0.0098</f>
        <v>0</v>
      </c>
      <c r="K66" s="2">
        <f>+'s1'!V66*0.0098</f>
        <v>0</v>
      </c>
      <c r="L66" s="2">
        <f>+'s1'!W66*0.0098</f>
        <v>0</v>
      </c>
      <c r="M66" s="2">
        <f>+'s1'!X66*0.0098</f>
        <v>0</v>
      </c>
      <c r="N66" s="2">
        <f>+'s1'!Y66*0.0098</f>
        <v>0</v>
      </c>
      <c r="O66" s="2">
        <f>+'s1'!Z66*0.0098</f>
        <v>0</v>
      </c>
      <c r="P66" s="2">
        <f>+'s1'!AA66*0.0098</f>
        <v>0</v>
      </c>
      <c r="Q66" s="2">
        <f>+'s1'!AB66*0.0098</f>
        <v>0</v>
      </c>
      <c r="R66" s="2">
        <f>+'s1'!AC66*0.0098</f>
        <v>0</v>
      </c>
      <c r="S66" s="78">
        <f>SUM(B66:R66)</f>
        <v>441.86</v>
      </c>
      <c r="T66" s="18"/>
    </row>
    <row r="67" spans="1:20" s="20" customFormat="1" x14ac:dyDescent="0.2">
      <c r="A67" s="1" t="s">
        <v>725</v>
      </c>
      <c r="B67" s="2">
        <f>+'s1'!M67*0.0098</f>
        <v>0</v>
      </c>
      <c r="C67" s="2">
        <f>+'s1'!N67*0.0098</f>
        <v>0</v>
      </c>
      <c r="D67" s="2">
        <f>+'s1'!O67*0.0098</f>
        <v>0</v>
      </c>
      <c r="E67" s="2">
        <f>+'s1'!P67*0.0098</f>
        <v>0</v>
      </c>
      <c r="F67" s="2">
        <f>+'s1'!Q67*0.0098</f>
        <v>0</v>
      </c>
      <c r="G67" s="2">
        <f>+'s1'!R67*0.0098</f>
        <v>0</v>
      </c>
      <c r="H67" s="2">
        <f>+'s1'!S67*0.0098</f>
        <v>0</v>
      </c>
      <c r="I67" s="2">
        <f>+'s1'!T67*0.0098</f>
        <v>0</v>
      </c>
      <c r="J67" s="2">
        <f>+'s1'!U67*0.0098</f>
        <v>0</v>
      </c>
      <c r="K67" s="2">
        <f>+'s1'!V67*0.0098</f>
        <v>0</v>
      </c>
      <c r="L67" s="2">
        <f>+'s1'!W67*0.0098</f>
        <v>1160.75</v>
      </c>
      <c r="M67" s="2">
        <f>+'s1'!X67*0.0098</f>
        <v>0</v>
      </c>
      <c r="N67" s="2">
        <f>+'s1'!Y67*0.0098</f>
        <v>0</v>
      </c>
      <c r="O67" s="2">
        <f>+'s1'!Z67*0.0098</f>
        <v>0</v>
      </c>
      <c r="P67" s="2">
        <f>+'s1'!AA67*0.0098</f>
        <v>0</v>
      </c>
      <c r="Q67" s="2">
        <f>+'s1'!AB67*0.0098</f>
        <v>0</v>
      </c>
      <c r="R67" s="2">
        <f>+'s1'!AC67*0.0098</f>
        <v>0</v>
      </c>
      <c r="S67" s="78">
        <f>SUM(B67:R67)</f>
        <v>1160.75</v>
      </c>
      <c r="T67" s="18"/>
    </row>
    <row r="68" spans="1:20" s="20" customFormat="1" x14ac:dyDescent="0.2">
      <c r="A68" s="1" t="s">
        <v>53</v>
      </c>
      <c r="B68" s="2">
        <f>+'s1'!M68*0.0098</f>
        <v>0</v>
      </c>
      <c r="C68" s="2">
        <f>+'s1'!N68*0.0098</f>
        <v>0</v>
      </c>
      <c r="D68" s="2">
        <f>+'s1'!O68*0.0098</f>
        <v>0</v>
      </c>
      <c r="E68" s="2">
        <f>+'s1'!P68*0.0098</f>
        <v>58.54</v>
      </c>
      <c r="F68" s="2">
        <f>+'s1'!Q68*0.0098</f>
        <v>0</v>
      </c>
      <c r="G68" s="2">
        <f>+'s1'!R68*0.0098</f>
        <v>0</v>
      </c>
      <c r="H68" s="2">
        <f>+'s1'!S68*0.0098</f>
        <v>0</v>
      </c>
      <c r="I68" s="2">
        <f>+'s1'!T68*0.0098</f>
        <v>0</v>
      </c>
      <c r="J68" s="2">
        <f>+'s1'!U68*0.0098</f>
        <v>0</v>
      </c>
      <c r="K68" s="2">
        <f>+'s1'!V68*0.0098</f>
        <v>0</v>
      </c>
      <c r="L68" s="2">
        <f>+'s1'!W68*0.0098</f>
        <v>4.87</v>
      </c>
      <c r="M68" s="2">
        <f>+'s1'!X68*0.0098</f>
        <v>0</v>
      </c>
      <c r="N68" s="2">
        <f>+'s1'!Y68*0.0098</f>
        <v>0</v>
      </c>
      <c r="O68" s="2">
        <f>+'s1'!Z68*0.0098</f>
        <v>0</v>
      </c>
      <c r="P68" s="2">
        <f>+'s1'!AA68*0.0098</f>
        <v>0</v>
      </c>
      <c r="Q68" s="2">
        <f>+'s1'!AB68*0.0098</f>
        <v>0</v>
      </c>
      <c r="R68" s="2">
        <f>+'s1'!AC68*0.0098</f>
        <v>0</v>
      </c>
      <c r="S68" s="78">
        <f t="shared" si="2"/>
        <v>63.41</v>
      </c>
      <c r="T68" s="18"/>
    </row>
    <row r="69" spans="1:20" x14ac:dyDescent="0.2">
      <c r="A69" s="1" t="s">
        <v>54</v>
      </c>
      <c r="B69" s="2">
        <f>+'s1'!M69*0.0098</f>
        <v>0</v>
      </c>
      <c r="C69" s="2">
        <f>+'s1'!N69*0.0098</f>
        <v>0</v>
      </c>
      <c r="D69" s="2">
        <f>+'s1'!O69*0.0098</f>
        <v>0</v>
      </c>
      <c r="E69" s="2">
        <f>+'s1'!P69*0.0098</f>
        <v>634.91999999999996</v>
      </c>
      <c r="F69" s="2">
        <f>+'s1'!Q69*0.0098</f>
        <v>0</v>
      </c>
      <c r="G69" s="2">
        <f>+'s1'!R69*0.0098</f>
        <v>0</v>
      </c>
      <c r="H69" s="2">
        <f>+'s1'!S69*0.0098</f>
        <v>0</v>
      </c>
      <c r="I69" s="2">
        <f>+'s1'!T69*0.0098</f>
        <v>0</v>
      </c>
      <c r="J69" s="2">
        <f>+'s1'!U69*0.0098</f>
        <v>0</v>
      </c>
      <c r="K69" s="2">
        <f>+'s1'!V69*0.0098</f>
        <v>0</v>
      </c>
      <c r="L69" s="2">
        <f>+'s1'!W69*0.0098</f>
        <v>0</v>
      </c>
      <c r="M69" s="2">
        <f>+'s1'!X69*0.0098</f>
        <v>0</v>
      </c>
      <c r="N69" s="2">
        <f>+'s1'!Y69*0.0098</f>
        <v>0</v>
      </c>
      <c r="O69" s="2">
        <f>+'s1'!Z69*0.0098</f>
        <v>0</v>
      </c>
      <c r="P69" s="2">
        <f>+'s1'!AA69*0.0098</f>
        <v>0</v>
      </c>
      <c r="Q69" s="2">
        <f>+'s1'!AB69*0.0098</f>
        <v>504.77</v>
      </c>
      <c r="R69" s="2">
        <f>+'s1'!AC69*0.0098</f>
        <v>0</v>
      </c>
      <c r="S69" s="2">
        <f t="shared" si="2"/>
        <v>1139.69</v>
      </c>
      <c r="T69" s="2"/>
    </row>
    <row r="70" spans="1:20" x14ac:dyDescent="0.2">
      <c r="A70" s="1" t="s">
        <v>55</v>
      </c>
      <c r="B70" s="2">
        <f>+'s1'!M70*0.0098</f>
        <v>0</v>
      </c>
      <c r="C70" s="2">
        <f>+'s1'!N70*0.0098</f>
        <v>0</v>
      </c>
      <c r="D70" s="2">
        <f>+'s1'!O70*0.0098</f>
        <v>0</v>
      </c>
      <c r="E70" s="2">
        <f>+'s1'!P70*0.0098</f>
        <v>0</v>
      </c>
      <c r="F70" s="2">
        <f>+'s1'!Q70*0.0098</f>
        <v>0</v>
      </c>
      <c r="G70" s="2">
        <f>+'s1'!R70*0.0098</f>
        <v>0</v>
      </c>
      <c r="H70" s="2">
        <f>+'s1'!S70*0.0098</f>
        <v>0</v>
      </c>
      <c r="I70" s="2">
        <f>+'s1'!T70*0.0098</f>
        <v>0</v>
      </c>
      <c r="J70" s="2">
        <f>+'s1'!U70*0.0098</f>
        <v>0</v>
      </c>
      <c r="K70" s="2">
        <f>+'s1'!V70*0.0098</f>
        <v>0</v>
      </c>
      <c r="L70" s="2">
        <f>+'s1'!W70*0.0098</f>
        <v>0</v>
      </c>
      <c r="M70" s="2">
        <f>+'s1'!X70*0.0098</f>
        <v>0</v>
      </c>
      <c r="N70" s="2">
        <f>+'s1'!Y70*0.0098</f>
        <v>0</v>
      </c>
      <c r="O70" s="2">
        <f>+'s1'!Z70*0.0098</f>
        <v>0</v>
      </c>
      <c r="P70" s="2">
        <f>+'s1'!AA70*0.0098</f>
        <v>0</v>
      </c>
      <c r="Q70" s="2">
        <f>+'s1'!AB70*0.0098</f>
        <v>0</v>
      </c>
      <c r="R70" s="2">
        <f>+'s1'!AC70*0.0098</f>
        <v>354.44</v>
      </c>
      <c r="S70" s="2">
        <f t="shared" ref="S70:S84" si="3">SUM(B70:R70)</f>
        <v>354.44</v>
      </c>
      <c r="T70" s="1"/>
    </row>
    <row r="71" spans="1:20" x14ac:dyDescent="0.2">
      <c r="A71" s="1" t="s">
        <v>221</v>
      </c>
      <c r="B71" s="2">
        <f>+'s1'!M71*0.0098</f>
        <v>0</v>
      </c>
      <c r="C71" s="2">
        <f>+'s1'!N71*0.0098</f>
        <v>0</v>
      </c>
      <c r="D71" s="2">
        <f>+'s1'!O71*0.0098</f>
        <v>0.91</v>
      </c>
      <c r="E71" s="2">
        <f>+'s1'!P71*0.0098</f>
        <v>0</v>
      </c>
      <c r="F71" s="2">
        <f>+'s1'!Q71*0.0098</f>
        <v>0</v>
      </c>
      <c r="G71" s="2">
        <f>+'s1'!R71*0.0098</f>
        <v>0</v>
      </c>
      <c r="H71" s="2">
        <f>+'s1'!S71*0.0098</f>
        <v>0</v>
      </c>
      <c r="I71" s="2">
        <f>+'s1'!T71*0.0098</f>
        <v>0</v>
      </c>
      <c r="J71" s="2">
        <f>+'s1'!U71*0.0098</f>
        <v>0</v>
      </c>
      <c r="K71" s="2">
        <f>+'s1'!V71*0.0098</f>
        <v>0</v>
      </c>
      <c r="L71" s="2">
        <f>+'s1'!W71*0.0098</f>
        <v>0</v>
      </c>
      <c r="M71" s="2">
        <f>+'s1'!X71*0.0098</f>
        <v>0</v>
      </c>
      <c r="N71" s="2">
        <f>+'s1'!Y71*0.0098</f>
        <v>0</v>
      </c>
      <c r="O71" s="2">
        <f>+'s1'!Z71*0.0098</f>
        <v>0</v>
      </c>
      <c r="P71" s="2">
        <f>+'s1'!AA71*0.0098</f>
        <v>0</v>
      </c>
      <c r="Q71" s="2">
        <f>+'s1'!AB71*0.0098</f>
        <v>0</v>
      </c>
      <c r="R71" s="2">
        <f>+'s1'!AC71*0.0098</f>
        <v>0</v>
      </c>
      <c r="S71" s="2">
        <f t="shared" si="3"/>
        <v>0.91</v>
      </c>
      <c r="T71" s="1"/>
    </row>
    <row r="72" spans="1:20" x14ac:dyDescent="0.2">
      <c r="A72" s="18" t="s">
        <v>486</v>
      </c>
      <c r="B72" s="2">
        <f>+'s1'!M72*0.0098</f>
        <v>0.59</v>
      </c>
      <c r="C72" s="2">
        <f>+'s1'!N72*0.0098</f>
        <v>0</v>
      </c>
      <c r="D72" s="2">
        <f>+'s1'!O72*0.0098</f>
        <v>0</v>
      </c>
      <c r="E72" s="2">
        <f>+'s1'!P72*0.0098</f>
        <v>0</v>
      </c>
      <c r="F72" s="2">
        <f>+'s1'!Q72*0.0098</f>
        <v>0</v>
      </c>
      <c r="G72" s="2">
        <f>+'s1'!R72*0.0098</f>
        <v>0</v>
      </c>
      <c r="H72" s="2">
        <f>+'s1'!S72*0.0098</f>
        <v>0</v>
      </c>
      <c r="I72" s="2">
        <f>+'s1'!T72*0.0098</f>
        <v>0</v>
      </c>
      <c r="J72" s="2">
        <f>+'s1'!U72*0.0098</f>
        <v>0</v>
      </c>
      <c r="K72" s="2">
        <f>+'s1'!V72*0.0098</f>
        <v>0</v>
      </c>
      <c r="L72" s="2">
        <f>+'s1'!W72*0.0098</f>
        <v>0</v>
      </c>
      <c r="M72" s="2">
        <f>+'s1'!X72*0.0098</f>
        <v>0</v>
      </c>
      <c r="N72" s="2">
        <f>+'s1'!Y72*0.0098</f>
        <v>0</v>
      </c>
      <c r="O72" s="2">
        <f>+'s1'!Z72*0.0098</f>
        <v>0</v>
      </c>
      <c r="P72" s="2">
        <f>+'s1'!AA72*0.0098</f>
        <v>0</v>
      </c>
      <c r="Q72" s="2">
        <f>+'s1'!AB72*0.0098</f>
        <v>0</v>
      </c>
      <c r="R72" s="2">
        <f>+'s1'!AC72*0.0098</f>
        <v>0</v>
      </c>
      <c r="S72" s="2">
        <f>SUM(B72:R72)</f>
        <v>0.59</v>
      </c>
      <c r="T72" s="2"/>
    </row>
    <row r="73" spans="1:20" x14ac:dyDescent="0.2">
      <c r="A73" s="18" t="s">
        <v>56</v>
      </c>
      <c r="B73" s="2">
        <f>+'s1'!M73*0.0098</f>
        <v>0</v>
      </c>
      <c r="C73" s="2">
        <f>+'s1'!N73*0.0098</f>
        <v>0</v>
      </c>
      <c r="D73" s="2">
        <f>+'s1'!O73*0.0098</f>
        <v>0</v>
      </c>
      <c r="E73" s="2">
        <f>+'s1'!P73*0.0098</f>
        <v>5.39</v>
      </c>
      <c r="F73" s="2">
        <f>+'s1'!Q73*0.0098</f>
        <v>0</v>
      </c>
      <c r="G73" s="2">
        <f>+'s1'!R73*0.0098</f>
        <v>0</v>
      </c>
      <c r="H73" s="2">
        <f>+'s1'!S73*0.0098</f>
        <v>0</v>
      </c>
      <c r="I73" s="2">
        <f>+'s1'!T73*0.0098</f>
        <v>0</v>
      </c>
      <c r="J73" s="2">
        <f>+'s1'!U73*0.0098</f>
        <v>0</v>
      </c>
      <c r="K73" s="2">
        <f>+'s1'!V73*0.0098</f>
        <v>0</v>
      </c>
      <c r="L73" s="2">
        <f>+'s1'!W73*0.0098</f>
        <v>9.07</v>
      </c>
      <c r="M73" s="2">
        <f>+'s1'!X73*0.0098</f>
        <v>0</v>
      </c>
      <c r="N73" s="2">
        <f>+'s1'!Y73*0.0098</f>
        <v>0</v>
      </c>
      <c r="O73" s="2">
        <f>+'s1'!Z73*0.0098</f>
        <v>0</v>
      </c>
      <c r="P73" s="2">
        <f>+'s1'!AA73*0.0098</f>
        <v>15.78</v>
      </c>
      <c r="Q73" s="2">
        <f>+'s1'!AB73*0.0098</f>
        <v>215.34</v>
      </c>
      <c r="R73" s="2">
        <f>+'s1'!AC73*0.0098</f>
        <v>0</v>
      </c>
      <c r="S73" s="2">
        <f t="shared" si="3"/>
        <v>245.58</v>
      </c>
      <c r="T73" s="2"/>
    </row>
    <row r="74" spans="1:20" x14ac:dyDescent="0.2">
      <c r="A74" s="1" t="s">
        <v>726</v>
      </c>
      <c r="B74" s="2">
        <f>+'s1'!M74*0.0098</f>
        <v>0</v>
      </c>
      <c r="C74" s="2">
        <f>+'s1'!N74*0.0098</f>
        <v>0</v>
      </c>
      <c r="D74" s="2">
        <f>+'s1'!O74*0.0098</f>
        <v>16893.45</v>
      </c>
      <c r="E74" s="2">
        <f>+'s1'!P74*0.0098</f>
        <v>0</v>
      </c>
      <c r="F74" s="2">
        <f>+'s1'!Q74*0.0098</f>
        <v>0</v>
      </c>
      <c r="G74" s="2">
        <f>+'s1'!R74*0.0098</f>
        <v>0</v>
      </c>
      <c r="H74" s="2">
        <f>+'s1'!S74*0.0098</f>
        <v>0</v>
      </c>
      <c r="I74" s="2">
        <f>+'s1'!T74*0.0098</f>
        <v>0</v>
      </c>
      <c r="J74" s="2">
        <f>+'s1'!U74*0.0098</f>
        <v>0</v>
      </c>
      <c r="K74" s="2">
        <f>+'s1'!V74*0.0098</f>
        <v>501.78</v>
      </c>
      <c r="L74" s="2">
        <f>+'s1'!W74*0.0098</f>
        <v>0</v>
      </c>
      <c r="M74" s="2">
        <f>+'s1'!X74*0.0098</f>
        <v>0</v>
      </c>
      <c r="N74" s="2">
        <f>+'s1'!Y74*0.0098</f>
        <v>1023.35</v>
      </c>
      <c r="O74" s="2">
        <f>+'s1'!Z74*0.0098</f>
        <v>0</v>
      </c>
      <c r="P74" s="2">
        <f>+'s1'!AA74*0.0098</f>
        <v>0</v>
      </c>
      <c r="Q74" s="2">
        <f>+'s1'!AB74*0.0098</f>
        <v>0</v>
      </c>
      <c r="R74" s="2">
        <f>+'s1'!AC74*0.0098</f>
        <v>0</v>
      </c>
      <c r="S74" s="2">
        <f>SUM(B74:R74)</f>
        <v>18418.580000000002</v>
      </c>
      <c r="T74" s="1"/>
    </row>
    <row r="75" spans="1:20" x14ac:dyDescent="0.2">
      <c r="A75" s="1" t="s">
        <v>437</v>
      </c>
      <c r="B75" s="2">
        <f>+'s1'!M75*0.0098</f>
        <v>0</v>
      </c>
      <c r="C75" s="2">
        <f>+'s1'!N75*0.0098</f>
        <v>0</v>
      </c>
      <c r="D75" s="2">
        <f>+'s1'!O75*0.0098</f>
        <v>1146.69</v>
      </c>
      <c r="E75" s="2">
        <f>+'s1'!P75*0.0098</f>
        <v>0</v>
      </c>
      <c r="F75" s="2">
        <f>+'s1'!Q75*0.0098</f>
        <v>0</v>
      </c>
      <c r="G75" s="2">
        <f>+'s1'!R75*0.0098</f>
        <v>0</v>
      </c>
      <c r="H75" s="2">
        <f>+'s1'!S75*0.0098</f>
        <v>0</v>
      </c>
      <c r="I75" s="2">
        <f>+'s1'!T75*0.0098</f>
        <v>0</v>
      </c>
      <c r="J75" s="2">
        <f>+'s1'!U75*0.0098</f>
        <v>0</v>
      </c>
      <c r="K75" s="2">
        <f>+'s1'!V75*0.0098</f>
        <v>0</v>
      </c>
      <c r="L75" s="2">
        <f>+'s1'!W75*0.0098</f>
        <v>0</v>
      </c>
      <c r="M75" s="2">
        <f>+'s1'!X75*0.0098</f>
        <v>0</v>
      </c>
      <c r="N75" s="2">
        <f>+'s1'!Y75*0.0098</f>
        <v>0</v>
      </c>
      <c r="O75" s="2">
        <f>+'s1'!Z75*0.0098</f>
        <v>0</v>
      </c>
      <c r="P75" s="2">
        <f>+'s1'!AA75*0.0098</f>
        <v>0</v>
      </c>
      <c r="Q75" s="2">
        <f>+'s1'!AB75*0.0098</f>
        <v>1212.81</v>
      </c>
      <c r="R75" s="2">
        <f>+'s1'!AC75*0.0098</f>
        <v>0</v>
      </c>
      <c r="S75" s="2">
        <f t="shared" si="3"/>
        <v>2359.5</v>
      </c>
      <c r="T75" s="1"/>
    </row>
    <row r="76" spans="1:20" s="20" customFormat="1" x14ac:dyDescent="0.2">
      <c r="A76" s="1" t="s">
        <v>57</v>
      </c>
      <c r="B76" s="2">
        <f>+'s1'!M76*0.0098</f>
        <v>0</v>
      </c>
      <c r="C76" s="2">
        <f>+'s1'!N76*0.0098</f>
        <v>0</v>
      </c>
      <c r="D76" s="2">
        <f>+'s1'!O76*0.0098</f>
        <v>13035.8</v>
      </c>
      <c r="E76" s="2">
        <f>+'s1'!P76*0.0098</f>
        <v>0</v>
      </c>
      <c r="F76" s="2">
        <f>+'s1'!Q76*0.0098</f>
        <v>0</v>
      </c>
      <c r="G76" s="2">
        <f>+'s1'!R76*0.0098</f>
        <v>0</v>
      </c>
      <c r="H76" s="2">
        <f>+'s1'!S76*0.0098</f>
        <v>0</v>
      </c>
      <c r="I76" s="2">
        <f>+'s1'!T76*0.0098</f>
        <v>0</v>
      </c>
      <c r="J76" s="2">
        <f>+'s1'!U76*0.0098</f>
        <v>0</v>
      </c>
      <c r="K76" s="2">
        <f>+'s1'!V76*0.0098</f>
        <v>0</v>
      </c>
      <c r="L76" s="2">
        <f>+'s1'!W76*0.0098</f>
        <v>0</v>
      </c>
      <c r="M76" s="2">
        <f>+'s1'!X76*0.0098</f>
        <v>0</v>
      </c>
      <c r="N76" s="2">
        <f>+'s1'!Y76*0.0098</f>
        <v>0</v>
      </c>
      <c r="O76" s="2">
        <f>+'s1'!Z76*0.0098</f>
        <v>0</v>
      </c>
      <c r="P76" s="2">
        <f>+'s1'!AA76*0.0098</f>
        <v>0</v>
      </c>
      <c r="Q76" s="2">
        <f>+'s1'!AB76*0.0098</f>
        <v>0</v>
      </c>
      <c r="R76" s="2">
        <f>+'s1'!AC76*0.0098</f>
        <v>0</v>
      </c>
      <c r="S76" s="78">
        <f t="shared" si="3"/>
        <v>13035.8</v>
      </c>
      <c r="T76" s="78"/>
    </row>
    <row r="77" spans="1:20" s="20" customFormat="1" x14ac:dyDescent="0.2">
      <c r="A77" s="1" t="s">
        <v>438</v>
      </c>
      <c r="B77" s="2">
        <f>+'s1'!M77*0.0098</f>
        <v>0</v>
      </c>
      <c r="C77" s="2">
        <f>+'s1'!N77*0.0098</f>
        <v>0</v>
      </c>
      <c r="D77" s="2">
        <f>+'s1'!O77*0.0098</f>
        <v>1685.92</v>
      </c>
      <c r="E77" s="2">
        <f>+'s1'!P77*0.0098</f>
        <v>0</v>
      </c>
      <c r="F77" s="2">
        <f>+'s1'!Q77*0.0098</f>
        <v>2000.84</v>
      </c>
      <c r="G77" s="2">
        <f>+'s1'!R77*0.0098</f>
        <v>0</v>
      </c>
      <c r="H77" s="2">
        <f>+'s1'!S77*0.0098</f>
        <v>0</v>
      </c>
      <c r="I77" s="2">
        <f>+'s1'!T77*0.0098</f>
        <v>0</v>
      </c>
      <c r="J77" s="2">
        <f>+'s1'!U77*0.0098</f>
        <v>0</v>
      </c>
      <c r="K77" s="2">
        <f>+'s1'!V77*0.0098</f>
        <v>0</v>
      </c>
      <c r="L77" s="2">
        <f>+'s1'!W77*0.0098</f>
        <v>1343.16</v>
      </c>
      <c r="M77" s="2">
        <f>+'s1'!X77*0.0098</f>
        <v>0</v>
      </c>
      <c r="N77" s="2">
        <f>+'s1'!Y77*0.0098</f>
        <v>0</v>
      </c>
      <c r="O77" s="2">
        <f>+'s1'!Z77*0.0098</f>
        <v>0</v>
      </c>
      <c r="P77" s="2">
        <f>+'s1'!AA77*0.0098</f>
        <v>0</v>
      </c>
      <c r="Q77" s="2">
        <f>+'s1'!AB77*0.0098</f>
        <v>0</v>
      </c>
      <c r="R77" s="2">
        <f>+'s1'!AC77*0.0098</f>
        <v>0</v>
      </c>
      <c r="S77" s="78">
        <f t="shared" si="3"/>
        <v>5029.92</v>
      </c>
      <c r="T77" s="78"/>
    </row>
    <row r="78" spans="1:20" x14ac:dyDescent="0.2">
      <c r="A78" s="1" t="s">
        <v>439</v>
      </c>
      <c r="B78" s="2">
        <f>+'s1'!M78*0.0098</f>
        <v>0</v>
      </c>
      <c r="C78" s="2">
        <f>+'s1'!N78*0.0098</f>
        <v>0</v>
      </c>
      <c r="D78" s="2">
        <f>+'s1'!O78*0.0098</f>
        <v>197.32</v>
      </c>
      <c r="E78" s="2">
        <f>+'s1'!P78*0.0098</f>
        <v>0</v>
      </c>
      <c r="F78" s="2">
        <f>+'s1'!Q78*0.0098</f>
        <v>0</v>
      </c>
      <c r="G78" s="2">
        <f>+'s1'!R78*0.0098</f>
        <v>0</v>
      </c>
      <c r="H78" s="2">
        <f>+'s1'!S78*0.0098</f>
        <v>0</v>
      </c>
      <c r="I78" s="2">
        <f>+'s1'!T78*0.0098</f>
        <v>0</v>
      </c>
      <c r="J78" s="2">
        <f>+'s1'!U78*0.0098</f>
        <v>0</v>
      </c>
      <c r="K78" s="2">
        <f>+'s1'!V78*0.0098</f>
        <v>0</v>
      </c>
      <c r="L78" s="2">
        <f>+'s1'!W78*0.0098</f>
        <v>0</v>
      </c>
      <c r="M78" s="2">
        <f>+'s1'!X78*0.0098</f>
        <v>0</v>
      </c>
      <c r="N78" s="2">
        <f>+'s1'!Y78*0.0098</f>
        <v>0</v>
      </c>
      <c r="O78" s="2">
        <f>+'s1'!Z78*0.0098</f>
        <v>0</v>
      </c>
      <c r="P78" s="2">
        <f>+'s1'!AA78*0.0098</f>
        <v>0</v>
      </c>
      <c r="Q78" s="2">
        <f>+'s1'!AB78*0.0098</f>
        <v>76.430000000000007</v>
      </c>
      <c r="R78" s="2">
        <f>+'s1'!AC78*0.0098</f>
        <v>0</v>
      </c>
      <c r="S78" s="2">
        <f t="shared" si="3"/>
        <v>273.75</v>
      </c>
      <c r="T78" s="2"/>
    </row>
    <row r="79" spans="1:20" x14ac:dyDescent="0.2">
      <c r="A79" s="1" t="s">
        <v>355</v>
      </c>
      <c r="B79" s="2">
        <f>+'s1'!M79*0.0098</f>
        <v>0</v>
      </c>
      <c r="C79" s="2">
        <f>+'s1'!N79*0.0098</f>
        <v>0</v>
      </c>
      <c r="D79" s="2">
        <f>+'s1'!O79*0.0098</f>
        <v>332.08</v>
      </c>
      <c r="E79" s="2">
        <f>+'s1'!P79*0.0098</f>
        <v>0</v>
      </c>
      <c r="F79" s="2">
        <f>+'s1'!Q79*0.0098</f>
        <v>0</v>
      </c>
      <c r="G79" s="2">
        <f>+'s1'!R79*0.0098</f>
        <v>0</v>
      </c>
      <c r="H79" s="2">
        <f>+'s1'!S79*0.0098</f>
        <v>0</v>
      </c>
      <c r="I79" s="2">
        <f>+'s1'!T79*0.0098</f>
        <v>0</v>
      </c>
      <c r="J79" s="2">
        <f>+'s1'!U79*0.0098</f>
        <v>0</v>
      </c>
      <c r="K79" s="2">
        <f>+'s1'!V79*0.0098</f>
        <v>0</v>
      </c>
      <c r="L79" s="2">
        <f>+'s1'!W79*0.0098</f>
        <v>0</v>
      </c>
      <c r="M79" s="2">
        <f>+'s1'!X79*0.0098</f>
        <v>0</v>
      </c>
      <c r="N79" s="2">
        <f>+'s1'!Y79*0.0098</f>
        <v>824.87</v>
      </c>
      <c r="O79" s="2">
        <f>+'s1'!Z79*0.0098</f>
        <v>0</v>
      </c>
      <c r="P79" s="2">
        <f>+'s1'!AA79*0.0098</f>
        <v>0</v>
      </c>
      <c r="Q79" s="2">
        <f>+'s1'!AB79*0.0098</f>
        <v>0</v>
      </c>
      <c r="R79" s="2">
        <f>+'s1'!AC79*0.0098</f>
        <v>0</v>
      </c>
      <c r="S79" s="2">
        <f>SUM(B79:R79)</f>
        <v>1156.95</v>
      </c>
      <c r="T79" s="2"/>
    </row>
    <row r="80" spans="1:20" s="20" customFormat="1" x14ac:dyDescent="0.2">
      <c r="A80" s="1" t="s">
        <v>606</v>
      </c>
      <c r="B80" s="2">
        <f>+'s1'!M80*0.0098</f>
        <v>0</v>
      </c>
      <c r="C80" s="2">
        <f>+'s1'!N80*0.0098</f>
        <v>0</v>
      </c>
      <c r="D80" s="2">
        <f>+'s1'!O80*0.0098</f>
        <v>0</v>
      </c>
      <c r="E80" s="2">
        <f>+'s1'!P80*0.0098</f>
        <v>0</v>
      </c>
      <c r="F80" s="2">
        <f>+'s1'!Q80*0.0098</f>
        <v>0</v>
      </c>
      <c r="G80" s="2">
        <f>+'s1'!R80*0.0098</f>
        <v>0</v>
      </c>
      <c r="H80" s="2">
        <f>+'s1'!S80*0.0098</f>
        <v>0</v>
      </c>
      <c r="I80" s="2">
        <f>+'s1'!T80*0.0098</f>
        <v>0</v>
      </c>
      <c r="J80" s="2">
        <f>+'s1'!U80*0.0098</f>
        <v>0</v>
      </c>
      <c r="K80" s="2">
        <f>+'s1'!V80*0.0098</f>
        <v>0</v>
      </c>
      <c r="L80" s="2">
        <f>+'s1'!W80*0.0098</f>
        <v>0</v>
      </c>
      <c r="M80" s="2">
        <f>+'s1'!X80*0.0098</f>
        <v>0</v>
      </c>
      <c r="N80" s="2">
        <f>+'s1'!Y80*0.0098</f>
        <v>0</v>
      </c>
      <c r="O80" s="2">
        <f>+'s1'!Z80*0.0098</f>
        <v>0</v>
      </c>
      <c r="P80" s="2">
        <f>+'s1'!AA80*0.0098</f>
        <v>0</v>
      </c>
      <c r="Q80" s="2">
        <f>+'s1'!AB80*0.0098+13.47-64.47</f>
        <v>75.03</v>
      </c>
      <c r="R80" s="2">
        <f>+'s1'!AC80*0.0098</f>
        <v>0</v>
      </c>
      <c r="S80" s="78">
        <f>SUM(B80:R80)</f>
        <v>75.03</v>
      </c>
      <c r="T80" s="78"/>
    </row>
    <row r="81" spans="1:20" s="20" customFormat="1" x14ac:dyDescent="0.2">
      <c r="A81" s="18" t="s">
        <v>440</v>
      </c>
      <c r="B81" s="2">
        <f>+'s1'!M81*0.0098</f>
        <v>2467.4</v>
      </c>
      <c r="C81" s="2">
        <f>+'s1'!N81*0.0098</f>
        <v>0</v>
      </c>
      <c r="D81" s="2">
        <f>+'s1'!O81*0.0098</f>
        <v>0</v>
      </c>
      <c r="E81" s="2">
        <f>+'s1'!P81*0.0098</f>
        <v>0</v>
      </c>
      <c r="F81" s="2">
        <f>+'s1'!Q81*0.0098</f>
        <v>0</v>
      </c>
      <c r="G81" s="2">
        <f>+'s1'!R81*0.0098</f>
        <v>0</v>
      </c>
      <c r="H81" s="2">
        <f>+'s1'!S81*0.0098</f>
        <v>0</v>
      </c>
      <c r="I81" s="2">
        <f>+'s1'!T81*0.0098</f>
        <v>0</v>
      </c>
      <c r="J81" s="2">
        <f>+'s1'!U81*0.0098</f>
        <v>0</v>
      </c>
      <c r="K81" s="2">
        <f>+'s1'!V81*0.0098</f>
        <v>0</v>
      </c>
      <c r="L81" s="2">
        <f>+'s1'!W81*0.0098</f>
        <v>0</v>
      </c>
      <c r="M81" s="2">
        <f>+'s1'!X81*0.0098</f>
        <v>0</v>
      </c>
      <c r="N81" s="2">
        <f>+'s1'!Y81*0.0098</f>
        <v>0</v>
      </c>
      <c r="O81" s="2">
        <f>+'s1'!Z81*0.0098</f>
        <v>0</v>
      </c>
      <c r="P81" s="2">
        <f>+'s1'!AA81*0.0098</f>
        <v>0</v>
      </c>
      <c r="Q81" s="2">
        <f>+'s1'!AB81*0.0098</f>
        <v>10255.15</v>
      </c>
      <c r="R81" s="2">
        <f>+'s1'!AC81*0.0098</f>
        <v>0</v>
      </c>
      <c r="S81" s="78">
        <f>SUM(B81:R81)</f>
        <v>12722.55</v>
      </c>
      <c r="T81" s="78"/>
    </row>
    <row r="82" spans="1:20" x14ac:dyDescent="0.2">
      <c r="A82" s="18" t="s">
        <v>58</v>
      </c>
      <c r="B82" s="2">
        <f>+'s1'!M82*0.0098</f>
        <v>0</v>
      </c>
      <c r="C82" s="2">
        <f>+'s1'!N82*0.0098</f>
        <v>0</v>
      </c>
      <c r="D82" s="2">
        <f>+'s1'!O82*0.0098</f>
        <v>74706.12</v>
      </c>
      <c r="E82" s="2">
        <f>+'s1'!P82*0.0098</f>
        <v>0</v>
      </c>
      <c r="F82" s="2">
        <f>+'s1'!Q82*0.0098</f>
        <v>0</v>
      </c>
      <c r="G82" s="2">
        <f>+'s1'!R82*0.0098</f>
        <v>37.6</v>
      </c>
      <c r="H82" s="2">
        <f>+'s1'!S82*0.0098</f>
        <v>0</v>
      </c>
      <c r="I82" s="2">
        <f>+'s1'!T82*0.0098</f>
        <v>0</v>
      </c>
      <c r="J82" s="2">
        <f>+'s1'!U82*0.0098</f>
        <v>19.86</v>
      </c>
      <c r="K82" s="2">
        <f>+'s1'!V82*0.0098</f>
        <v>24.5</v>
      </c>
      <c r="L82" s="2">
        <f>+'s1'!W82*0.0098</f>
        <v>0</v>
      </c>
      <c r="M82" s="2">
        <f>+'s1'!X82*0.0098</f>
        <v>0</v>
      </c>
      <c r="N82" s="2">
        <f>+'s1'!Y82*0.0098</f>
        <v>3843.32</v>
      </c>
      <c r="O82" s="2">
        <f>+'s1'!Z82*0.0098</f>
        <v>0</v>
      </c>
      <c r="P82" s="2">
        <f>+'s1'!AA82*0.0098</f>
        <v>0</v>
      </c>
      <c r="Q82" s="2">
        <f>+'s1'!AB82*0.0098</f>
        <v>0</v>
      </c>
      <c r="R82" s="2">
        <f>+'s1'!AC82*0.0098</f>
        <v>0</v>
      </c>
      <c r="S82" s="2">
        <f>SUM(B82:R82)</f>
        <v>78631.399999999994</v>
      </c>
      <c r="T82" s="2"/>
    </row>
    <row r="83" spans="1:20" s="20" customFormat="1" x14ac:dyDescent="0.2">
      <c r="A83" s="1" t="s">
        <v>59</v>
      </c>
      <c r="B83" s="2">
        <f>+'s1'!M83*0.0098</f>
        <v>0</v>
      </c>
      <c r="C83" s="2">
        <f>+'s1'!N83*0.0098</f>
        <v>0</v>
      </c>
      <c r="D83" s="2">
        <f>+'s1'!O83*0.0098</f>
        <v>0</v>
      </c>
      <c r="E83" s="2">
        <f>+'s1'!P83*0.0098</f>
        <v>0</v>
      </c>
      <c r="F83" s="2">
        <f>+'s1'!Q83*0.0098</f>
        <v>703.54</v>
      </c>
      <c r="G83" s="2">
        <f>+'s1'!R83*0.0098</f>
        <v>0</v>
      </c>
      <c r="H83" s="2">
        <f>+'s1'!S83*0.0098</f>
        <v>0</v>
      </c>
      <c r="I83" s="2">
        <f>+'s1'!T83*0.0098</f>
        <v>64.33</v>
      </c>
      <c r="J83" s="2">
        <f>+'s1'!U83*0.0098</f>
        <v>0</v>
      </c>
      <c r="K83" s="2">
        <f>+'s1'!V83*0.0098</f>
        <v>584.05999999999995</v>
      </c>
      <c r="L83" s="2">
        <f>+'s1'!W83*0.0098</f>
        <v>0</v>
      </c>
      <c r="M83" s="2">
        <f>+'s1'!X83*0.0098</f>
        <v>0</v>
      </c>
      <c r="N83" s="2">
        <f>+'s1'!Y83*0.0098</f>
        <v>0</v>
      </c>
      <c r="O83" s="2">
        <f>+'s1'!Z83*0.0098</f>
        <v>0</v>
      </c>
      <c r="P83" s="2">
        <f>+'s1'!AA83*0.0098</f>
        <v>0</v>
      </c>
      <c r="Q83" s="2">
        <f>+'s1'!AB83*0.0098</f>
        <v>0</v>
      </c>
      <c r="R83" s="2">
        <f>+'s1'!AC83*0.0098</f>
        <v>1793.3</v>
      </c>
      <c r="S83" s="78">
        <f>SUM(B83:R83)</f>
        <v>3145.23</v>
      </c>
      <c r="T83" s="78"/>
    </row>
    <row r="84" spans="1:20" s="20" customFormat="1" x14ac:dyDescent="0.2">
      <c r="A84" s="1" t="s">
        <v>460</v>
      </c>
      <c r="B84" s="2">
        <f>+'s1'!M84*0.0098</f>
        <v>0</v>
      </c>
      <c r="C84" s="2">
        <f>+'s1'!N84*0.0098</f>
        <v>0</v>
      </c>
      <c r="D84" s="2">
        <f>+'s1'!O84*0.0098</f>
        <v>0</v>
      </c>
      <c r="E84" s="2">
        <f>+'s1'!P84*0.0098</f>
        <v>0</v>
      </c>
      <c r="F84" s="2">
        <f>+'s1'!Q84*0.0098</f>
        <v>0</v>
      </c>
      <c r="G84" s="2">
        <f>+'s1'!R84*0.0098</f>
        <v>0</v>
      </c>
      <c r="H84" s="2">
        <f>+'s1'!S84*0.0098</f>
        <v>0</v>
      </c>
      <c r="I84" s="2">
        <f>+'s1'!T84*0.0098</f>
        <v>0</v>
      </c>
      <c r="J84" s="2">
        <f>+'s1'!U84*0.0098</f>
        <v>0</v>
      </c>
      <c r="K84" s="2">
        <f>+'s1'!V84*0.0098</f>
        <v>0</v>
      </c>
      <c r="L84" s="2">
        <f>+'s1'!W84*0.0098</f>
        <v>0</v>
      </c>
      <c r="M84" s="2">
        <f>+'s1'!X84*0.0098</f>
        <v>0</v>
      </c>
      <c r="N84" s="2">
        <f>+'s1'!Y84*0.0098</f>
        <v>0</v>
      </c>
      <c r="O84" s="2">
        <f>+'s1'!Z84*0.0098</f>
        <v>0</v>
      </c>
      <c r="P84" s="2">
        <f>+'s1'!AA84*0.0098</f>
        <v>0</v>
      </c>
      <c r="Q84" s="2">
        <f>+'s1'!AB84*0.0098</f>
        <v>85.26</v>
      </c>
      <c r="R84" s="2">
        <f>+'s1'!AC84*0.0098</f>
        <v>0</v>
      </c>
      <c r="S84" s="78">
        <f t="shared" si="3"/>
        <v>85.26</v>
      </c>
      <c r="T84" s="18"/>
    </row>
    <row r="85" spans="1:20" s="20" customFormat="1" x14ac:dyDescent="0.2">
      <c r="A85" s="18" t="s">
        <v>60</v>
      </c>
      <c r="B85" s="2">
        <f>+'s1'!M85*0.0098</f>
        <v>3150.67</v>
      </c>
      <c r="C85" s="2">
        <f>+'s1'!N85*0.0098</f>
        <v>0</v>
      </c>
      <c r="D85" s="2">
        <f>+'s1'!O85*0.0098</f>
        <v>22511.31</v>
      </c>
      <c r="E85" s="2">
        <f>+'s1'!P85*0.0098</f>
        <v>1705.6</v>
      </c>
      <c r="F85" s="2">
        <f>+'s1'!Q85*0.0098</f>
        <v>0</v>
      </c>
      <c r="G85" s="2">
        <f>+'s1'!R85*0.0098</f>
        <v>39.51</v>
      </c>
      <c r="H85" s="2">
        <f>+'s1'!S85*0.0098</f>
        <v>0</v>
      </c>
      <c r="I85" s="2">
        <f>+'s1'!T85*0.0098</f>
        <v>0</v>
      </c>
      <c r="J85" s="2">
        <f>+'s1'!U85*0.0098</f>
        <v>0</v>
      </c>
      <c r="K85" s="2">
        <f>+'s1'!V85*0.0098</f>
        <v>0</v>
      </c>
      <c r="L85" s="2">
        <f>+'s1'!W85*0.0098</f>
        <v>1436.96</v>
      </c>
      <c r="M85" s="2">
        <f>+'s1'!X85*0.0098</f>
        <v>19.739999999999998</v>
      </c>
      <c r="N85" s="2">
        <f>+'s1'!Y85*0.0098</f>
        <v>402.31</v>
      </c>
      <c r="O85" s="2">
        <f>+'s1'!Z85*0.0098</f>
        <v>289.48</v>
      </c>
      <c r="P85" s="2">
        <f>+'s1'!AA85*0.0098</f>
        <v>0</v>
      </c>
      <c r="Q85" s="2">
        <f>+'s1'!AB85*0.0098</f>
        <v>7410.23</v>
      </c>
      <c r="R85" s="2">
        <f>+'s1'!AC85*0.0098</f>
        <v>0</v>
      </c>
      <c r="S85" s="78">
        <f>SUM(B85:R85)</f>
        <v>36965.81</v>
      </c>
      <c r="T85" s="18"/>
    </row>
    <row r="86" spans="1:20" x14ac:dyDescent="0.2">
      <c r="A86" s="1" t="s">
        <v>461</v>
      </c>
      <c r="B86" s="2">
        <f>+'s1'!M86*0.0098</f>
        <v>0</v>
      </c>
      <c r="C86" s="2">
        <f>+'s1'!N86*0.0098</f>
        <v>2.58</v>
      </c>
      <c r="D86" s="2">
        <f>+'s1'!O86*0.0098</f>
        <v>0</v>
      </c>
      <c r="E86" s="2">
        <f>+'s1'!P86*0.0098</f>
        <v>8.11</v>
      </c>
      <c r="F86" s="2">
        <f>+'s1'!Q86*0.0098</f>
        <v>0</v>
      </c>
      <c r="G86" s="2">
        <f>+'s1'!R86*0.0098</f>
        <v>0</v>
      </c>
      <c r="H86" s="2">
        <f>+'s1'!S86*0.0098</f>
        <v>0</v>
      </c>
      <c r="I86" s="2">
        <f>+'s1'!T86*0.0098</f>
        <v>0</v>
      </c>
      <c r="J86" s="2">
        <f>+'s1'!U86*0.0098</f>
        <v>0</v>
      </c>
      <c r="K86" s="2">
        <f>+'s1'!V86*0.0098</f>
        <v>0</v>
      </c>
      <c r="L86" s="2">
        <f>+'s1'!W86*0.0098</f>
        <v>577.29999999999995</v>
      </c>
      <c r="M86" s="2">
        <f>+'s1'!X86*0.0098</f>
        <v>0</v>
      </c>
      <c r="N86" s="2">
        <f>+'s1'!Y86*0.0098</f>
        <v>0</v>
      </c>
      <c r="O86" s="2">
        <f>+'s1'!Z86*0.0098</f>
        <v>0</v>
      </c>
      <c r="P86" s="2">
        <f>+'s1'!AA86*0.0098</f>
        <v>0</v>
      </c>
      <c r="Q86" s="2">
        <f>+'s1'!AB86*0.0098</f>
        <v>1.21</v>
      </c>
      <c r="R86" s="2">
        <f>+'s1'!AC86*0.0098</f>
        <v>0</v>
      </c>
      <c r="S86" s="2">
        <f>SUM(B86:R86)</f>
        <v>589.20000000000005</v>
      </c>
      <c r="T86" s="1"/>
    </row>
    <row r="87" spans="1:20" x14ac:dyDescent="0.2">
      <c r="A87" s="18" t="s">
        <v>61</v>
      </c>
      <c r="B87" s="2">
        <f>+'s1'!M87*0.0098</f>
        <v>0</v>
      </c>
      <c r="C87" s="2">
        <f>+'s1'!N87*0.0098</f>
        <v>0</v>
      </c>
      <c r="D87" s="2">
        <f>+'s1'!O87*0.0098</f>
        <v>0</v>
      </c>
      <c r="E87" s="2">
        <f>+'s1'!P87*0.0098</f>
        <v>0</v>
      </c>
      <c r="F87" s="2">
        <f>+'s1'!Q87*0.0098</f>
        <v>0</v>
      </c>
      <c r="G87" s="2">
        <f>+'s1'!R87*0.0098</f>
        <v>0</v>
      </c>
      <c r="H87" s="2">
        <f>+'s1'!S87*0.0098</f>
        <v>0</v>
      </c>
      <c r="I87" s="2">
        <f>+'s1'!T87*0.0098</f>
        <v>520.37</v>
      </c>
      <c r="J87" s="2">
        <f>+'s1'!U87*0.0098</f>
        <v>0</v>
      </c>
      <c r="K87" s="2">
        <f>+'s1'!V87*0.0098</f>
        <v>0</v>
      </c>
      <c r="L87" s="2">
        <f>+'s1'!W87*0.0098</f>
        <v>0</v>
      </c>
      <c r="M87" s="2">
        <f>+'s1'!X87*0.0098</f>
        <v>0</v>
      </c>
      <c r="N87" s="2">
        <f>+'s1'!Y87*0.0098</f>
        <v>0</v>
      </c>
      <c r="O87" s="2">
        <f>+'s1'!Z87*0.0098</f>
        <v>25.79</v>
      </c>
      <c r="P87" s="2">
        <f>+'s1'!AA87*0.0098</f>
        <v>0</v>
      </c>
      <c r="Q87" s="2">
        <f>+'s1'!AB87*0.0098</f>
        <v>0</v>
      </c>
      <c r="R87" s="2">
        <f>+'s1'!AC87*0.0098</f>
        <v>0</v>
      </c>
      <c r="S87" s="2">
        <f t="shared" ref="S87:S104" si="4">SUM(B87:R87)</f>
        <v>546.16</v>
      </c>
      <c r="T87" s="2"/>
    </row>
    <row r="88" spans="1:20" s="20" customFormat="1" x14ac:dyDescent="0.2">
      <c r="A88" s="1" t="s">
        <v>62</v>
      </c>
      <c r="B88" s="2">
        <f>+'s1'!M88*0.0098</f>
        <v>0</v>
      </c>
      <c r="C88" s="2">
        <f>+'s1'!N88*0.0098</f>
        <v>0</v>
      </c>
      <c r="D88" s="2">
        <f>+'s1'!O88*0.0098</f>
        <v>0</v>
      </c>
      <c r="E88" s="2">
        <f>+'s1'!P88*0.0098</f>
        <v>0</v>
      </c>
      <c r="F88" s="2">
        <f>+'s1'!Q88*0.0098</f>
        <v>0</v>
      </c>
      <c r="G88" s="2">
        <f>+'s1'!R88*0.0098</f>
        <v>0</v>
      </c>
      <c r="H88" s="2">
        <f>+'s1'!S88*0.0098</f>
        <v>0</v>
      </c>
      <c r="I88" s="2">
        <f>+'s1'!T88*0.0098</f>
        <v>0</v>
      </c>
      <c r="J88" s="2">
        <f>+'s1'!U88*0.0098</f>
        <v>0</v>
      </c>
      <c r="K88" s="2">
        <f>+'s1'!V88*0.0098</f>
        <v>39.700000000000003</v>
      </c>
      <c r="L88" s="2">
        <f>+'s1'!W88*0.0098</f>
        <v>0</v>
      </c>
      <c r="M88" s="2">
        <f>+'s1'!X88*0.0098</f>
        <v>0</v>
      </c>
      <c r="N88" s="2">
        <f>+'s1'!Y88*0.0098</f>
        <v>0</v>
      </c>
      <c r="O88" s="2">
        <f>+'s1'!Z88*0.0098</f>
        <v>0</v>
      </c>
      <c r="P88" s="2">
        <f>+'s1'!AA88*0.0098</f>
        <v>0</v>
      </c>
      <c r="Q88" s="2">
        <f>+'s1'!AB88*0.0098</f>
        <v>0</v>
      </c>
      <c r="R88" s="2">
        <f>+'s1'!AC88*0.0098</f>
        <v>0</v>
      </c>
      <c r="S88" s="78">
        <f t="shared" si="4"/>
        <v>39.700000000000003</v>
      </c>
      <c r="T88" s="78"/>
    </row>
    <row r="89" spans="1:20" x14ac:dyDescent="0.2">
      <c r="A89" s="1" t="s">
        <v>63</v>
      </c>
      <c r="B89" s="2">
        <f>+'s1'!M89*0.0098</f>
        <v>0</v>
      </c>
      <c r="C89" s="2">
        <f>+'s1'!N89*0.0098</f>
        <v>0</v>
      </c>
      <c r="D89" s="2">
        <f>+'s1'!O89*0.0098</f>
        <v>0</v>
      </c>
      <c r="E89" s="2">
        <f>+'s1'!P89*0.0098</f>
        <v>0</v>
      </c>
      <c r="F89" s="2">
        <f>+'s1'!Q89*0.0098</f>
        <v>0</v>
      </c>
      <c r="G89" s="2">
        <f>+'s1'!R89*0.0098</f>
        <v>0</v>
      </c>
      <c r="H89" s="2">
        <f>+'s1'!S89*0.0098</f>
        <v>0</v>
      </c>
      <c r="I89" s="2">
        <f>+'s1'!T89*0.0098</f>
        <v>189.85</v>
      </c>
      <c r="J89" s="2">
        <f>+'s1'!U89*0.0098</f>
        <v>0</v>
      </c>
      <c r="K89" s="2">
        <f>+'s1'!V89*0.0098</f>
        <v>0</v>
      </c>
      <c r="L89" s="2">
        <f>+'s1'!W89*0.0098</f>
        <v>0</v>
      </c>
      <c r="M89" s="2">
        <f>+'s1'!X89*0.0098</f>
        <v>0</v>
      </c>
      <c r="N89" s="2">
        <f>+'s1'!Y89*0.0098</f>
        <v>0</v>
      </c>
      <c r="O89" s="2">
        <f>+'s1'!Z89*0.0098</f>
        <v>10.33</v>
      </c>
      <c r="P89" s="2">
        <f>+'s1'!AA89*0.0098</f>
        <v>0</v>
      </c>
      <c r="Q89" s="2">
        <f>+'s1'!AB89*0.0098</f>
        <v>0</v>
      </c>
      <c r="R89" s="2">
        <f>+'s1'!AC89*0.0098</f>
        <v>0</v>
      </c>
      <c r="S89" s="2">
        <f>SUM(B89:R89)</f>
        <v>200.18</v>
      </c>
      <c r="T89" s="2"/>
    </row>
    <row r="90" spans="1:20" s="20" customFormat="1" x14ac:dyDescent="0.2">
      <c r="A90" s="18" t="s">
        <v>64</v>
      </c>
      <c r="B90" s="2">
        <f>+'s1'!M90*0.0098</f>
        <v>0</v>
      </c>
      <c r="C90" s="2">
        <f>+'s1'!N90*0.0098</f>
        <v>0</v>
      </c>
      <c r="D90" s="2">
        <f>+'s1'!O90*0.0098</f>
        <v>18.739999999999998</v>
      </c>
      <c r="E90" s="2">
        <f>+'s1'!P90*0.0098</f>
        <v>0</v>
      </c>
      <c r="F90" s="2">
        <f>+'s1'!Q90*0.0098</f>
        <v>0</v>
      </c>
      <c r="G90" s="2">
        <f>+'s1'!R90*0.0098</f>
        <v>0</v>
      </c>
      <c r="H90" s="2">
        <f>+'s1'!S90*0.0098</f>
        <v>0</v>
      </c>
      <c r="I90" s="2">
        <f>+'s1'!T90*0.0098</f>
        <v>0</v>
      </c>
      <c r="J90" s="2">
        <f>+'s1'!U90*0.0098</f>
        <v>0</v>
      </c>
      <c r="K90" s="2">
        <f>+'s1'!V90*0.0098</f>
        <v>0</v>
      </c>
      <c r="L90" s="2">
        <f>+'s1'!W90*0.0098</f>
        <v>0</v>
      </c>
      <c r="M90" s="2">
        <f>+'s1'!X90*0.0098</f>
        <v>0</v>
      </c>
      <c r="N90" s="2">
        <f>+'s1'!Y90*0.0098</f>
        <v>0</v>
      </c>
      <c r="O90" s="2">
        <f>+'s1'!Z90*0.0098</f>
        <v>0</v>
      </c>
      <c r="P90" s="2">
        <f>+'s1'!AA90*0.0098</f>
        <v>0</v>
      </c>
      <c r="Q90" s="2">
        <f>+'s1'!AB90*0.0098</f>
        <v>0</v>
      </c>
      <c r="R90" s="2">
        <f>+'s1'!AC90*0.0098</f>
        <v>0</v>
      </c>
      <c r="S90" s="78">
        <f t="shared" si="4"/>
        <v>18.739999999999998</v>
      </c>
      <c r="T90" s="78"/>
    </row>
    <row r="91" spans="1:20" s="20" customFormat="1" x14ac:dyDescent="0.2">
      <c r="A91" s="18" t="s">
        <v>569</v>
      </c>
      <c r="B91" s="2">
        <f>+'s1'!M91*0.0098</f>
        <v>0</v>
      </c>
      <c r="C91" s="2">
        <f>+'s1'!N91*0.0098</f>
        <v>0</v>
      </c>
      <c r="D91" s="2">
        <f>+'s1'!O91*0.0098</f>
        <v>0</v>
      </c>
      <c r="E91" s="2">
        <f>+'s1'!P91*0.0098</f>
        <v>0</v>
      </c>
      <c r="F91" s="2">
        <f>+'s1'!Q91*0.0098</f>
        <v>0</v>
      </c>
      <c r="G91" s="2">
        <f>+'s1'!R91*0.0098</f>
        <v>0</v>
      </c>
      <c r="H91" s="2">
        <f>+'s1'!S91*0.0098</f>
        <v>282.33999999999997</v>
      </c>
      <c r="I91" s="2">
        <f>+'s1'!T91*0.0098</f>
        <v>0</v>
      </c>
      <c r="J91" s="2">
        <f>+'s1'!U91*0.0098</f>
        <v>0</v>
      </c>
      <c r="K91" s="2">
        <f>+'s1'!V91*0.0098</f>
        <v>0</v>
      </c>
      <c r="L91" s="2">
        <f>+'s1'!W91*0.0098</f>
        <v>0</v>
      </c>
      <c r="M91" s="2">
        <f>+'s1'!X91*0.0098</f>
        <v>0</v>
      </c>
      <c r="N91" s="2">
        <f>+'s1'!Y91*0.0098</f>
        <v>0</v>
      </c>
      <c r="O91" s="2">
        <f>+'s1'!Z91*0.0098</f>
        <v>0</v>
      </c>
      <c r="P91" s="2">
        <f>+'s1'!AA91*0.0098</f>
        <v>0</v>
      </c>
      <c r="Q91" s="2">
        <f>+'s1'!AB91*0.0098</f>
        <v>0</v>
      </c>
      <c r="R91" s="2">
        <f>+'s1'!AC91*0.0098</f>
        <v>0</v>
      </c>
      <c r="S91" s="78">
        <f t="shared" si="4"/>
        <v>282.33999999999997</v>
      </c>
      <c r="T91" s="78"/>
    </row>
    <row r="92" spans="1:20" s="20" customFormat="1" x14ac:dyDescent="0.2">
      <c r="A92" s="18" t="s">
        <v>441</v>
      </c>
      <c r="B92" s="2">
        <f>+'s1'!M92*0.0098</f>
        <v>0</v>
      </c>
      <c r="C92" s="2">
        <f>+'s1'!N92*0.0098</f>
        <v>0</v>
      </c>
      <c r="D92" s="2">
        <f>+'s1'!O92*0.0098</f>
        <v>7837.74</v>
      </c>
      <c r="E92" s="2">
        <f>+'s1'!P92*0.0098</f>
        <v>0</v>
      </c>
      <c r="F92" s="2">
        <f>+'s1'!Q92*0.0098</f>
        <v>1712.75</v>
      </c>
      <c r="G92" s="2">
        <f>+'s1'!R92*0.0098</f>
        <v>0</v>
      </c>
      <c r="H92" s="2">
        <f>+'s1'!S92*0.0098</f>
        <v>0</v>
      </c>
      <c r="I92" s="2">
        <f>+'s1'!T92*0.0098</f>
        <v>0</v>
      </c>
      <c r="J92" s="2">
        <f>+'s1'!U92*0.0098</f>
        <v>0</v>
      </c>
      <c r="K92" s="2">
        <f>+'s1'!V92*0.0098</f>
        <v>0</v>
      </c>
      <c r="L92" s="2">
        <f>+'s1'!W92*0.0098</f>
        <v>2347.5</v>
      </c>
      <c r="M92" s="2">
        <f>+'s1'!X92*0.0098</f>
        <v>0</v>
      </c>
      <c r="N92" s="2">
        <f>+'s1'!Y92*0.0098</f>
        <v>1942.28</v>
      </c>
      <c r="O92" s="2">
        <f>+'s1'!Z92*0.0098</f>
        <v>0</v>
      </c>
      <c r="P92" s="2">
        <f>+'s1'!AA92*0.0098</f>
        <v>0</v>
      </c>
      <c r="Q92" s="2">
        <f>+'s1'!AB92*0.0098</f>
        <v>0</v>
      </c>
      <c r="R92" s="2">
        <f>+'s1'!AC92*0.0098</f>
        <v>0</v>
      </c>
      <c r="S92" s="78">
        <f t="shared" si="4"/>
        <v>13840.27</v>
      </c>
      <c r="T92" s="78"/>
    </row>
    <row r="93" spans="1:20" s="20" customFormat="1" x14ac:dyDescent="0.2">
      <c r="A93" s="18" t="s">
        <v>65</v>
      </c>
      <c r="B93" s="2">
        <f>+'s1'!M93*0.0098</f>
        <v>0</v>
      </c>
      <c r="C93" s="2">
        <f>+'s1'!N93*0.0098</f>
        <v>927.6</v>
      </c>
      <c r="D93" s="2">
        <f>+'s1'!O93*0.0098</f>
        <v>0</v>
      </c>
      <c r="E93" s="2">
        <f>+'s1'!P93*0.0098</f>
        <v>0</v>
      </c>
      <c r="F93" s="2">
        <f>+'s1'!Q93*0.0098</f>
        <v>0</v>
      </c>
      <c r="G93" s="2">
        <f>+'s1'!R93*0.0098</f>
        <v>0</v>
      </c>
      <c r="H93" s="2">
        <f>+'s1'!S93*0.0098</f>
        <v>0</v>
      </c>
      <c r="I93" s="2">
        <f>+'s1'!T93*0.0098</f>
        <v>0</v>
      </c>
      <c r="J93" s="2">
        <f>+'s1'!U93*0.0098</f>
        <v>0</v>
      </c>
      <c r="K93" s="2">
        <f>+'s1'!V93*0.0098</f>
        <v>0</v>
      </c>
      <c r="L93" s="2">
        <f>+'s1'!W93*0.0098</f>
        <v>0</v>
      </c>
      <c r="M93" s="2">
        <f>+'s1'!X93*0.0098</f>
        <v>0</v>
      </c>
      <c r="N93" s="2">
        <f>+'s1'!Y93*0.0098</f>
        <v>0</v>
      </c>
      <c r="O93" s="2">
        <f>+'s1'!Z93*0.0098</f>
        <v>0</v>
      </c>
      <c r="P93" s="2">
        <f>+'s1'!AA93*0.0098</f>
        <v>0</v>
      </c>
      <c r="Q93" s="2">
        <f>+'s1'!AB93*0.0098</f>
        <v>0</v>
      </c>
      <c r="R93" s="2">
        <f>+'s1'!AC93*0.0098</f>
        <v>0</v>
      </c>
      <c r="S93" s="78">
        <f t="shared" si="4"/>
        <v>927.6</v>
      </c>
      <c r="T93" s="18"/>
    </row>
    <row r="94" spans="1:20" ht="13.5" customHeight="1" x14ac:dyDescent="0.2">
      <c r="A94" s="1" t="s">
        <v>767</v>
      </c>
      <c r="B94" s="2">
        <f>+'s1'!M94*0.0098</f>
        <v>-1246.6099999999999</v>
      </c>
      <c r="C94" s="2">
        <f>+'s1'!N94*0.0098</f>
        <v>1246.6099999999999</v>
      </c>
      <c r="D94" s="2">
        <f>+'s1'!O94*0.0098</f>
        <v>0</v>
      </c>
      <c r="E94" s="2">
        <f>+'s1'!P94*0.0098</f>
        <v>0</v>
      </c>
      <c r="F94" s="2">
        <f>+'s1'!Q94*0.0098</f>
        <v>0</v>
      </c>
      <c r="G94" s="2">
        <f>+'s1'!R94*0.0098</f>
        <v>0</v>
      </c>
      <c r="H94" s="2">
        <f>+'s1'!S94*0.0098</f>
        <v>0</v>
      </c>
      <c r="I94" s="2">
        <f>+'s1'!T94*0.0098</f>
        <v>0</v>
      </c>
      <c r="J94" s="2">
        <f>+'s1'!U94*0.0098</f>
        <v>0</v>
      </c>
      <c r="K94" s="2">
        <f>+'s1'!V94*0.0098</f>
        <v>0</v>
      </c>
      <c r="L94" s="2">
        <f>+'s1'!W94*0.0098</f>
        <v>0</v>
      </c>
      <c r="M94" s="2">
        <f>+'s1'!X94*0.0098</f>
        <v>0</v>
      </c>
      <c r="N94" s="2">
        <f>+'s1'!Y94*0.0098</f>
        <v>0</v>
      </c>
      <c r="O94" s="2">
        <f>+'s1'!Z94*0.0098</f>
        <v>0</v>
      </c>
      <c r="P94" s="2">
        <f>+'s1'!AA94*0.0098</f>
        <v>0</v>
      </c>
      <c r="Q94" s="2">
        <f>+'s1'!AB94*0.0098</f>
        <v>0</v>
      </c>
      <c r="R94" s="2">
        <f>+'s1'!AC94*0.0098</f>
        <v>0</v>
      </c>
      <c r="S94" s="2">
        <f>SUM(B94:R94)</f>
        <v>0</v>
      </c>
      <c r="T94" s="1"/>
    </row>
    <row r="95" spans="1:20" s="20" customFormat="1" x14ac:dyDescent="0.2">
      <c r="A95" s="18" t="s">
        <v>475</v>
      </c>
      <c r="B95" s="2">
        <f>+'s1'!M95*0.0098</f>
        <v>0</v>
      </c>
      <c r="C95" s="2">
        <f>+'s1'!N95*0.0098</f>
        <v>0</v>
      </c>
      <c r="D95" s="2">
        <f>+'s1'!O95*0.0098</f>
        <v>14802.07</v>
      </c>
      <c r="E95" s="2">
        <f>+'s1'!P95*0.0098</f>
        <v>955.3</v>
      </c>
      <c r="F95" s="2">
        <f>+'s1'!Q95*0.0098</f>
        <v>0</v>
      </c>
      <c r="G95" s="2">
        <f>+'s1'!R95*0.0098</f>
        <v>0</v>
      </c>
      <c r="H95" s="2">
        <f>+'s1'!S95*0.0098</f>
        <v>0</v>
      </c>
      <c r="I95" s="2">
        <f>+'s1'!T95*0.0098</f>
        <v>0</v>
      </c>
      <c r="J95" s="2">
        <f>+'s1'!U95*0.0098</f>
        <v>0</v>
      </c>
      <c r="K95" s="2">
        <f>+'s1'!V95*0.0098</f>
        <v>0</v>
      </c>
      <c r="L95" s="2">
        <f>+'s1'!W95*0.0098</f>
        <v>0</v>
      </c>
      <c r="M95" s="2">
        <f>+'s1'!X95*0.0098</f>
        <v>260.83999999999997</v>
      </c>
      <c r="N95" s="2">
        <f>+'s1'!Y95*0.0098</f>
        <v>58.96</v>
      </c>
      <c r="O95" s="2">
        <f>+'s1'!Z95*0.0098</f>
        <v>0</v>
      </c>
      <c r="P95" s="2">
        <f>+'s1'!AA95*0.0098</f>
        <v>0</v>
      </c>
      <c r="Q95" s="2">
        <f>+'s1'!AB95*0.0098</f>
        <v>9939.17</v>
      </c>
      <c r="R95" s="2">
        <f>+'s1'!AC95*0.0098</f>
        <v>0</v>
      </c>
      <c r="S95" s="78">
        <f t="shared" si="4"/>
        <v>26016.34</v>
      </c>
      <c r="T95" s="78"/>
    </row>
    <row r="96" spans="1:20" s="20" customFormat="1" x14ac:dyDescent="0.2">
      <c r="A96" s="18" t="s">
        <v>66</v>
      </c>
      <c r="B96" s="2">
        <f>+'s1'!M96*0.0098</f>
        <v>0</v>
      </c>
      <c r="C96" s="2">
        <f>+'s1'!N96*0.0098</f>
        <v>0</v>
      </c>
      <c r="D96" s="2">
        <f>+'s1'!O96*0.0098</f>
        <v>0</v>
      </c>
      <c r="E96" s="2">
        <f>+'s1'!P96*0.0098</f>
        <v>0</v>
      </c>
      <c r="F96" s="2">
        <f>+'s1'!Q96*0.0098</f>
        <v>241.29</v>
      </c>
      <c r="G96" s="2">
        <f>+'s1'!R96*0.0098</f>
        <v>0</v>
      </c>
      <c r="H96" s="2">
        <f>+'s1'!S96*0.0098</f>
        <v>0</v>
      </c>
      <c r="I96" s="2">
        <f>+'s1'!T96*0.0098</f>
        <v>0</v>
      </c>
      <c r="J96" s="2">
        <f>+'s1'!U96*0.0098</f>
        <v>0</v>
      </c>
      <c r="K96" s="2">
        <f>+'s1'!V96*0.0098</f>
        <v>0</v>
      </c>
      <c r="L96" s="2">
        <f>+'s1'!W96*0.0098</f>
        <v>0</v>
      </c>
      <c r="M96" s="2">
        <f>+'s1'!X96*0.0098</f>
        <v>0</v>
      </c>
      <c r="N96" s="2">
        <f>+'s1'!Y96*0.0098</f>
        <v>0</v>
      </c>
      <c r="O96" s="2">
        <f>+'s1'!Z96*0.0098</f>
        <v>0</v>
      </c>
      <c r="P96" s="2">
        <f>+'s1'!AA96*0.0098</f>
        <v>0</v>
      </c>
      <c r="Q96" s="2">
        <f>+'s1'!AB96*0.0098</f>
        <v>0</v>
      </c>
      <c r="R96" s="2">
        <f>+'s1'!AC96*0.0098</f>
        <v>1.27</v>
      </c>
      <c r="S96" s="78">
        <f t="shared" si="4"/>
        <v>242.56</v>
      </c>
      <c r="T96" s="78"/>
    </row>
    <row r="97" spans="1:20" ht="13.5" customHeight="1" x14ac:dyDescent="0.2">
      <c r="A97" s="1" t="s">
        <v>768</v>
      </c>
      <c r="B97" s="2">
        <f>+'s1'!M97*0.0098</f>
        <v>0</v>
      </c>
      <c r="C97" s="2">
        <f>+'s1'!N97*0.0098</f>
        <v>0</v>
      </c>
      <c r="D97" s="2">
        <f>+'s1'!O97*0.0098</f>
        <v>0</v>
      </c>
      <c r="E97" s="2">
        <f>+'s1'!P97*0.0098</f>
        <v>0</v>
      </c>
      <c r="F97" s="2">
        <f>+'s1'!Q97*0.0098</f>
        <v>0</v>
      </c>
      <c r="G97" s="2">
        <f>+'s1'!R97*0.0098</f>
        <v>0</v>
      </c>
      <c r="H97" s="2">
        <f>+'s1'!S97*0.0098</f>
        <v>0</v>
      </c>
      <c r="I97" s="2">
        <f>+'s1'!T97*0.0098</f>
        <v>0</v>
      </c>
      <c r="J97" s="2">
        <f>+'s1'!U97*0.0098</f>
        <v>0</v>
      </c>
      <c r="K97" s="2">
        <f>+'s1'!V97*0.0098</f>
        <v>0</v>
      </c>
      <c r="L97" s="2">
        <f>+'s1'!W97*0.0098</f>
        <v>0</v>
      </c>
      <c r="M97" s="2">
        <f>+'s1'!X97*0.0098</f>
        <v>0</v>
      </c>
      <c r="N97" s="2">
        <f>+'s1'!Y97*0.0098</f>
        <v>0</v>
      </c>
      <c r="O97" s="2">
        <f>+'s1'!Z97*0.0098</f>
        <v>0</v>
      </c>
      <c r="P97" s="2">
        <f>+'s1'!AA97*0.0098</f>
        <v>0</v>
      </c>
      <c r="Q97" s="2">
        <f>+'s1'!AB97*0.0098</f>
        <v>0</v>
      </c>
      <c r="R97" s="2">
        <f>+'s1'!AC97*0.0098</f>
        <v>0</v>
      </c>
      <c r="S97" s="2">
        <f>SUM(B97:R97)</f>
        <v>0</v>
      </c>
      <c r="T97" s="1"/>
    </row>
    <row r="98" spans="1:20" s="20" customFormat="1" x14ac:dyDescent="0.2">
      <c r="A98" s="18" t="s">
        <v>83</v>
      </c>
      <c r="B98" s="2">
        <f>+'s1'!M98*0.0098</f>
        <v>0</v>
      </c>
      <c r="C98" s="2">
        <f>+'s1'!N98*0.0098</f>
        <v>0</v>
      </c>
      <c r="D98" s="2">
        <f>+'s1'!O98*0.0098</f>
        <v>1584.91</v>
      </c>
      <c r="E98" s="2">
        <f>+'s1'!P98*0.0098</f>
        <v>0</v>
      </c>
      <c r="F98" s="2">
        <f>+'s1'!Q98*0.0098</f>
        <v>0</v>
      </c>
      <c r="G98" s="2">
        <f>+'s1'!R98*0.0098</f>
        <v>0</v>
      </c>
      <c r="H98" s="2">
        <f>+'s1'!S98*0.0098</f>
        <v>0</v>
      </c>
      <c r="I98" s="2">
        <f>+'s1'!T98*0.0098</f>
        <v>0</v>
      </c>
      <c r="J98" s="2">
        <f>+'s1'!U98*0.0098</f>
        <v>0</v>
      </c>
      <c r="K98" s="2">
        <f>+'s1'!V98*0.0098</f>
        <v>0</v>
      </c>
      <c r="L98" s="2">
        <f>+'s1'!W98*0.0098</f>
        <v>0</v>
      </c>
      <c r="M98" s="2">
        <f>+'s1'!X98*0.0098</f>
        <v>0</v>
      </c>
      <c r="N98" s="2">
        <f>+'s1'!Y98*0.0098</f>
        <v>0</v>
      </c>
      <c r="O98" s="2">
        <f>+'s1'!Z98*0.0098</f>
        <v>0</v>
      </c>
      <c r="P98" s="2">
        <f>+'s1'!AA98*0.0098</f>
        <v>0</v>
      </c>
      <c r="Q98" s="2">
        <f>+'s1'!AB98*0.0098</f>
        <v>0</v>
      </c>
      <c r="R98" s="2">
        <f>+'s1'!AC98*0.0098</f>
        <v>0</v>
      </c>
      <c r="S98" s="78">
        <f t="shared" si="4"/>
        <v>1584.91</v>
      </c>
      <c r="T98" s="78"/>
    </row>
    <row r="99" spans="1:20" s="20" customFormat="1" ht="13.5" customHeight="1" x14ac:dyDescent="0.2">
      <c r="A99" s="18" t="s">
        <v>356</v>
      </c>
      <c r="B99" s="2">
        <f>+'s1'!M99*0.0098</f>
        <v>0</v>
      </c>
      <c r="C99" s="2">
        <f>+'s1'!N99*0.0098</f>
        <v>0</v>
      </c>
      <c r="D99" s="2">
        <f>+'s1'!O99*0.0098</f>
        <v>1502.23</v>
      </c>
      <c r="E99" s="2">
        <f>+'s1'!P99*0.0098</f>
        <v>0</v>
      </c>
      <c r="F99" s="2">
        <f>+'s1'!Q99*0.0098</f>
        <v>0</v>
      </c>
      <c r="G99" s="2">
        <f>+'s1'!R99*0.0098</f>
        <v>0</v>
      </c>
      <c r="H99" s="2">
        <f>+'s1'!S99*0.0098</f>
        <v>0</v>
      </c>
      <c r="I99" s="2">
        <f>+'s1'!T99*0.0098</f>
        <v>0</v>
      </c>
      <c r="J99" s="2">
        <f>+'s1'!U99*0.0098</f>
        <v>0</v>
      </c>
      <c r="K99" s="2">
        <f>+'s1'!V99*0.0098</f>
        <v>0</v>
      </c>
      <c r="L99" s="2">
        <f>+'s1'!W99*0.0098</f>
        <v>0</v>
      </c>
      <c r="M99" s="2">
        <f>+'s1'!X99*0.0098</f>
        <v>0</v>
      </c>
      <c r="N99" s="2">
        <f>+'s1'!Y99*0.0098</f>
        <v>0</v>
      </c>
      <c r="O99" s="2">
        <f>+'s1'!Z99*0.0098</f>
        <v>443.08</v>
      </c>
      <c r="P99" s="2">
        <f>+'s1'!AA99*0.0098</f>
        <v>0</v>
      </c>
      <c r="Q99" s="2">
        <f>+'s1'!AB99*0.0098</f>
        <v>1768.51</v>
      </c>
      <c r="R99" s="2">
        <f>+'s1'!AC99*0.0098</f>
        <v>0</v>
      </c>
      <c r="S99" s="78">
        <f t="shared" si="4"/>
        <v>3713.82</v>
      </c>
      <c r="T99" s="78"/>
    </row>
    <row r="100" spans="1:20" s="20" customFormat="1" x14ac:dyDescent="0.2">
      <c r="A100" s="18" t="s">
        <v>369</v>
      </c>
      <c r="B100" s="2">
        <f>+'s1'!M100*0.0098</f>
        <v>0</v>
      </c>
      <c r="C100" s="2">
        <f>+'s1'!N100*0.0098</f>
        <v>0</v>
      </c>
      <c r="D100" s="2">
        <f>+'s1'!O100*0.0098</f>
        <v>554.28</v>
      </c>
      <c r="E100" s="2">
        <f>+'s1'!P100*0.0098</f>
        <v>1492.09</v>
      </c>
      <c r="F100" s="2">
        <f>+'s1'!Q100*0.0098</f>
        <v>0</v>
      </c>
      <c r="G100" s="2">
        <f>+'s1'!R100*0.0098</f>
        <v>0</v>
      </c>
      <c r="H100" s="2">
        <f>+'s1'!S100*0.0098</f>
        <v>0</v>
      </c>
      <c r="I100" s="2">
        <f>+'s1'!T100*0.0098</f>
        <v>588.94000000000005</v>
      </c>
      <c r="J100" s="2">
        <f>+'s1'!U100*0.0098</f>
        <v>0</v>
      </c>
      <c r="K100" s="2">
        <f>+'s1'!V100*0.0098</f>
        <v>0</v>
      </c>
      <c r="L100" s="2">
        <f>+'s1'!W100*0.0098</f>
        <v>0</v>
      </c>
      <c r="M100" s="2">
        <f>+'s1'!X100*0.0098</f>
        <v>0</v>
      </c>
      <c r="N100" s="2">
        <f>+'s1'!Y100*0.0098</f>
        <v>0</v>
      </c>
      <c r="O100" s="2">
        <f>+'s1'!Z100*0.0098</f>
        <v>0</v>
      </c>
      <c r="P100" s="2">
        <f>+'s1'!AA100*0.0098</f>
        <v>0</v>
      </c>
      <c r="Q100" s="2">
        <f>+'s1'!AB100*0.0098</f>
        <v>2881.26</v>
      </c>
      <c r="R100" s="2">
        <f>+'s1'!AC100*0.0098</f>
        <v>0</v>
      </c>
      <c r="S100" s="78">
        <f t="shared" si="4"/>
        <v>5516.57</v>
      </c>
      <c r="T100" s="78"/>
    </row>
    <row r="101" spans="1:20" s="20" customFormat="1" x14ac:dyDescent="0.2">
      <c r="A101" s="1" t="s">
        <v>67</v>
      </c>
      <c r="B101" s="2">
        <f>+'s1'!M101*0.0098</f>
        <v>0</v>
      </c>
      <c r="C101" s="2">
        <f>+'s1'!N101*0.0098</f>
        <v>0</v>
      </c>
      <c r="D101" s="2">
        <f>+'s1'!O101*0.0098</f>
        <v>112.92</v>
      </c>
      <c r="E101" s="2">
        <f>+'s1'!P101*0.0098</f>
        <v>0</v>
      </c>
      <c r="F101" s="2">
        <f>+'s1'!Q101*0.0098</f>
        <v>0</v>
      </c>
      <c r="G101" s="2">
        <f>+'s1'!R101*0.0098</f>
        <v>0</v>
      </c>
      <c r="H101" s="2">
        <f>+'s1'!S101*0.0098</f>
        <v>0</v>
      </c>
      <c r="I101" s="2">
        <f>+'s1'!T101*0.0098</f>
        <v>0</v>
      </c>
      <c r="J101" s="2">
        <f>+'s1'!U101*0.0098</f>
        <v>0</v>
      </c>
      <c r="K101" s="2">
        <f>+'s1'!V101*0.0098</f>
        <v>0</v>
      </c>
      <c r="L101" s="2">
        <f>+'s1'!W101*0.0098</f>
        <v>0</v>
      </c>
      <c r="M101" s="2">
        <f>+'s1'!X101*0.0098</f>
        <v>0</v>
      </c>
      <c r="N101" s="2">
        <f>+'s1'!Y101*0.0098</f>
        <v>0</v>
      </c>
      <c r="O101" s="2">
        <f>+'s1'!Z101*0.0098</f>
        <v>0</v>
      </c>
      <c r="P101" s="2">
        <f>+'s1'!AA101*0.0098</f>
        <v>0</v>
      </c>
      <c r="Q101" s="2">
        <f>+'s1'!AB101*0.0098</f>
        <v>0</v>
      </c>
      <c r="R101" s="2">
        <f>+'s1'!AC101*0.0098</f>
        <v>0</v>
      </c>
      <c r="S101" s="78">
        <f t="shared" si="4"/>
        <v>112.92</v>
      </c>
      <c r="T101" s="78"/>
    </row>
    <row r="102" spans="1:20" s="20" customFormat="1" x14ac:dyDescent="0.2">
      <c r="A102" s="1" t="s">
        <v>68</v>
      </c>
      <c r="B102" s="2">
        <f>+'s1'!M102*0.0098</f>
        <v>0</v>
      </c>
      <c r="C102" s="2">
        <f>+'s1'!N102*0.0098</f>
        <v>634.20000000000005</v>
      </c>
      <c r="D102" s="2">
        <f>+'s1'!O102*0.0098</f>
        <v>0</v>
      </c>
      <c r="E102" s="2">
        <f>+'s1'!P102*0.0098</f>
        <v>0</v>
      </c>
      <c r="F102" s="2">
        <f>+'s1'!Q102*0.0098</f>
        <v>0</v>
      </c>
      <c r="G102" s="2">
        <f>+'s1'!R102*0.0098</f>
        <v>0</v>
      </c>
      <c r="H102" s="2">
        <f>+'s1'!S102*0.0098</f>
        <v>0</v>
      </c>
      <c r="I102" s="2">
        <f>+'s1'!T102*0.0098</f>
        <v>0</v>
      </c>
      <c r="J102" s="2">
        <f>+'s1'!U102*0.0098</f>
        <v>0</v>
      </c>
      <c r="K102" s="2">
        <f>+'s1'!V102*0.0098</f>
        <v>0</v>
      </c>
      <c r="L102" s="2">
        <f>+'s1'!W102*0.0098</f>
        <v>488.08</v>
      </c>
      <c r="M102" s="2">
        <f>+'s1'!X102*0.0098</f>
        <v>615.29</v>
      </c>
      <c r="N102" s="2">
        <f>+'s1'!Y102*0.0098</f>
        <v>0</v>
      </c>
      <c r="O102" s="2">
        <f>+'s1'!Z102*0.0098</f>
        <v>0</v>
      </c>
      <c r="P102" s="2">
        <f>+'s1'!AA102*0.0098</f>
        <v>0</v>
      </c>
      <c r="Q102" s="2">
        <f>+'s1'!AB102*0.0098</f>
        <v>497.48</v>
      </c>
      <c r="R102" s="2">
        <f>+'s1'!AC102*0.0098</f>
        <v>0</v>
      </c>
      <c r="S102" s="78">
        <f t="shared" si="4"/>
        <v>2235.0500000000002</v>
      </c>
      <c r="T102" s="78"/>
    </row>
    <row r="103" spans="1:20" ht="13.5" customHeight="1" x14ac:dyDescent="0.2">
      <c r="A103" s="1" t="s">
        <v>757</v>
      </c>
      <c r="B103" s="2">
        <f>+'s1'!M103*0.0098</f>
        <v>0</v>
      </c>
      <c r="C103" s="2">
        <f>+'s1'!N103*0.0098</f>
        <v>0</v>
      </c>
      <c r="D103" s="2">
        <f>+'s1'!O103*0.0098</f>
        <v>0</v>
      </c>
      <c r="E103" s="2">
        <f>+'s1'!P103*0.0098</f>
        <v>0</v>
      </c>
      <c r="F103" s="2">
        <f>+'s1'!Q103*0.0098</f>
        <v>0</v>
      </c>
      <c r="G103" s="2">
        <f>+'s1'!R103*0.0098</f>
        <v>0</v>
      </c>
      <c r="H103" s="2">
        <f>+'s1'!S103*0.0098</f>
        <v>0</v>
      </c>
      <c r="I103" s="2">
        <f>+'s1'!T103*0.0098</f>
        <v>0</v>
      </c>
      <c r="J103" s="2">
        <f>+'s1'!U103*0.0098</f>
        <v>0</v>
      </c>
      <c r="K103" s="2">
        <f>+'s1'!V103*0.0098</f>
        <v>0</v>
      </c>
      <c r="L103" s="2">
        <f>+'s1'!W103*0.0098</f>
        <v>0</v>
      </c>
      <c r="M103" s="2">
        <f>+'s1'!X103*0.0098</f>
        <v>0</v>
      </c>
      <c r="N103" s="2">
        <f>+'s1'!Y103*0.0098</f>
        <v>0</v>
      </c>
      <c r="O103" s="2">
        <f>+'s1'!Z103*0.0098</f>
        <v>0</v>
      </c>
      <c r="P103" s="2">
        <f>+'s1'!AA103*0.0098</f>
        <v>0</v>
      </c>
      <c r="Q103" s="2">
        <f>+'s1'!AB103*0.0098</f>
        <v>0</v>
      </c>
      <c r="R103" s="2">
        <f>+'s1'!AC103*0.0098</f>
        <v>0</v>
      </c>
      <c r="S103" s="2">
        <f>SUM(B103:R103)</f>
        <v>0</v>
      </c>
      <c r="T103" s="1"/>
    </row>
    <row r="104" spans="1:20" s="20" customFormat="1" x14ac:dyDescent="0.2">
      <c r="A104" s="18" t="s">
        <v>69</v>
      </c>
      <c r="B104" s="2">
        <f>+'s1'!M104*0.0098</f>
        <v>0</v>
      </c>
      <c r="C104" s="2">
        <f>+'s1'!N104*0.0098</f>
        <v>0</v>
      </c>
      <c r="D104" s="2">
        <f>+'s1'!O104*0.0098</f>
        <v>0</v>
      </c>
      <c r="E104" s="2">
        <f>+'s1'!P104*0.0098</f>
        <v>5.21</v>
      </c>
      <c r="F104" s="2">
        <f>+'s1'!Q104*0.0098</f>
        <v>0</v>
      </c>
      <c r="G104" s="2">
        <f>+'s1'!R104*0.0098</f>
        <v>0</v>
      </c>
      <c r="H104" s="2">
        <f>+'s1'!S104*0.0098</f>
        <v>0</v>
      </c>
      <c r="I104" s="2">
        <f>+'s1'!T104*0.0098</f>
        <v>0</v>
      </c>
      <c r="J104" s="2">
        <f>+'s1'!U104*0.0098</f>
        <v>0</v>
      </c>
      <c r="K104" s="2">
        <f>+'s1'!V104*0.0098</f>
        <v>0</v>
      </c>
      <c r="L104" s="2">
        <f>+'s1'!W104*0.0098</f>
        <v>0</v>
      </c>
      <c r="M104" s="2">
        <f>+'s1'!X104*0.0098</f>
        <v>0</v>
      </c>
      <c r="N104" s="2">
        <f>+'s1'!Y104*0.0098</f>
        <v>0</v>
      </c>
      <c r="O104" s="2">
        <f>+'s1'!Z104*0.0098</f>
        <v>0</v>
      </c>
      <c r="P104" s="2">
        <f>+'s1'!AA104*0.0098</f>
        <v>0</v>
      </c>
      <c r="Q104" s="2">
        <f>+'s1'!AB104*0.0098</f>
        <v>2188.21</v>
      </c>
      <c r="R104" s="2">
        <f>+'s1'!AC104*0.0098</f>
        <v>0</v>
      </c>
      <c r="S104" s="78">
        <f t="shared" si="4"/>
        <v>2193.42</v>
      </c>
      <c r="T104" s="18"/>
    </row>
    <row r="105" spans="1:20" x14ac:dyDescent="0.2">
      <c r="A105" s="1" t="s">
        <v>570</v>
      </c>
      <c r="B105" s="2">
        <f>+'s1'!M105*0.0098</f>
        <v>2078.27</v>
      </c>
      <c r="C105" s="2">
        <f>+'s1'!N105*0.0098</f>
        <v>0</v>
      </c>
      <c r="D105" s="2">
        <f>+'s1'!O105*0.0098</f>
        <v>48629.53</v>
      </c>
      <c r="E105" s="2">
        <f>+'s1'!P105*0.0098</f>
        <v>1415.39</v>
      </c>
      <c r="F105" s="2">
        <f>+'s1'!Q105*0.0098</f>
        <v>0</v>
      </c>
      <c r="G105" s="2">
        <f>+'s1'!R105*0.0098</f>
        <v>0</v>
      </c>
      <c r="H105" s="2">
        <f>+'s1'!S105*0.0098</f>
        <v>0</v>
      </c>
      <c r="I105" s="2">
        <f>+'s1'!T105*0.0098</f>
        <v>0</v>
      </c>
      <c r="J105" s="2">
        <f>+'s1'!U105*0.0098</f>
        <v>0</v>
      </c>
      <c r="K105" s="2">
        <f>+'s1'!V105*0.0098</f>
        <v>0</v>
      </c>
      <c r="L105" s="2">
        <f>+'s1'!W105*0.0098</f>
        <v>677.41</v>
      </c>
      <c r="M105" s="2">
        <f>+'s1'!X105*0.0098</f>
        <v>0</v>
      </c>
      <c r="N105" s="2">
        <f>+'s1'!Y105*0.0098</f>
        <v>0</v>
      </c>
      <c r="O105" s="2">
        <f>+'s1'!Z105*0.0098</f>
        <v>0</v>
      </c>
      <c r="P105" s="2">
        <f>+'s1'!AA105*0.0098</f>
        <v>0</v>
      </c>
      <c r="Q105" s="2">
        <f>+'s1'!AB105*0.0098</f>
        <v>16206.09</v>
      </c>
      <c r="R105" s="2">
        <f>+'s1'!AC105*0.0098</f>
        <v>0</v>
      </c>
      <c r="S105" s="2">
        <f>SUM(B105:R105)</f>
        <v>69006.69</v>
      </c>
      <c r="T105" s="2"/>
    </row>
    <row r="106" spans="1:20" s="20" customFormat="1" x14ac:dyDescent="0.2">
      <c r="A106" s="1" t="s">
        <v>714</v>
      </c>
      <c r="B106" s="2">
        <f>+'s1'!M106*0.0098</f>
        <v>0</v>
      </c>
      <c r="C106" s="2">
        <f>+'s1'!N106*0.0098</f>
        <v>0</v>
      </c>
      <c r="D106" s="2">
        <f>+'s1'!O106*0.0098</f>
        <v>196.57</v>
      </c>
      <c r="E106" s="2">
        <f>+'s1'!P106*0.0098</f>
        <v>0</v>
      </c>
      <c r="F106" s="2">
        <f>+'s1'!Q106*0.0098</f>
        <v>0</v>
      </c>
      <c r="G106" s="2">
        <f>+'s1'!R106*0.0098</f>
        <v>0</v>
      </c>
      <c r="H106" s="2">
        <f>+'s1'!S106*0.0098</f>
        <v>0</v>
      </c>
      <c r="I106" s="2">
        <f>+'s1'!T106*0.0098</f>
        <v>0</v>
      </c>
      <c r="J106" s="2">
        <f>+'s1'!U106*0.0098</f>
        <v>0</v>
      </c>
      <c r="K106" s="2">
        <f>+'s1'!V106*0.0098</f>
        <v>0</v>
      </c>
      <c r="L106" s="2">
        <f>+'s1'!W106*0.0098</f>
        <v>0</v>
      </c>
      <c r="M106" s="2">
        <f>+'s1'!X106*0.0098</f>
        <v>0</v>
      </c>
      <c r="N106" s="2">
        <f>+'s1'!Y106*0.0098</f>
        <v>0</v>
      </c>
      <c r="O106" s="2">
        <f>+'s1'!Z106*0.0098</f>
        <v>0</v>
      </c>
      <c r="P106" s="2">
        <f>+'s1'!AA106*0.0098</f>
        <v>0</v>
      </c>
      <c r="Q106" s="2">
        <f>+'s1'!AB106*0.0098</f>
        <v>0</v>
      </c>
      <c r="R106" s="2">
        <f>+'s1'!AC106*0.0098</f>
        <v>0</v>
      </c>
      <c r="S106" s="78">
        <f>SUM(B106:R106)</f>
        <v>196.57</v>
      </c>
      <c r="T106" s="78"/>
    </row>
    <row r="107" spans="1:20" s="20" customFormat="1" x14ac:dyDescent="0.2">
      <c r="A107" s="1" t="s">
        <v>443</v>
      </c>
      <c r="B107" s="2">
        <f>+'s1'!M107*0.0098</f>
        <v>0</v>
      </c>
      <c r="C107" s="2">
        <f>+'s1'!N107*0.0098</f>
        <v>0</v>
      </c>
      <c r="D107" s="2">
        <f>+'s1'!O107*0.0098</f>
        <v>678.69</v>
      </c>
      <c r="E107" s="2">
        <f>+'s1'!P107*0.0098</f>
        <v>0</v>
      </c>
      <c r="F107" s="2">
        <f>+'s1'!Q107*0.0098</f>
        <v>0</v>
      </c>
      <c r="G107" s="2">
        <f>+'s1'!R107*0.0098</f>
        <v>0</v>
      </c>
      <c r="H107" s="2">
        <f>+'s1'!S107*0.0098</f>
        <v>0</v>
      </c>
      <c r="I107" s="2">
        <f>+'s1'!T107*0.0098</f>
        <v>0</v>
      </c>
      <c r="J107" s="2">
        <f>+'s1'!U107*0.0098</f>
        <v>0</v>
      </c>
      <c r="K107" s="2">
        <f>+'s1'!V107*0.0098</f>
        <v>0</v>
      </c>
      <c r="L107" s="2">
        <f>+'s1'!W107*0.0098</f>
        <v>0</v>
      </c>
      <c r="M107" s="2">
        <f>+'s1'!X107*0.0098</f>
        <v>0</v>
      </c>
      <c r="N107" s="2">
        <f>+'s1'!Y107*0.0098</f>
        <v>0</v>
      </c>
      <c r="O107" s="2">
        <f>+'s1'!Z107*0.0098</f>
        <v>0</v>
      </c>
      <c r="P107" s="2">
        <f>+'s1'!AA107*0.0098</f>
        <v>0</v>
      </c>
      <c r="Q107" s="2">
        <f>+'s1'!AB107*0.0098</f>
        <v>103.73</v>
      </c>
      <c r="R107" s="2">
        <f>+'s1'!AC107*0.0098</f>
        <v>0</v>
      </c>
      <c r="S107" s="78">
        <f>SUM(B107:R107)</f>
        <v>782.42</v>
      </c>
      <c r="T107" s="78"/>
    </row>
    <row r="108" spans="1:20" s="89" customFormat="1" x14ac:dyDescent="0.2">
      <c r="A108" s="1" t="s">
        <v>489</v>
      </c>
      <c r="B108" s="2">
        <f>+'s1'!M108*0.0098</f>
        <v>0</v>
      </c>
      <c r="C108" s="2">
        <f>+'s1'!N108*0.0098</f>
        <v>0</v>
      </c>
      <c r="D108" s="2">
        <f>+'s1'!O108*0.0098</f>
        <v>1.98</v>
      </c>
      <c r="E108" s="2">
        <f>+'s1'!P108*0.0098</f>
        <v>0</v>
      </c>
      <c r="F108" s="2">
        <f>+'s1'!Q108*0.0098</f>
        <v>0</v>
      </c>
      <c r="G108" s="2">
        <f>+'s1'!R108*0.0098</f>
        <v>0</v>
      </c>
      <c r="H108" s="2">
        <f>+'s1'!S108*0.0098</f>
        <v>0</v>
      </c>
      <c r="I108" s="2">
        <f>+'s1'!T108*0.0098</f>
        <v>0</v>
      </c>
      <c r="J108" s="2">
        <f>+'s1'!U108*0.0098</f>
        <v>0</v>
      </c>
      <c r="K108" s="2">
        <f>+'s1'!V108*0.0098</f>
        <v>0</v>
      </c>
      <c r="L108" s="2">
        <f>+'s1'!W108*0.0098</f>
        <v>0</v>
      </c>
      <c r="M108" s="2">
        <f>+'s1'!X108*0.0098</f>
        <v>0</v>
      </c>
      <c r="N108" s="2">
        <f>+'s1'!Y108*0.0098</f>
        <v>0</v>
      </c>
      <c r="O108" s="2">
        <f>+'s1'!Z108*0.0098</f>
        <v>0</v>
      </c>
      <c r="P108" s="2">
        <f>+'s1'!AA108*0.0098</f>
        <v>0</v>
      </c>
      <c r="Q108" s="2">
        <f>+'s1'!AB108*0.0098</f>
        <v>0</v>
      </c>
      <c r="R108" s="2">
        <f>+'s1'!AC108*0.0098</f>
        <v>0</v>
      </c>
      <c r="S108" s="78">
        <f t="shared" ref="S108:S113" si="5">SUM(B108:R108)</f>
        <v>1.98</v>
      </c>
      <c r="T108" s="10"/>
    </row>
    <row r="109" spans="1:20" s="89" customFormat="1" x14ac:dyDescent="0.2">
      <c r="A109" s="1" t="s">
        <v>84</v>
      </c>
      <c r="B109" s="2">
        <f>+'s1'!M109*0.0098</f>
        <v>0</v>
      </c>
      <c r="C109" s="2">
        <f>+'s1'!N109*0.0098</f>
        <v>0</v>
      </c>
      <c r="D109" s="2">
        <f>+'s1'!O109*0.0098</f>
        <v>0</v>
      </c>
      <c r="E109" s="2">
        <f>+'s1'!P109*0.0098</f>
        <v>0</v>
      </c>
      <c r="F109" s="2">
        <f>+'s1'!Q109*0.0098</f>
        <v>26.16</v>
      </c>
      <c r="G109" s="2">
        <f>+'s1'!R109*0.0098</f>
        <v>0</v>
      </c>
      <c r="H109" s="2">
        <f>+'s1'!S109*0.0098</f>
        <v>0</v>
      </c>
      <c r="I109" s="2">
        <f>+'s1'!T109*0.0098</f>
        <v>71.55</v>
      </c>
      <c r="J109" s="2">
        <f>+'s1'!U109*0.0098</f>
        <v>0</v>
      </c>
      <c r="K109" s="2">
        <f>+'s1'!V109*0.0098</f>
        <v>0</v>
      </c>
      <c r="L109" s="2">
        <f>+'s1'!W109*0.0098</f>
        <v>0</v>
      </c>
      <c r="M109" s="2">
        <f>+'s1'!X109*0.0098</f>
        <v>0</v>
      </c>
      <c r="N109" s="2">
        <f>+'s1'!Y109*0.0098</f>
        <v>0</v>
      </c>
      <c r="O109" s="2">
        <f>+'s1'!Z109*0.0098</f>
        <v>0</v>
      </c>
      <c r="P109" s="2">
        <f>+'s1'!AA109*0.0098</f>
        <v>0</v>
      </c>
      <c r="Q109" s="2">
        <f>+'s1'!AB109*0.0098</f>
        <v>0</v>
      </c>
      <c r="R109" s="2">
        <f>+'s1'!AC109*0.0098</f>
        <v>0</v>
      </c>
      <c r="S109" s="78">
        <f t="shared" si="5"/>
        <v>97.71</v>
      </c>
      <c r="T109" s="10"/>
    </row>
    <row r="110" spans="1:20" s="89" customFormat="1" x14ac:dyDescent="0.2">
      <c r="A110" s="18" t="s">
        <v>571</v>
      </c>
      <c r="B110" s="2">
        <f>+'s1'!M110*0.0098</f>
        <v>0</v>
      </c>
      <c r="C110" s="2">
        <f>+'s1'!N110*0.0098</f>
        <v>0</v>
      </c>
      <c r="D110" s="2">
        <f>+'s1'!O110*0.0098</f>
        <v>588.92999999999995</v>
      </c>
      <c r="E110" s="2">
        <f>+'s1'!P110*0.0098</f>
        <v>0</v>
      </c>
      <c r="F110" s="2">
        <f>+'s1'!Q110*0.0098</f>
        <v>0</v>
      </c>
      <c r="G110" s="2">
        <f>+'s1'!R110*0.0098</f>
        <v>0</v>
      </c>
      <c r="H110" s="2">
        <f>+'s1'!S110*0.0098</f>
        <v>0</v>
      </c>
      <c r="I110" s="2">
        <f>+'s1'!T110*0.0098</f>
        <v>0</v>
      </c>
      <c r="J110" s="2">
        <f>+'s1'!U110*0.0098</f>
        <v>0</v>
      </c>
      <c r="K110" s="2">
        <f>+'s1'!V110*0.0098</f>
        <v>0</v>
      </c>
      <c r="L110" s="2">
        <f>+'s1'!W110*0.0098</f>
        <v>0</v>
      </c>
      <c r="M110" s="2">
        <f>+'s1'!X110*0.0098</f>
        <v>0</v>
      </c>
      <c r="N110" s="2">
        <f>+'s1'!Y110*0.0098</f>
        <v>0</v>
      </c>
      <c r="O110" s="2">
        <f>+'s1'!Z110*0.0098</f>
        <v>0</v>
      </c>
      <c r="P110" s="2">
        <f>+'s1'!AA110*0.0098</f>
        <v>0</v>
      </c>
      <c r="Q110" s="2">
        <f>+'s1'!AB110*0.0098</f>
        <v>800.71</v>
      </c>
      <c r="R110" s="2">
        <f>+'s1'!AC110*0.0098</f>
        <v>0</v>
      </c>
      <c r="S110" s="78">
        <f t="shared" si="5"/>
        <v>1389.64</v>
      </c>
      <c r="T110" s="10"/>
    </row>
    <row r="111" spans="1:20" s="89" customFormat="1" x14ac:dyDescent="0.2">
      <c r="A111" s="18" t="s">
        <v>70</v>
      </c>
      <c r="B111" s="2">
        <f>+'s1'!M111*0.0098</f>
        <v>0</v>
      </c>
      <c r="C111" s="2">
        <f>+'s1'!N111*0.0098</f>
        <v>0</v>
      </c>
      <c r="D111" s="2">
        <f>+'s1'!O111*0.0098</f>
        <v>0</v>
      </c>
      <c r="E111" s="2">
        <f>+'s1'!P111*0.0098</f>
        <v>0</v>
      </c>
      <c r="F111" s="2">
        <f>+'s1'!Q111*0.0098</f>
        <v>0</v>
      </c>
      <c r="G111" s="2">
        <f>+'s1'!R111*0.0098</f>
        <v>0</v>
      </c>
      <c r="H111" s="2">
        <f>+'s1'!S111*0.0098</f>
        <v>0</v>
      </c>
      <c r="I111" s="2">
        <f>+'s1'!T111*0.0098</f>
        <v>0</v>
      </c>
      <c r="J111" s="2">
        <f>+'s1'!U111*0.0098</f>
        <v>0</v>
      </c>
      <c r="K111" s="2">
        <f>+'s1'!V111*0.0098</f>
        <v>0</v>
      </c>
      <c r="L111" s="2">
        <f>+'s1'!W111*0.0098</f>
        <v>0</v>
      </c>
      <c r="M111" s="2">
        <f>+'s1'!X111*0.0098</f>
        <v>0</v>
      </c>
      <c r="N111" s="2">
        <f>+'s1'!Y111*0.0098</f>
        <v>0</v>
      </c>
      <c r="O111" s="2">
        <f>+'s1'!Z111*0.0098</f>
        <v>0</v>
      </c>
      <c r="P111" s="2">
        <f>+'s1'!AA111*0.0098</f>
        <v>0</v>
      </c>
      <c r="Q111" s="2">
        <f>+'s1'!AB111*0.0098</f>
        <v>2161.81</v>
      </c>
      <c r="R111" s="2">
        <f>+'s1'!AC111*0.0098</f>
        <v>0</v>
      </c>
      <c r="S111" s="78">
        <f t="shared" si="5"/>
        <v>2161.81</v>
      </c>
      <c r="T111" s="10"/>
    </row>
    <row r="112" spans="1:20" s="89" customFormat="1" x14ac:dyDescent="0.2">
      <c r="A112" s="1" t="s">
        <v>71</v>
      </c>
      <c r="B112" s="2">
        <f>+'s1'!M112*0.0098</f>
        <v>0</v>
      </c>
      <c r="C112" s="2">
        <f>+'s1'!N112*0.0098</f>
        <v>0</v>
      </c>
      <c r="D112" s="2">
        <f>+'s1'!O112*0.0098</f>
        <v>0</v>
      </c>
      <c r="E112" s="2">
        <f>+'s1'!P112*0.0098</f>
        <v>0</v>
      </c>
      <c r="F112" s="2">
        <f>+'s1'!Q112*0.0098</f>
        <v>0</v>
      </c>
      <c r="G112" s="2">
        <f>+'s1'!R112*0.0098</f>
        <v>9.8800000000000008</v>
      </c>
      <c r="H112" s="2">
        <f>+'s1'!S112*0.0098</f>
        <v>0</v>
      </c>
      <c r="I112" s="2">
        <f>+'s1'!T112*0.0098</f>
        <v>0</v>
      </c>
      <c r="J112" s="2">
        <f>+'s1'!U112*0.0098</f>
        <v>0</v>
      </c>
      <c r="K112" s="2">
        <f>+'s1'!V112*0.0098</f>
        <v>0</v>
      </c>
      <c r="L112" s="2">
        <f>+'s1'!W112*0.0098</f>
        <v>0</v>
      </c>
      <c r="M112" s="2">
        <f>+'s1'!X112*0.0098</f>
        <v>604.83000000000004</v>
      </c>
      <c r="N112" s="2">
        <f>+'s1'!Y112*0.0098</f>
        <v>0</v>
      </c>
      <c r="O112" s="2">
        <f>+'s1'!Z112*0.0098</f>
        <v>0</v>
      </c>
      <c r="P112" s="2">
        <f>+'s1'!AA112*0.0098</f>
        <v>0</v>
      </c>
      <c r="Q112" s="2">
        <f>+'s1'!AB112*0.0098</f>
        <v>0</v>
      </c>
      <c r="R112" s="2">
        <f>+'s1'!AC112*0.0098</f>
        <v>0</v>
      </c>
      <c r="S112" s="78">
        <f t="shared" si="5"/>
        <v>614.71</v>
      </c>
      <c r="T112" s="10"/>
    </row>
    <row r="113" spans="1:20" s="89" customFormat="1" x14ac:dyDescent="0.2">
      <c r="A113" s="1" t="s">
        <v>367</v>
      </c>
      <c r="B113" s="2">
        <f>+'s1'!M113*0.0098</f>
        <v>0</v>
      </c>
      <c r="C113" s="2">
        <f>+'s1'!N113*0.0098</f>
        <v>0</v>
      </c>
      <c r="D113" s="2">
        <f>+'s1'!O113*0.0098</f>
        <v>991.37</v>
      </c>
      <c r="E113" s="2">
        <f>+'s1'!P113*0.0098</f>
        <v>0</v>
      </c>
      <c r="F113" s="2">
        <f>+'s1'!Q113*0.0098</f>
        <v>0</v>
      </c>
      <c r="G113" s="2">
        <f>+'s1'!R113*0.0098</f>
        <v>0</v>
      </c>
      <c r="H113" s="2">
        <f>+'s1'!S113*0.0098</f>
        <v>0</v>
      </c>
      <c r="I113" s="2">
        <f>+'s1'!T113*0.0098</f>
        <v>0</v>
      </c>
      <c r="J113" s="2">
        <f>+'s1'!U113*0.0098</f>
        <v>0</v>
      </c>
      <c r="K113" s="2">
        <f>+'s1'!V113*0.0098</f>
        <v>0</v>
      </c>
      <c r="L113" s="2">
        <f>+'s1'!W113*0.0098</f>
        <v>0</v>
      </c>
      <c r="M113" s="2">
        <f>+'s1'!X113*0.0098</f>
        <v>0</v>
      </c>
      <c r="N113" s="2">
        <f>+'s1'!Y113*0.0098</f>
        <v>0</v>
      </c>
      <c r="O113" s="2">
        <f>+'s1'!Z113*0.0098</f>
        <v>0</v>
      </c>
      <c r="P113" s="2">
        <f>+'s1'!AA113*0.0098</f>
        <v>0</v>
      </c>
      <c r="Q113" s="2">
        <f>+'s1'!AB113*0.0098</f>
        <v>0</v>
      </c>
      <c r="R113" s="2">
        <f>+'s1'!AC113*0.0098</f>
        <v>0</v>
      </c>
      <c r="S113" s="78">
        <f t="shared" si="5"/>
        <v>991.37</v>
      </c>
      <c r="T113" s="10"/>
    </row>
    <row r="114" spans="1:20" ht="24.75" customHeight="1" thickBot="1" x14ac:dyDescent="0.25">
      <c r="A114" s="1" t="s">
        <v>12</v>
      </c>
      <c r="B114" s="36">
        <f t="shared" ref="B114:S114" si="6">SUM(B12:B113)</f>
        <v>29869.84</v>
      </c>
      <c r="C114" s="36">
        <f t="shared" si="6"/>
        <v>6936.26</v>
      </c>
      <c r="D114" s="36">
        <f t="shared" si="6"/>
        <v>605540.4</v>
      </c>
      <c r="E114" s="36">
        <f t="shared" si="6"/>
        <v>20508.87</v>
      </c>
      <c r="F114" s="36">
        <f t="shared" si="6"/>
        <v>21031.63</v>
      </c>
      <c r="G114" s="36">
        <f t="shared" si="6"/>
        <v>117.3</v>
      </c>
      <c r="H114" s="36">
        <f t="shared" si="6"/>
        <v>1108.33</v>
      </c>
      <c r="I114" s="36">
        <f t="shared" si="6"/>
        <v>6881.38</v>
      </c>
      <c r="J114" s="36">
        <f t="shared" si="6"/>
        <v>2048.65</v>
      </c>
      <c r="K114" s="36">
        <f t="shared" si="6"/>
        <v>2165.5100000000002</v>
      </c>
      <c r="L114" s="36">
        <f t="shared" si="6"/>
        <v>14548.84</v>
      </c>
      <c r="M114" s="36">
        <f t="shared" si="6"/>
        <v>2327.36</v>
      </c>
      <c r="N114" s="36">
        <f t="shared" si="6"/>
        <v>17016.22</v>
      </c>
      <c r="O114" s="36">
        <f t="shared" si="6"/>
        <v>1582.14</v>
      </c>
      <c r="P114" s="36">
        <f t="shared" si="6"/>
        <v>288.16000000000003</v>
      </c>
      <c r="Q114" s="36">
        <f t="shared" si="6"/>
        <v>156275.21</v>
      </c>
      <c r="R114" s="36">
        <f t="shared" si="6"/>
        <v>7002.04</v>
      </c>
      <c r="S114" s="36">
        <f t="shared" si="6"/>
        <v>895248.14</v>
      </c>
      <c r="T114" s="1"/>
    </row>
    <row r="115" spans="1:20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1"/>
    </row>
    <row r="116" spans="1:20" hidden="1" x14ac:dyDescent="0.2">
      <c r="B116" s="2"/>
    </row>
    <row r="117" spans="1:20" hidden="1" x14ac:dyDescent="0.2">
      <c r="S117" s="11">
        <f>SUM(B114:R114)</f>
        <v>895248.14</v>
      </c>
      <c r="T117" t="s">
        <v>105</v>
      </c>
    </row>
    <row r="118" spans="1:20" hidden="1" x14ac:dyDescent="0.2"/>
    <row r="119" spans="1:20" hidden="1" x14ac:dyDescent="0.2"/>
    <row r="120" spans="1:20" hidden="1" x14ac:dyDescent="0.2"/>
    <row r="121" spans="1:20" hidden="1" x14ac:dyDescent="0.2"/>
    <row r="122" spans="1:20" hidden="1" x14ac:dyDescent="0.2"/>
  </sheetData>
  <phoneticPr fontId="0" type="noConversion"/>
  <printOptions horizontalCentered="1"/>
  <pageMargins left="0.28000000000000003" right="0.33" top="0.5" bottom="0.5" header="0.25" footer="0.25"/>
  <pageSetup scale="58" fitToHeight="2" orientation="landscape" r:id="rId1"/>
  <headerFooter alignWithMargins="0"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W179"/>
  <sheetViews>
    <sheetView zoomScale="75" workbookViewId="0">
      <selection activeCell="H178" sqref="H178"/>
    </sheetView>
  </sheetViews>
  <sheetFormatPr defaultRowHeight="12.75" x14ac:dyDescent="0.2"/>
  <cols>
    <col min="1" max="1" width="18.7109375" customWidth="1"/>
    <col min="2" max="2" width="17.5703125" customWidth="1"/>
    <col min="3" max="3" width="19" customWidth="1"/>
    <col min="4" max="4" width="20.85546875" customWidth="1"/>
    <col min="5" max="5" width="14.7109375" customWidth="1"/>
    <col min="6" max="6" width="17.85546875" customWidth="1"/>
    <col min="7" max="7" width="16.140625" customWidth="1"/>
    <col min="8" max="8" width="17.42578125" customWidth="1"/>
    <col min="9" max="9" width="20.140625" hidden="1" customWidth="1"/>
    <col min="10" max="10" width="13.28515625" hidden="1" customWidth="1"/>
    <col min="11" max="11" width="0" hidden="1" customWidth="1"/>
    <col min="12" max="12" width="16.140625" hidden="1" customWidth="1"/>
    <col min="13" max="15" width="13.7109375" hidden="1" customWidth="1"/>
    <col min="16" max="16" width="15.140625" style="263" hidden="1" customWidth="1"/>
    <col min="17" max="17" width="17.28515625" hidden="1" customWidth="1"/>
    <col min="18" max="18" width="13.5703125" hidden="1" customWidth="1"/>
    <col min="19" max="19" width="17.140625" hidden="1" customWidth="1"/>
    <col min="20" max="20" width="14.5703125" hidden="1" customWidth="1"/>
    <col min="21" max="66" width="0" hidden="1" customWidth="1"/>
  </cols>
  <sheetData>
    <row r="1" spans="1:23" ht="15.75" x14ac:dyDescent="0.25">
      <c r="A1" s="63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63" t="s">
        <v>106</v>
      </c>
      <c r="M1" s="63"/>
      <c r="O1" s="1"/>
      <c r="P1" s="261"/>
      <c r="Q1" s="1"/>
      <c r="R1" s="1"/>
      <c r="S1" s="1"/>
      <c r="T1" s="1"/>
      <c r="U1" s="1"/>
      <c r="V1" s="1"/>
      <c r="W1" s="1"/>
    </row>
    <row r="2" spans="1:23" ht="15.75" x14ac:dyDescent="0.25">
      <c r="A2" s="117" t="str">
        <f>ReportMonth</f>
        <v>DECEMBER 2004</v>
      </c>
      <c r="B2" s="1"/>
      <c r="C2" s="1"/>
      <c r="D2" s="1"/>
      <c r="E2" s="1"/>
      <c r="F2" s="1"/>
      <c r="G2" s="1"/>
      <c r="H2" s="1"/>
      <c r="I2" s="1" t="s">
        <v>107</v>
      </c>
      <c r="J2" s="2">
        <f>ST5.35</f>
        <v>4798880.7300000004</v>
      </c>
      <c r="K2" s="1"/>
      <c r="L2" s="77" t="str">
        <f>ReportMonth</f>
        <v>DECEMBER 2004</v>
      </c>
      <c r="M2" s="63"/>
      <c r="N2" s="63"/>
      <c r="O2" s="1"/>
      <c r="P2" s="261"/>
      <c r="Q2" s="1"/>
      <c r="R2" s="1"/>
      <c r="S2" s="1"/>
      <c r="T2" s="1"/>
      <c r="U2" s="1"/>
      <c r="V2" s="1"/>
      <c r="W2" s="1"/>
    </row>
    <row r="3" spans="1:23" ht="14.25" customHeight="1" x14ac:dyDescent="0.2">
      <c r="A3" s="119" t="s">
        <v>108</v>
      </c>
      <c r="B3" s="1"/>
      <c r="D3" s="1"/>
      <c r="E3" s="1"/>
      <c r="F3" s="1"/>
      <c r="G3" s="1"/>
      <c r="H3" s="1"/>
      <c r="I3" s="1" t="s">
        <v>109</v>
      </c>
      <c r="J3" s="131">
        <f>LessWP535</f>
        <v>58606.9</v>
      </c>
      <c r="K3" s="1"/>
      <c r="L3" s="119" t="s">
        <v>110</v>
      </c>
      <c r="M3" s="1"/>
      <c r="N3" s="1"/>
      <c r="O3" s="1"/>
      <c r="P3" s="261"/>
      <c r="R3" s="1"/>
      <c r="S3" s="1"/>
      <c r="T3" s="1"/>
      <c r="U3" s="1"/>
      <c r="V3" s="1"/>
      <c r="W3" s="1"/>
    </row>
    <row r="4" spans="1:23" ht="15.75" x14ac:dyDescent="0.25">
      <c r="A4" s="66" t="s">
        <v>111</v>
      </c>
      <c r="B4" s="42"/>
      <c r="C4" s="42"/>
      <c r="D4" s="42"/>
      <c r="E4" s="42"/>
      <c r="F4" s="42"/>
      <c r="G4" s="1"/>
      <c r="H4" s="1"/>
      <c r="I4" s="1" t="s">
        <v>112</v>
      </c>
      <c r="J4" s="12">
        <f>LessAF535</f>
        <v>16174.16</v>
      </c>
      <c r="K4" s="1"/>
      <c r="L4" s="96" t="s">
        <v>113</v>
      </c>
      <c r="M4" s="43"/>
      <c r="N4" s="43"/>
      <c r="O4" s="43"/>
      <c r="P4" s="262"/>
      <c r="Q4" s="43"/>
      <c r="R4" s="43"/>
      <c r="S4" s="43"/>
      <c r="U4" s="1"/>
      <c r="V4" s="1"/>
      <c r="W4" s="1"/>
    </row>
    <row r="5" spans="1:23" x14ac:dyDescent="0.2">
      <c r="G5" s="1"/>
      <c r="H5" s="1"/>
      <c r="I5" s="1" t="s">
        <v>114</v>
      </c>
      <c r="J5" s="2">
        <f>SUM(J2-(J3+J4))</f>
        <v>4724099.67</v>
      </c>
      <c r="K5" s="1"/>
      <c r="L5" s="1"/>
      <c r="T5" s="1"/>
      <c r="U5" s="1"/>
      <c r="V5" s="1"/>
      <c r="W5" s="1"/>
    </row>
    <row r="6" spans="1:23" x14ac:dyDescent="0.2">
      <c r="A6" s="1"/>
      <c r="B6" s="6"/>
      <c r="E6" s="5"/>
      <c r="F6" s="5"/>
      <c r="G6" s="1"/>
      <c r="H6" s="1"/>
      <c r="I6" s="1"/>
      <c r="J6" s="1"/>
      <c r="K6" s="1"/>
      <c r="L6" s="1"/>
      <c r="M6" s="1"/>
      <c r="N6" s="1"/>
      <c r="O6" s="1"/>
      <c r="P6" s="261"/>
      <c r="R6" s="1"/>
      <c r="S6" s="1"/>
      <c r="T6" s="1"/>
      <c r="U6" s="1"/>
      <c r="V6" s="1"/>
      <c r="W6" s="1"/>
    </row>
    <row r="7" spans="1:23" x14ac:dyDescent="0.2">
      <c r="A7" s="1"/>
      <c r="B7" s="6"/>
      <c r="C7" s="120" t="s">
        <v>115</v>
      </c>
      <c r="D7" s="120" t="s">
        <v>116</v>
      </c>
      <c r="E7" s="120" t="s">
        <v>117</v>
      </c>
      <c r="F7" s="5" t="s">
        <v>73</v>
      </c>
      <c r="G7" s="1"/>
      <c r="H7" s="1"/>
      <c r="I7" s="1" t="s">
        <v>118</v>
      </c>
      <c r="J7" s="2">
        <f>SUM($J$5*0.327103)</f>
        <v>1545267.17</v>
      </c>
      <c r="K7" s="1"/>
      <c r="L7" s="1"/>
      <c r="M7" s="1"/>
      <c r="N7" s="1"/>
      <c r="O7" s="1"/>
      <c r="P7" s="264" t="s">
        <v>73</v>
      </c>
      <c r="Q7" s="120" t="s">
        <v>119</v>
      </c>
      <c r="R7" s="120" t="s">
        <v>120</v>
      </c>
      <c r="S7" s="120" t="s">
        <v>121</v>
      </c>
      <c r="T7" s="1"/>
      <c r="U7" s="1"/>
      <c r="V7" s="1"/>
      <c r="W7" s="1"/>
    </row>
    <row r="8" spans="1:23" x14ac:dyDescent="0.2">
      <c r="A8" s="1"/>
      <c r="B8" s="98" t="s">
        <v>122</v>
      </c>
      <c r="C8" s="98" t="s">
        <v>123</v>
      </c>
      <c r="D8" s="98" t="s">
        <v>124</v>
      </c>
      <c r="E8" s="98" t="s">
        <v>125</v>
      </c>
      <c r="F8" s="98" t="s">
        <v>126</v>
      </c>
      <c r="G8" s="1"/>
      <c r="H8" s="1"/>
      <c r="I8" s="1" t="s">
        <v>127</v>
      </c>
      <c r="J8" s="2">
        <f>SUM($J$5*0.233645)</f>
        <v>1103762.27</v>
      </c>
      <c r="K8" s="1"/>
      <c r="L8" s="4"/>
      <c r="M8" s="40" t="s">
        <v>128</v>
      </c>
      <c r="N8" s="40" t="s">
        <v>129</v>
      </c>
      <c r="O8" s="40" t="s">
        <v>130</v>
      </c>
      <c r="P8" s="265" t="s">
        <v>131</v>
      </c>
      <c r="Q8" s="98" t="s">
        <v>132</v>
      </c>
      <c r="R8" s="98" t="s">
        <v>133</v>
      </c>
      <c r="S8" s="98" t="s">
        <v>134</v>
      </c>
      <c r="T8" s="1"/>
      <c r="U8" s="1"/>
      <c r="V8" s="1"/>
      <c r="W8" s="1"/>
    </row>
    <row r="9" spans="1:23" x14ac:dyDescent="0.2">
      <c r="A9" s="1"/>
      <c r="B9" s="1"/>
      <c r="C9" s="1"/>
      <c r="D9" s="1"/>
      <c r="E9" s="1"/>
      <c r="F9" s="1"/>
      <c r="G9" s="1"/>
      <c r="H9" s="1"/>
      <c r="I9" s="1" t="s">
        <v>135</v>
      </c>
      <c r="J9" s="2">
        <f>SUM($J$5*0.439252)</f>
        <v>2075070.23</v>
      </c>
      <c r="K9" s="1"/>
      <c r="L9" s="1"/>
      <c r="M9" s="1"/>
      <c r="N9" s="1"/>
      <c r="O9" s="1"/>
      <c r="P9" s="261"/>
      <c r="Q9" s="1"/>
      <c r="R9" s="1"/>
      <c r="S9" s="1"/>
      <c r="T9" s="1"/>
      <c r="U9" s="1"/>
      <c r="V9" s="1"/>
      <c r="W9" s="1"/>
    </row>
    <row r="10" spans="1:23" x14ac:dyDescent="0.2">
      <c r="A10" s="1" t="s">
        <v>136</v>
      </c>
      <c r="B10" s="7">
        <f>CA</f>
        <v>3047942</v>
      </c>
      <c r="C10" s="30">
        <f t="shared" ref="C10:C26" si="0">SUM(B10/$B$27)</f>
        <v>3.3329086000000001E-2</v>
      </c>
      <c r="D10" s="2">
        <f t="shared" ref="D10:D26" si="1">SUM($J$7*C10)</f>
        <v>51502.34</v>
      </c>
      <c r="E10" s="2">
        <v>0</v>
      </c>
      <c r="F10" s="2">
        <f t="shared" ref="F10:F26" si="2">SUM(+D10-E10)</f>
        <v>51502.34</v>
      </c>
      <c r="G10" s="1"/>
      <c r="H10" s="1"/>
      <c r="I10" s="1"/>
      <c r="J10" s="1"/>
      <c r="K10" s="14"/>
      <c r="L10" s="1" t="s">
        <v>136</v>
      </c>
      <c r="M10" s="2">
        <f t="shared" ref="M10:M26" si="3">F10</f>
        <v>51502.34</v>
      </c>
      <c r="N10" s="2">
        <f t="shared" ref="N10:N26" si="4">F37</f>
        <v>18907.72</v>
      </c>
      <c r="O10" s="2">
        <f t="shared" ref="O10:O26" si="5">F68</f>
        <v>0</v>
      </c>
      <c r="P10" s="266">
        <f t="shared" ref="P10:P26" si="6">M10+N10+O10</f>
        <v>70410.06</v>
      </c>
      <c r="Q10" s="2">
        <f>NETCAG</f>
        <v>267484.34000000003</v>
      </c>
      <c r="R10" s="2">
        <f>NETCAG1</f>
        <v>29869.84</v>
      </c>
      <c r="S10" s="2">
        <f t="shared" ref="S10:S26" si="7">SUM(P10:R10)</f>
        <v>367764.24</v>
      </c>
      <c r="T10" s="1">
        <f t="shared" ref="T10:T26" si="8">M10+N10+O10+Q10+R10</f>
        <v>367764.24</v>
      </c>
      <c r="U10" s="1"/>
      <c r="V10" s="1"/>
      <c r="W10" s="1"/>
    </row>
    <row r="11" spans="1:23" x14ac:dyDescent="0.2">
      <c r="A11" s="1" t="s">
        <v>137</v>
      </c>
      <c r="B11" s="7">
        <f>CH</f>
        <v>707781</v>
      </c>
      <c r="C11" s="30">
        <f t="shared" si="0"/>
        <v>7.7395479999999997E-3</v>
      </c>
      <c r="D11" s="2">
        <f t="shared" si="1"/>
        <v>11959.67</v>
      </c>
      <c r="E11" s="2">
        <v>342.77</v>
      </c>
      <c r="F11" s="2">
        <f t="shared" si="2"/>
        <v>11616.9</v>
      </c>
      <c r="G11" s="1"/>
      <c r="H11" s="1"/>
      <c r="I11" s="1"/>
      <c r="J11" s="2">
        <f>SUM(J7:J9)</f>
        <v>4724099.67</v>
      </c>
      <c r="K11" s="14"/>
      <c r="L11" s="1" t="s">
        <v>137</v>
      </c>
      <c r="M11" s="2">
        <f t="shared" si="3"/>
        <v>11616.9</v>
      </c>
      <c r="N11" s="2">
        <f t="shared" si="4"/>
        <v>28846.35</v>
      </c>
      <c r="O11" s="2">
        <f t="shared" si="5"/>
        <v>0</v>
      </c>
      <c r="P11" s="266">
        <f t="shared" si="6"/>
        <v>40463.25</v>
      </c>
      <c r="Q11" s="2">
        <f>NETCHG</f>
        <v>60351.29</v>
      </c>
      <c r="R11" s="2">
        <f>NETCHG1</f>
        <v>6740.37</v>
      </c>
      <c r="S11" s="2">
        <f t="shared" si="7"/>
        <v>107554.91</v>
      </c>
      <c r="T11" s="1">
        <f t="shared" si="8"/>
        <v>107554.91</v>
      </c>
      <c r="U11" s="1"/>
      <c r="V11" s="1"/>
      <c r="W11" s="1"/>
    </row>
    <row r="12" spans="1:23" x14ac:dyDescent="0.2">
      <c r="A12" s="1" t="s">
        <v>138</v>
      </c>
      <c r="B12" s="7">
        <f>CL</f>
        <v>61833117</v>
      </c>
      <c r="C12" s="30">
        <f t="shared" si="0"/>
        <v>0.67614189000000002</v>
      </c>
      <c r="D12" s="2">
        <f t="shared" si="1"/>
        <v>1044819.86</v>
      </c>
      <c r="E12" s="2">
        <v>210.18</v>
      </c>
      <c r="F12" s="2">
        <f t="shared" si="2"/>
        <v>1044609.68</v>
      </c>
      <c r="G12" s="1"/>
      <c r="H12" s="1"/>
      <c r="I12" s="1"/>
      <c r="J12" s="1"/>
      <c r="K12" s="14"/>
      <c r="L12" s="1" t="s">
        <v>138</v>
      </c>
      <c r="M12" s="2">
        <f t="shared" si="3"/>
        <v>1044609.68</v>
      </c>
      <c r="N12" s="2">
        <f t="shared" si="4"/>
        <v>502567.6</v>
      </c>
      <c r="O12" s="2">
        <f t="shared" si="5"/>
        <v>0</v>
      </c>
      <c r="P12" s="266">
        <f t="shared" si="6"/>
        <v>1547177.28</v>
      </c>
      <c r="Q12" s="2">
        <f>NETCLG</f>
        <v>5425050.25</v>
      </c>
      <c r="R12" s="2">
        <f>NETCLG1</f>
        <v>605420.30000000005</v>
      </c>
      <c r="S12" s="2">
        <f t="shared" si="7"/>
        <v>7577647.8300000001</v>
      </c>
      <c r="T12" s="1">
        <f t="shared" si="8"/>
        <v>7577647.8300000001</v>
      </c>
      <c r="U12" s="1"/>
      <c r="V12" s="1"/>
      <c r="W12" s="1"/>
    </row>
    <row r="13" spans="1:23" x14ac:dyDescent="0.2">
      <c r="A13" s="1" t="s">
        <v>139</v>
      </c>
      <c r="B13" s="7">
        <f>DO</f>
        <v>2092743</v>
      </c>
      <c r="C13" s="30">
        <f t="shared" si="0"/>
        <v>2.2884035E-2</v>
      </c>
      <c r="D13" s="2">
        <f t="shared" si="1"/>
        <v>35361.949999999997</v>
      </c>
      <c r="E13" s="2">
        <v>841.55</v>
      </c>
      <c r="F13" s="2">
        <f t="shared" si="2"/>
        <v>34520.400000000001</v>
      </c>
      <c r="G13" s="1"/>
      <c r="H13" s="1"/>
      <c r="I13" s="1"/>
      <c r="J13" s="1"/>
      <c r="K13" s="14"/>
      <c r="L13" s="1" t="s">
        <v>139</v>
      </c>
      <c r="M13" s="2">
        <f t="shared" si="3"/>
        <v>34520.400000000001</v>
      </c>
      <c r="N13" s="2">
        <f t="shared" si="4"/>
        <v>16865.439999999999</v>
      </c>
      <c r="O13" s="2">
        <f t="shared" si="5"/>
        <v>0</v>
      </c>
      <c r="P13" s="266">
        <f t="shared" si="6"/>
        <v>51385.84</v>
      </c>
      <c r="Q13" s="2">
        <f>NETDOG</f>
        <v>79701.8</v>
      </c>
      <c r="R13" s="2">
        <f>NETDOG1</f>
        <v>20027.98</v>
      </c>
      <c r="S13" s="2">
        <f t="shared" si="7"/>
        <v>151115.62</v>
      </c>
      <c r="T13" s="1">
        <f t="shared" si="8"/>
        <v>151115.62</v>
      </c>
      <c r="U13" s="1"/>
      <c r="V13" s="1"/>
      <c r="W13" s="1"/>
    </row>
    <row r="14" spans="1:23" x14ac:dyDescent="0.2">
      <c r="A14" s="1" t="s">
        <v>140</v>
      </c>
      <c r="B14" s="7">
        <f>EL</f>
        <v>2179142</v>
      </c>
      <c r="C14" s="30">
        <f t="shared" si="0"/>
        <v>2.3828802999999999E-2</v>
      </c>
      <c r="D14" s="2">
        <f t="shared" si="1"/>
        <v>36821.870000000003</v>
      </c>
      <c r="E14" s="2">
        <v>211.7</v>
      </c>
      <c r="F14" s="2">
        <f t="shared" si="2"/>
        <v>36610.17</v>
      </c>
      <c r="G14" s="1"/>
      <c r="H14" s="1"/>
      <c r="I14" s="1" t="s">
        <v>664</v>
      </c>
      <c r="J14" s="2">
        <f>+'s1'!I117</f>
        <v>134721.79</v>
      </c>
      <c r="K14" s="14"/>
      <c r="L14" s="1" t="s">
        <v>140</v>
      </c>
      <c r="M14" s="2">
        <f t="shared" si="3"/>
        <v>36610.17</v>
      </c>
      <c r="N14" s="2">
        <f t="shared" si="4"/>
        <v>68002.41</v>
      </c>
      <c r="O14" s="2">
        <f t="shared" si="5"/>
        <v>0</v>
      </c>
      <c r="P14" s="266">
        <f t="shared" si="6"/>
        <v>104612.58</v>
      </c>
      <c r="Q14" s="2">
        <f>NETELG</f>
        <v>83420.820000000007</v>
      </c>
      <c r="R14" s="2">
        <f>NETELG1</f>
        <v>20910.669999999998</v>
      </c>
      <c r="S14" s="2">
        <f t="shared" si="7"/>
        <v>208944.07</v>
      </c>
      <c r="T14" s="1">
        <f t="shared" si="8"/>
        <v>208944.07</v>
      </c>
      <c r="U14" s="1"/>
      <c r="V14" s="1"/>
      <c r="W14" s="1"/>
    </row>
    <row r="15" spans="1:23" x14ac:dyDescent="0.2">
      <c r="A15" s="1" t="s">
        <v>141</v>
      </c>
      <c r="B15" s="7">
        <f>ES</f>
        <v>11970</v>
      </c>
      <c r="C15" s="30">
        <f t="shared" si="0"/>
        <v>1.30891E-4</v>
      </c>
      <c r="D15" s="2">
        <f t="shared" si="1"/>
        <v>202.26</v>
      </c>
      <c r="E15" s="2">
        <v>0</v>
      </c>
      <c r="F15" s="2">
        <f t="shared" si="2"/>
        <v>202.26</v>
      </c>
      <c r="G15" s="1"/>
      <c r="H15" s="1"/>
      <c r="I15" s="5" t="s">
        <v>665</v>
      </c>
      <c r="J15" s="14">
        <v>2.7400000000000001E-2</v>
      </c>
      <c r="K15" s="14"/>
      <c r="L15" s="1" t="s">
        <v>141</v>
      </c>
      <c r="M15" s="2">
        <f t="shared" si="3"/>
        <v>202.26</v>
      </c>
      <c r="N15" s="2">
        <f t="shared" si="4"/>
        <v>15829.05</v>
      </c>
      <c r="O15" s="2">
        <f t="shared" si="5"/>
        <v>0</v>
      </c>
      <c r="P15" s="266">
        <f t="shared" si="6"/>
        <v>16031.31</v>
      </c>
      <c r="Q15" s="2">
        <f>NETESG</f>
        <v>466.87</v>
      </c>
      <c r="R15" s="2">
        <f>NETESG1</f>
        <v>117.3</v>
      </c>
      <c r="S15" s="2">
        <f t="shared" si="7"/>
        <v>16615.48</v>
      </c>
      <c r="T15" s="1">
        <f t="shared" si="8"/>
        <v>16615.48</v>
      </c>
      <c r="U15" s="1"/>
      <c r="V15" s="1"/>
      <c r="W15" s="1"/>
    </row>
    <row r="16" spans="1:23" x14ac:dyDescent="0.2">
      <c r="A16" s="1" t="s">
        <v>142</v>
      </c>
      <c r="B16" s="7">
        <f>EU</f>
        <v>113095</v>
      </c>
      <c r="C16" s="30">
        <f t="shared" si="0"/>
        <v>1.2366879999999999E-3</v>
      </c>
      <c r="D16" s="2">
        <f t="shared" si="1"/>
        <v>1911.01</v>
      </c>
      <c r="E16" s="2">
        <v>13.12</v>
      </c>
      <c r="F16" s="2">
        <f t="shared" si="2"/>
        <v>1897.89</v>
      </c>
      <c r="G16" s="1"/>
      <c r="H16" s="1"/>
      <c r="I16" s="1" t="s">
        <v>666</v>
      </c>
      <c r="J16" s="1"/>
      <c r="K16" s="14"/>
      <c r="L16" s="1" t="s">
        <v>142</v>
      </c>
      <c r="M16" s="2">
        <f t="shared" si="3"/>
        <v>1897.89</v>
      </c>
      <c r="N16" s="2">
        <f t="shared" si="4"/>
        <v>20202.86</v>
      </c>
      <c r="O16" s="2">
        <f t="shared" si="5"/>
        <v>0</v>
      </c>
      <c r="P16" s="266">
        <f t="shared" si="6"/>
        <v>22100.75</v>
      </c>
      <c r="Q16" s="2">
        <f>NETEUG</f>
        <v>4381.16</v>
      </c>
      <c r="R16" s="2">
        <f>NETEUG1</f>
        <v>1100.83</v>
      </c>
      <c r="S16" s="2">
        <f t="shared" si="7"/>
        <v>27582.74</v>
      </c>
      <c r="T16" s="1">
        <f t="shared" si="8"/>
        <v>27582.74</v>
      </c>
      <c r="U16" s="1"/>
      <c r="V16" s="1"/>
      <c r="W16" s="1"/>
    </row>
    <row r="17" spans="1:20" x14ac:dyDescent="0.2">
      <c r="A17" s="1" t="s">
        <v>143</v>
      </c>
      <c r="B17" s="7">
        <f>HU</f>
        <v>702180</v>
      </c>
      <c r="C17" s="30">
        <f t="shared" si="0"/>
        <v>7.6783010000000002E-3</v>
      </c>
      <c r="D17" s="2">
        <f t="shared" si="1"/>
        <v>11865.03</v>
      </c>
      <c r="E17" s="2">
        <v>181.32</v>
      </c>
      <c r="F17" s="2">
        <f t="shared" si="2"/>
        <v>11683.71</v>
      </c>
      <c r="G17" s="1"/>
      <c r="H17" s="1"/>
      <c r="I17" s="5" t="s">
        <v>667</v>
      </c>
      <c r="J17" s="219">
        <f>+R107</f>
        <v>15361.66</v>
      </c>
      <c r="K17" s="14"/>
      <c r="L17" s="1" t="s">
        <v>143</v>
      </c>
      <c r="M17" s="2">
        <f t="shared" si="3"/>
        <v>11683.71</v>
      </c>
      <c r="N17" s="2">
        <f t="shared" si="4"/>
        <v>40822.269999999997</v>
      </c>
      <c r="O17" s="2">
        <f t="shared" si="5"/>
        <v>0</v>
      </c>
      <c r="P17" s="266">
        <f t="shared" si="6"/>
        <v>52505.98</v>
      </c>
      <c r="Q17" s="2">
        <f>NETHUG</f>
        <v>60690.17</v>
      </c>
      <c r="R17" s="2">
        <f>NETHUG1</f>
        <v>6777.76</v>
      </c>
      <c r="S17" s="2">
        <f t="shared" si="7"/>
        <v>119973.91</v>
      </c>
      <c r="T17" s="1">
        <f t="shared" si="8"/>
        <v>119973.91</v>
      </c>
    </row>
    <row r="18" spans="1:20" x14ac:dyDescent="0.2">
      <c r="A18" s="1" t="s">
        <v>144</v>
      </c>
      <c r="B18" s="7">
        <f>LA</f>
        <v>209046</v>
      </c>
      <c r="C18" s="30">
        <f t="shared" si="0"/>
        <v>2.2859070000000002E-3</v>
      </c>
      <c r="D18" s="2">
        <f t="shared" si="1"/>
        <v>3532.34</v>
      </c>
      <c r="E18" s="2">
        <v>27.44</v>
      </c>
      <c r="F18" s="2">
        <f t="shared" si="2"/>
        <v>3504.9</v>
      </c>
      <c r="G18" s="1"/>
      <c r="H18" s="1"/>
      <c r="I18" s="24" t="s">
        <v>668</v>
      </c>
      <c r="J18" s="219">
        <f>+R108</f>
        <v>10949.27</v>
      </c>
      <c r="K18" s="14"/>
      <c r="L18" s="1" t="s">
        <v>144</v>
      </c>
      <c r="M18" s="2">
        <f t="shared" si="3"/>
        <v>3504.9</v>
      </c>
      <c r="N18" s="2">
        <f t="shared" si="4"/>
        <v>25826.34</v>
      </c>
      <c r="O18" s="2">
        <f t="shared" si="5"/>
        <v>0</v>
      </c>
      <c r="P18" s="266">
        <f t="shared" si="6"/>
        <v>29331.24</v>
      </c>
      <c r="Q18" s="2">
        <f>NETLAG</f>
        <v>18204.55</v>
      </c>
      <c r="R18" s="2">
        <f>NETLAG1</f>
        <v>2032.97</v>
      </c>
      <c r="S18" s="2">
        <f t="shared" si="7"/>
        <v>49568.76</v>
      </c>
      <c r="T18" s="1">
        <f t="shared" si="8"/>
        <v>49568.76</v>
      </c>
    </row>
    <row r="19" spans="1:20" x14ac:dyDescent="0.2">
      <c r="A19" s="1" t="s">
        <v>145</v>
      </c>
      <c r="B19" s="7">
        <f>LI</f>
        <v>220970</v>
      </c>
      <c r="C19" s="30">
        <f t="shared" si="0"/>
        <v>2.4162950000000002E-3</v>
      </c>
      <c r="D19" s="2">
        <f t="shared" si="1"/>
        <v>3733.82</v>
      </c>
      <c r="E19" s="2">
        <v>14.01</v>
      </c>
      <c r="F19" s="2">
        <f t="shared" si="2"/>
        <v>3719.81</v>
      </c>
      <c r="G19" s="1"/>
      <c r="H19" s="1"/>
      <c r="I19" s="5" t="s">
        <v>669</v>
      </c>
      <c r="J19" s="219">
        <f>+R109</f>
        <v>20623.849999999999</v>
      </c>
      <c r="K19" s="14"/>
      <c r="L19" s="1" t="s">
        <v>145</v>
      </c>
      <c r="M19" s="2">
        <f t="shared" si="3"/>
        <v>3719.81</v>
      </c>
      <c r="N19" s="2">
        <f t="shared" si="4"/>
        <v>44987.81</v>
      </c>
      <c r="O19" s="2">
        <f t="shared" si="5"/>
        <v>0</v>
      </c>
      <c r="P19" s="266">
        <f t="shared" si="6"/>
        <v>48707.62</v>
      </c>
      <c r="Q19" s="2">
        <f>NETLIG</f>
        <v>8586.68</v>
      </c>
      <c r="R19" s="2">
        <f>NETLIG1</f>
        <v>2157.5</v>
      </c>
      <c r="S19" s="2">
        <f t="shared" si="7"/>
        <v>59451.8</v>
      </c>
      <c r="T19" s="1">
        <f t="shared" si="8"/>
        <v>59451.8</v>
      </c>
    </row>
    <row r="20" spans="1:20" x14ac:dyDescent="0.2">
      <c r="A20" s="1" t="s">
        <v>146</v>
      </c>
      <c r="B20" s="7">
        <f>LY</f>
        <v>1484575</v>
      </c>
      <c r="C20" s="30">
        <f t="shared" si="0"/>
        <v>1.6233750000000002E-2</v>
      </c>
      <c r="D20" s="2">
        <f>SUM($J$7*C20)</f>
        <v>25085.48</v>
      </c>
      <c r="E20" s="2">
        <f>372.35+0.05</f>
        <v>372.4</v>
      </c>
      <c r="F20" s="2">
        <f t="shared" si="2"/>
        <v>24713.08</v>
      </c>
      <c r="G20" s="1"/>
      <c r="H20" s="1"/>
      <c r="I20" s="354" t="s">
        <v>670</v>
      </c>
      <c r="J20" s="217">
        <f>+R110</f>
        <v>46934.78</v>
      </c>
      <c r="K20" s="14"/>
      <c r="L20" s="1" t="s">
        <v>146</v>
      </c>
      <c r="M20" s="2">
        <f t="shared" si="3"/>
        <v>24713.08</v>
      </c>
      <c r="N20" s="2">
        <f t="shared" si="4"/>
        <v>20959.669999999998</v>
      </c>
      <c r="O20" s="2">
        <f t="shared" si="5"/>
        <v>0</v>
      </c>
      <c r="P20" s="266">
        <f t="shared" si="6"/>
        <v>45672.75</v>
      </c>
      <c r="Q20" s="2">
        <f>NETLYG</f>
        <v>128369.94</v>
      </c>
      <c r="R20" s="2">
        <f>NETLYG1</f>
        <v>14336.07</v>
      </c>
      <c r="S20" s="2">
        <f t="shared" si="7"/>
        <v>188378.76</v>
      </c>
      <c r="T20" s="1">
        <f t="shared" si="8"/>
        <v>188378.76</v>
      </c>
    </row>
    <row r="21" spans="1:20" x14ac:dyDescent="0.2">
      <c r="A21" s="1" t="s">
        <v>147</v>
      </c>
      <c r="B21" s="7">
        <f>MI</f>
        <v>237485</v>
      </c>
      <c r="C21" s="30">
        <f t="shared" si="0"/>
        <v>2.5968860000000001E-3</v>
      </c>
      <c r="D21" s="2">
        <f t="shared" si="1"/>
        <v>4012.88</v>
      </c>
      <c r="E21" s="2">
        <v>622.25</v>
      </c>
      <c r="F21" s="2">
        <f t="shared" si="2"/>
        <v>3390.63</v>
      </c>
      <c r="G21" s="1"/>
      <c r="H21" s="1"/>
      <c r="I21" s="355" t="s">
        <v>671</v>
      </c>
      <c r="J21" s="219">
        <f>+R111-S113</f>
        <v>78994.899999999994</v>
      </c>
      <c r="K21" s="14"/>
      <c r="L21" s="1" t="s">
        <v>147</v>
      </c>
      <c r="M21" s="2">
        <f t="shared" si="3"/>
        <v>3390.63</v>
      </c>
      <c r="N21" s="2">
        <f t="shared" si="4"/>
        <v>14579.38</v>
      </c>
      <c r="O21" s="2">
        <f t="shared" si="5"/>
        <v>0</v>
      </c>
      <c r="P21" s="266">
        <f t="shared" si="6"/>
        <v>17970.009999999998</v>
      </c>
      <c r="Q21" s="2">
        <f>NETMIG</f>
        <v>17641.29</v>
      </c>
      <c r="R21" s="2">
        <f>NETMIG1</f>
        <v>1971.79</v>
      </c>
      <c r="S21" s="2">
        <f t="shared" si="7"/>
        <v>37583.089999999997</v>
      </c>
      <c r="T21" s="1">
        <f t="shared" si="8"/>
        <v>37583.089999999997</v>
      </c>
    </row>
    <row r="22" spans="1:20" x14ac:dyDescent="0.2">
      <c r="A22" s="1" t="s">
        <v>148</v>
      </c>
      <c r="B22" s="7">
        <f>NY</f>
        <v>1736346</v>
      </c>
      <c r="C22" s="30">
        <f t="shared" si="0"/>
        <v>1.8986851999999999E-2</v>
      </c>
      <c r="D22" s="2">
        <f t="shared" si="1"/>
        <v>29339.759999999998</v>
      </c>
      <c r="E22" s="2">
        <v>169.32</v>
      </c>
      <c r="F22" s="2">
        <f t="shared" si="2"/>
        <v>29170.44</v>
      </c>
      <c r="G22" s="1"/>
      <c r="H22" s="1"/>
      <c r="I22" s="24" t="s">
        <v>672</v>
      </c>
      <c r="J22" s="219">
        <f>+R112</f>
        <v>8792.11</v>
      </c>
      <c r="K22" s="14"/>
      <c r="L22" s="1" t="s">
        <v>148</v>
      </c>
      <c r="M22" s="2">
        <f t="shared" si="3"/>
        <v>29170.44</v>
      </c>
      <c r="N22" s="2">
        <f t="shared" si="4"/>
        <v>70501.73</v>
      </c>
      <c r="O22" s="2">
        <f t="shared" si="5"/>
        <v>0</v>
      </c>
      <c r="P22" s="266">
        <f t="shared" si="6"/>
        <v>99672.17</v>
      </c>
      <c r="Q22" s="2">
        <f>NETNYG</f>
        <v>67337.42</v>
      </c>
      <c r="R22" s="2">
        <f>NETNYG1</f>
        <v>16919.47</v>
      </c>
      <c r="S22" s="2">
        <f t="shared" si="7"/>
        <v>183929.06</v>
      </c>
      <c r="T22" s="1">
        <f t="shared" si="8"/>
        <v>183929.06</v>
      </c>
    </row>
    <row r="23" spans="1:20" x14ac:dyDescent="0.2">
      <c r="A23" s="1" t="s">
        <v>149</v>
      </c>
      <c r="B23" s="7">
        <f>PE</f>
        <v>161443</v>
      </c>
      <c r="C23" s="30">
        <f t="shared" si="0"/>
        <v>1.765371E-3</v>
      </c>
      <c r="D23" s="2">
        <f t="shared" si="1"/>
        <v>2727.97</v>
      </c>
      <c r="E23" s="2">
        <v>92.04</v>
      </c>
      <c r="F23" s="2">
        <f t="shared" si="2"/>
        <v>2635.93</v>
      </c>
      <c r="G23" s="1"/>
      <c r="H23" s="1"/>
      <c r="I23" s="356" t="s">
        <v>673</v>
      </c>
      <c r="J23" s="217">
        <f>+R113</f>
        <v>134721.79</v>
      </c>
      <c r="K23" s="14"/>
      <c r="L23" s="1" t="s">
        <v>149</v>
      </c>
      <c r="M23" s="2">
        <f t="shared" si="3"/>
        <v>2635.93</v>
      </c>
      <c r="N23" s="2">
        <f t="shared" si="4"/>
        <v>31914.69</v>
      </c>
      <c r="O23" s="2">
        <f t="shared" si="5"/>
        <v>0</v>
      </c>
      <c r="P23" s="266">
        <f t="shared" si="6"/>
        <v>34550.620000000003</v>
      </c>
      <c r="Q23" s="2">
        <f>NETPEG</f>
        <v>13694.69</v>
      </c>
      <c r="R23" s="2">
        <f>NETPEG1</f>
        <v>1529.54</v>
      </c>
      <c r="S23" s="2">
        <f t="shared" si="7"/>
        <v>49774.85</v>
      </c>
      <c r="T23" s="1">
        <f t="shared" si="8"/>
        <v>49774.85</v>
      </c>
    </row>
    <row r="24" spans="1:20" x14ac:dyDescent="0.2">
      <c r="A24" s="1" t="s">
        <v>150</v>
      </c>
      <c r="B24" s="7">
        <f>ST</f>
        <v>29404</v>
      </c>
      <c r="C24" s="30">
        <f t="shared" si="0"/>
        <v>3.2153100000000001E-4</v>
      </c>
      <c r="D24" s="2">
        <f t="shared" si="1"/>
        <v>496.85</v>
      </c>
      <c r="E24" s="2">
        <v>0</v>
      </c>
      <c r="F24" s="2">
        <f t="shared" si="2"/>
        <v>496.85</v>
      </c>
      <c r="G24" s="1"/>
      <c r="H24" s="1"/>
      <c r="I24" s="1"/>
      <c r="J24" s="1"/>
      <c r="K24" s="14"/>
      <c r="L24" s="1" t="s">
        <v>150</v>
      </c>
      <c r="M24" s="2">
        <f t="shared" si="3"/>
        <v>496.85</v>
      </c>
      <c r="N24" s="2">
        <f t="shared" si="4"/>
        <v>2291.0500000000002</v>
      </c>
      <c r="O24" s="2">
        <f t="shared" si="5"/>
        <v>0</v>
      </c>
      <c r="P24" s="266">
        <f t="shared" si="6"/>
        <v>2787.9</v>
      </c>
      <c r="Q24" s="2">
        <f>NETSTG</f>
        <v>1146.8800000000001</v>
      </c>
      <c r="R24" s="2">
        <f>NETSTG1</f>
        <v>288.16000000000003</v>
      </c>
      <c r="S24" s="2">
        <f t="shared" si="7"/>
        <v>4222.9399999999996</v>
      </c>
      <c r="T24" s="1">
        <f t="shared" si="8"/>
        <v>4222.9399999999996</v>
      </c>
    </row>
    <row r="25" spans="1:20" x14ac:dyDescent="0.2">
      <c r="A25" s="1" t="s">
        <v>151</v>
      </c>
      <c r="B25" s="7">
        <f>WA</f>
        <v>15951653</v>
      </c>
      <c r="C25" s="30">
        <f t="shared" si="0"/>
        <v>0.17443048899999999</v>
      </c>
      <c r="D25" s="2">
        <f>SUM($J$7*C25)</f>
        <v>269541.71000000002</v>
      </c>
      <c r="E25" s="2">
        <v>203.82</v>
      </c>
      <c r="F25" s="2">
        <f t="shared" si="2"/>
        <v>269337.89</v>
      </c>
      <c r="G25" s="1"/>
      <c r="H25" s="1"/>
      <c r="I25" s="357" t="s">
        <v>674</v>
      </c>
      <c r="J25" s="90">
        <f>+'s1'!I117</f>
        <v>134721.79</v>
      </c>
      <c r="K25" s="14"/>
      <c r="L25" s="1" t="s">
        <v>151</v>
      </c>
      <c r="M25" s="2">
        <f t="shared" si="3"/>
        <v>269337.89</v>
      </c>
      <c r="N25" s="2">
        <f t="shared" si="4"/>
        <v>136254.66</v>
      </c>
      <c r="O25" s="2">
        <f t="shared" si="5"/>
        <v>0</v>
      </c>
      <c r="P25" s="266">
        <f t="shared" si="6"/>
        <v>405592.55</v>
      </c>
      <c r="Q25" s="2">
        <f>NETWAG</f>
        <v>1398396.43</v>
      </c>
      <c r="R25" s="2">
        <f>NETWAG1</f>
        <v>156158.75</v>
      </c>
      <c r="S25" s="2">
        <f t="shared" si="7"/>
        <v>1960147.73</v>
      </c>
      <c r="T25" s="1">
        <f t="shared" si="8"/>
        <v>1960147.73</v>
      </c>
    </row>
    <row r="26" spans="1:20" x14ac:dyDescent="0.2">
      <c r="A26" s="1" t="s">
        <v>152</v>
      </c>
      <c r="B26" s="7">
        <f>WH</f>
        <v>731021</v>
      </c>
      <c r="C26" s="30">
        <f t="shared" si="0"/>
        <v>7.9936759999999999E-3</v>
      </c>
      <c r="D26" s="2">
        <f t="shared" si="1"/>
        <v>12352.37</v>
      </c>
      <c r="E26" s="2">
        <v>107.8</v>
      </c>
      <c r="F26" s="2">
        <f t="shared" si="2"/>
        <v>12244.57</v>
      </c>
      <c r="G26" s="1"/>
      <c r="H26" s="1"/>
      <c r="J26" s="358">
        <f>+J23-J25</f>
        <v>0</v>
      </c>
      <c r="K26" s="14"/>
      <c r="L26" s="1" t="s">
        <v>152</v>
      </c>
      <c r="M26" s="2">
        <f t="shared" si="3"/>
        <v>12244.57</v>
      </c>
      <c r="N26" s="2">
        <f t="shared" si="4"/>
        <v>41967.8</v>
      </c>
      <c r="O26" s="2">
        <f t="shared" si="5"/>
        <v>0</v>
      </c>
      <c r="P26" s="266">
        <f t="shared" si="6"/>
        <v>54212.37</v>
      </c>
      <c r="Q26" s="2">
        <f>NETWHG</f>
        <v>62148.99</v>
      </c>
      <c r="R26" s="2">
        <f>NETWHG1</f>
        <v>6940.43</v>
      </c>
      <c r="S26" s="2">
        <f t="shared" si="7"/>
        <v>123301.79</v>
      </c>
      <c r="T26" s="1">
        <f t="shared" si="8"/>
        <v>123301.79</v>
      </c>
    </row>
    <row r="27" spans="1:20" ht="21.75" customHeight="1" thickBot="1" x14ac:dyDescent="0.25">
      <c r="A27" s="1" t="s">
        <v>12</v>
      </c>
      <c r="B27" s="34">
        <f>SUM(B10:B26)</f>
        <v>91449913</v>
      </c>
      <c r="C27" s="41">
        <f>ROUND(B27/B$27,4)</f>
        <v>1</v>
      </c>
      <c r="D27" s="132">
        <f>SUM(D10:D26)</f>
        <v>1545267.17</v>
      </c>
      <c r="E27" s="132">
        <f>SUM(E10:E26)</f>
        <v>3409.72</v>
      </c>
      <c r="F27" s="132">
        <f>SUM(F10:F26)</f>
        <v>1541857.45</v>
      </c>
      <c r="G27" s="1"/>
      <c r="H27" s="1"/>
      <c r="I27" s="1"/>
      <c r="J27" s="1"/>
      <c r="K27" s="14"/>
      <c r="L27" s="1" t="s">
        <v>12</v>
      </c>
      <c r="M27" s="132">
        <f t="shared" ref="M27:S27" si="9">SUM(M10:M26)</f>
        <v>1541857.45</v>
      </c>
      <c r="N27" s="132">
        <f t="shared" si="9"/>
        <v>1101326.83</v>
      </c>
      <c r="O27" s="132">
        <f t="shared" si="9"/>
        <v>0</v>
      </c>
      <c r="P27" s="267">
        <f t="shared" si="9"/>
        <v>2643184.2799999998</v>
      </c>
      <c r="Q27" s="132">
        <f t="shared" si="9"/>
        <v>7697073.5700000003</v>
      </c>
      <c r="R27" s="132">
        <f t="shared" si="9"/>
        <v>893299.73</v>
      </c>
      <c r="S27" s="132">
        <f t="shared" si="9"/>
        <v>11233557.58</v>
      </c>
      <c r="T27" s="1"/>
    </row>
    <row r="28" spans="1:20" ht="22.5" customHeight="1" x14ac:dyDescent="0.2">
      <c r="A28" s="1"/>
      <c r="B28" s="7"/>
      <c r="C28" s="1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61"/>
      <c r="Q28" s="1"/>
      <c r="R28" s="1"/>
      <c r="S28" s="9"/>
      <c r="T28" s="1"/>
    </row>
    <row r="29" spans="1:20" hidden="1" x14ac:dyDescent="0.2">
      <c r="A29" s="1"/>
      <c r="B29" s="7">
        <f>TOTGAL</f>
        <v>91639155</v>
      </c>
      <c r="C29" s="1"/>
      <c r="D29" s="9">
        <f>J7</f>
        <v>1545267.17</v>
      </c>
      <c r="E29" s="1"/>
      <c r="F29" s="1"/>
      <c r="G29" s="1"/>
      <c r="H29" s="1"/>
      <c r="I29" s="1"/>
      <c r="J29" s="1"/>
      <c r="K29" s="1"/>
      <c r="L29" s="1"/>
      <c r="M29" s="2"/>
      <c r="N29" s="2"/>
      <c r="O29" s="9"/>
      <c r="Q29" s="1"/>
      <c r="R29" s="1"/>
      <c r="S29" s="2"/>
      <c r="T29" s="1"/>
    </row>
    <row r="30" spans="1:20" ht="23.25" customHeight="1" x14ac:dyDescent="0.25">
      <c r="A30" s="63" t="s">
        <v>429</v>
      </c>
      <c r="B30" s="21"/>
      <c r="C30" s="2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68">
        <f>NET5.35</f>
        <v>4713675.93</v>
      </c>
      <c r="Q30" s="1"/>
      <c r="R30" s="1"/>
      <c r="S30" s="2">
        <f>SUM($P$27:$R$27)</f>
        <v>11233557.58</v>
      </c>
      <c r="T30" s="1"/>
    </row>
    <row r="31" spans="1:20" ht="15.75" x14ac:dyDescent="0.25">
      <c r="A31" s="77" t="str">
        <f>ReportMonth</f>
        <v>DECEMBER 2004</v>
      </c>
      <c r="B31" s="21"/>
      <c r="D31" s="1"/>
      <c r="E31" s="1"/>
      <c r="F31" s="1"/>
      <c r="G31" s="1"/>
      <c r="H31" s="1"/>
      <c r="I31" s="1"/>
      <c r="J31" s="1"/>
      <c r="K31" s="1"/>
      <c r="T31" s="1"/>
    </row>
    <row r="32" spans="1:20" ht="15" x14ac:dyDescent="0.2">
      <c r="A32" s="119" t="s">
        <v>108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28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20"/>
      <c r="D34" s="97" t="s">
        <v>154</v>
      </c>
      <c r="E34" s="120" t="s">
        <v>117</v>
      </c>
      <c r="F34" s="5" t="s">
        <v>73</v>
      </c>
      <c r="I34" s="1"/>
      <c r="J34" s="1"/>
      <c r="K34" s="1"/>
    </row>
    <row r="35" spans="1:11" x14ac:dyDescent="0.2">
      <c r="A35" s="1"/>
      <c r="B35" s="1"/>
      <c r="C35" s="125"/>
      <c r="D35" s="38" t="s">
        <v>156</v>
      </c>
      <c r="E35" s="98" t="s">
        <v>125</v>
      </c>
      <c r="F35" s="98" t="s">
        <v>157</v>
      </c>
      <c r="I35" s="1"/>
      <c r="J35" s="1"/>
      <c r="K35" s="1"/>
    </row>
    <row r="36" spans="1:11" x14ac:dyDescent="0.2">
      <c r="A36" s="4"/>
      <c r="B36" s="4"/>
      <c r="C36" s="4"/>
      <c r="I36" s="1"/>
      <c r="J36" s="1"/>
      <c r="K36" s="1"/>
    </row>
    <row r="37" spans="1:11" x14ac:dyDescent="0.2">
      <c r="A37" s="1" t="s">
        <v>136</v>
      </c>
      <c r="B37" s="1"/>
      <c r="C37" s="14"/>
      <c r="D37" s="212">
        <f t="shared" ref="D37:D53" si="10">F37+E37</f>
        <v>18956.43</v>
      </c>
      <c r="E37" s="2">
        <v>48.71</v>
      </c>
      <c r="F37" s="151">
        <f>IF(s3b!$C$4&gt;s3b!$C$2,s3b!T25,s3b!I4)</f>
        <v>18907.72</v>
      </c>
      <c r="I37" s="1"/>
      <c r="J37" s="1"/>
      <c r="K37" s="1"/>
    </row>
    <row r="38" spans="1:11" x14ac:dyDescent="0.2">
      <c r="A38" s="1" t="s">
        <v>137</v>
      </c>
      <c r="B38" s="1"/>
      <c r="C38" s="14"/>
      <c r="D38" s="212">
        <f t="shared" si="10"/>
        <v>28887.75</v>
      </c>
      <c r="E38" s="2">
        <v>41.4</v>
      </c>
      <c r="F38" s="151">
        <f>IF(s3b!$C$4&gt;s3b!$C$2,s3b!T26,s3b!I5)</f>
        <v>28846.35</v>
      </c>
      <c r="I38" s="1"/>
      <c r="J38" s="1"/>
      <c r="K38" s="1"/>
    </row>
    <row r="39" spans="1:11" x14ac:dyDescent="0.2">
      <c r="A39" s="1" t="s">
        <v>138</v>
      </c>
      <c r="B39" s="1"/>
      <c r="C39" s="14"/>
      <c r="D39" s="212">
        <f t="shared" si="10"/>
        <v>503899.8</v>
      </c>
      <c r="E39" s="2">
        <v>1332.2</v>
      </c>
      <c r="F39" s="151">
        <f>IF(s3b!$C$4&gt;s3b!$C$2,s3b!T27,s3b!I6)</f>
        <v>502567.6</v>
      </c>
      <c r="I39" s="1"/>
      <c r="J39" s="1"/>
      <c r="K39" s="9"/>
    </row>
    <row r="40" spans="1:11" x14ac:dyDescent="0.2">
      <c r="A40" s="1" t="s">
        <v>139</v>
      </c>
      <c r="B40" s="1"/>
      <c r="C40" s="14"/>
      <c r="D40" s="212">
        <f t="shared" si="10"/>
        <v>16906.84</v>
      </c>
      <c r="E40" s="2">
        <v>41.4</v>
      </c>
      <c r="F40" s="151">
        <f>IF(s3b!$C$4&gt;s3b!$C$2,s3b!T28,s3b!I7)</f>
        <v>16865.439999999999</v>
      </c>
      <c r="I40" s="1"/>
      <c r="J40" s="1"/>
      <c r="K40" s="2"/>
    </row>
    <row r="41" spans="1:11" x14ac:dyDescent="0.2">
      <c r="A41" s="1" t="s">
        <v>140</v>
      </c>
      <c r="B41" s="1"/>
      <c r="C41" s="14"/>
      <c r="D41" s="212">
        <f t="shared" si="10"/>
        <v>68082.78</v>
      </c>
      <c r="E41" s="2">
        <v>80.37</v>
      </c>
      <c r="F41" s="151">
        <f>IF(s3b!$C$4&gt;s3b!$C$2,s3b!T29,s3b!I8)</f>
        <v>68002.41</v>
      </c>
      <c r="I41" s="1"/>
      <c r="J41" s="1"/>
      <c r="K41" s="2"/>
    </row>
    <row r="42" spans="1:11" x14ac:dyDescent="0.2">
      <c r="A42" s="1" t="s">
        <v>141</v>
      </c>
      <c r="B42" s="1"/>
      <c r="C42" s="14"/>
      <c r="D42" s="212">
        <f t="shared" si="10"/>
        <v>15848.53</v>
      </c>
      <c r="E42" s="2">
        <v>19.48</v>
      </c>
      <c r="F42" s="151">
        <f>IF(s3b!$C$4&gt;s3b!$C$2,s3b!T30,s3b!I9)</f>
        <v>15829.05</v>
      </c>
      <c r="I42" s="1"/>
      <c r="J42" s="1"/>
      <c r="K42" s="2"/>
    </row>
    <row r="43" spans="1:11" x14ac:dyDescent="0.2">
      <c r="A43" s="1" t="s">
        <v>142</v>
      </c>
      <c r="B43" s="1"/>
      <c r="C43" s="14"/>
      <c r="D43" s="212">
        <f t="shared" si="10"/>
        <v>20241.830000000002</v>
      </c>
      <c r="E43" s="2">
        <v>38.97</v>
      </c>
      <c r="F43" s="151">
        <f>IF(s3b!$C$4&gt;s3b!$C$2,s3b!T31,s3b!I10)</f>
        <v>20202.86</v>
      </c>
      <c r="I43" s="1"/>
      <c r="J43" s="1"/>
      <c r="K43" s="2"/>
    </row>
    <row r="44" spans="1:11" x14ac:dyDescent="0.2">
      <c r="A44" s="1" t="s">
        <v>143</v>
      </c>
      <c r="B44" s="1"/>
      <c r="C44" s="14"/>
      <c r="D44" s="212">
        <f t="shared" si="10"/>
        <v>40873.410000000003</v>
      </c>
      <c r="E44" s="2">
        <v>51.14</v>
      </c>
      <c r="F44" s="151">
        <f>IF(s3b!$C$4&gt;s3b!$C$2,s3b!T32,s3b!I11)</f>
        <v>40822.269999999997</v>
      </c>
      <c r="I44" s="1"/>
      <c r="J44" s="1"/>
      <c r="K44" s="2"/>
    </row>
    <row r="45" spans="1:11" x14ac:dyDescent="0.2">
      <c r="A45" s="1" t="s">
        <v>144</v>
      </c>
      <c r="B45" s="1"/>
      <c r="C45" s="14"/>
      <c r="D45" s="212">
        <f t="shared" si="10"/>
        <v>25877.48</v>
      </c>
      <c r="E45" s="2">
        <v>51.14</v>
      </c>
      <c r="F45" s="151">
        <f>IF(s3b!$C$4&gt;s3b!$C$2,s3b!T33,s3b!I12)</f>
        <v>25826.34</v>
      </c>
      <c r="I45" s="1"/>
      <c r="J45" s="1"/>
      <c r="K45" s="2"/>
    </row>
    <row r="46" spans="1:11" x14ac:dyDescent="0.2">
      <c r="A46" s="1" t="s">
        <v>145</v>
      </c>
      <c r="B46" s="1"/>
      <c r="C46" s="14"/>
      <c r="D46" s="212">
        <f t="shared" si="10"/>
        <v>45065.74</v>
      </c>
      <c r="E46" s="2">
        <v>77.930000000000007</v>
      </c>
      <c r="F46" s="151">
        <f>IF(s3b!$C$4&gt;s3b!$C$2,s3b!T34,s3b!I13)</f>
        <v>44987.81</v>
      </c>
      <c r="I46" s="1"/>
      <c r="J46" s="1"/>
      <c r="K46" s="2"/>
    </row>
    <row r="47" spans="1:11" x14ac:dyDescent="0.2">
      <c r="A47" s="1" t="s">
        <v>146</v>
      </c>
      <c r="B47" s="1"/>
      <c r="C47" s="14"/>
      <c r="D47" s="212">
        <f>F47+E47</f>
        <v>21010.81</v>
      </c>
      <c r="E47" s="2">
        <f>51.14</f>
        <v>51.14</v>
      </c>
      <c r="F47" s="151">
        <f>IF(s3b!$C$4&gt;s3b!$C$2,s3b!T35,s3b!I14)+0.01</f>
        <v>20959.669999999998</v>
      </c>
      <c r="I47" s="1"/>
      <c r="J47" s="1"/>
      <c r="K47" s="2"/>
    </row>
    <row r="48" spans="1:11" x14ac:dyDescent="0.2">
      <c r="A48" s="1" t="s">
        <v>147</v>
      </c>
      <c r="B48" s="1"/>
      <c r="C48" s="14"/>
      <c r="D48" s="212">
        <f t="shared" si="10"/>
        <v>14596.43</v>
      </c>
      <c r="E48" s="2">
        <v>17.05</v>
      </c>
      <c r="F48" s="151">
        <f>IF(s3b!$C$4&gt;s3b!$C$2,s3b!T36,s3b!I15)</f>
        <v>14579.38</v>
      </c>
      <c r="I48" s="1"/>
      <c r="J48" s="1"/>
      <c r="K48" s="2"/>
    </row>
    <row r="49" spans="1:11" x14ac:dyDescent="0.2">
      <c r="A49" s="1" t="s">
        <v>148</v>
      </c>
      <c r="B49" s="1"/>
      <c r="C49" s="14"/>
      <c r="D49" s="212">
        <f t="shared" si="10"/>
        <v>70611.33</v>
      </c>
      <c r="E49" s="2">
        <v>109.6</v>
      </c>
      <c r="F49" s="151">
        <f>IF(s3b!$C$4&gt;s3b!$C$2,s3b!T37,s3b!I16)</f>
        <v>70501.73</v>
      </c>
      <c r="I49" s="1"/>
      <c r="J49" s="1"/>
      <c r="K49" s="2"/>
    </row>
    <row r="50" spans="1:11" x14ac:dyDescent="0.2">
      <c r="A50" s="1" t="s">
        <v>149</v>
      </c>
      <c r="B50" s="1"/>
      <c r="C50" s="14"/>
      <c r="D50" s="212">
        <f t="shared" si="10"/>
        <v>31995.06</v>
      </c>
      <c r="E50" s="2">
        <v>80.37</v>
      </c>
      <c r="F50" s="151">
        <f>IF(s3b!$C$4&gt;s3b!$C$2,s3b!T38,s3b!I17)</f>
        <v>31914.69</v>
      </c>
      <c r="I50" s="1"/>
      <c r="J50" s="1"/>
      <c r="K50" s="2"/>
    </row>
    <row r="51" spans="1:11" x14ac:dyDescent="0.2">
      <c r="A51" s="1" t="s">
        <v>150</v>
      </c>
      <c r="B51" s="1"/>
      <c r="C51" s="14"/>
      <c r="D51" s="212">
        <f t="shared" si="10"/>
        <v>2295.92</v>
      </c>
      <c r="E51" s="2">
        <v>4.87</v>
      </c>
      <c r="F51" s="151">
        <f>IF(s3b!$C$4&gt;s3b!$C$2,s3b!T39,s3b!I18)</f>
        <v>2291.0500000000002</v>
      </c>
      <c r="I51" s="1"/>
      <c r="J51" s="1"/>
      <c r="K51" s="2"/>
    </row>
    <row r="52" spans="1:11" x14ac:dyDescent="0.2">
      <c r="A52" s="1" t="s">
        <v>151</v>
      </c>
      <c r="B52" s="1"/>
      <c r="C52" s="14"/>
      <c r="D52" s="212">
        <f t="shared" si="10"/>
        <v>136593.19</v>
      </c>
      <c r="E52" s="2">
        <v>338.53</v>
      </c>
      <c r="F52" s="151">
        <f>IF(s3b!$C$4&gt;s3b!$C$2,s3b!T40,s3b!I19)</f>
        <v>136254.66</v>
      </c>
      <c r="I52" s="1"/>
      <c r="J52" s="1"/>
      <c r="K52" s="2"/>
    </row>
    <row r="53" spans="1:11" x14ac:dyDescent="0.2">
      <c r="A53" s="1" t="s">
        <v>152</v>
      </c>
      <c r="B53" s="1"/>
      <c r="C53" s="209"/>
      <c r="D53" s="212">
        <f t="shared" si="10"/>
        <v>42018.94</v>
      </c>
      <c r="E53" s="2">
        <v>51.14</v>
      </c>
      <c r="F53" s="151">
        <f>IF(s3b!$C$4&gt;s3b!$C$2,s3b!T41,s3b!I20)</f>
        <v>41967.8</v>
      </c>
      <c r="I53" s="1"/>
      <c r="J53" s="1"/>
      <c r="K53" s="2"/>
    </row>
    <row r="54" spans="1:11" ht="13.5" thickBot="1" x14ac:dyDescent="0.25">
      <c r="A54" s="1" t="s">
        <v>12</v>
      </c>
      <c r="B54" s="1"/>
      <c r="C54" s="209"/>
      <c r="D54" s="132">
        <f>SUM(D37:D53)</f>
        <v>1103762.27</v>
      </c>
      <c r="E54" s="132">
        <f>SUM(E37:E53)</f>
        <v>2435.44</v>
      </c>
      <c r="F54" s="132">
        <f>SUM(F37:F53)</f>
        <v>1101326.83</v>
      </c>
      <c r="I54" s="1"/>
      <c r="J54" s="1"/>
      <c r="K54" s="2"/>
    </row>
    <row r="56" spans="1:11" hidden="1" x14ac:dyDescent="0.2">
      <c r="A56" s="1"/>
      <c r="B56" s="1"/>
      <c r="C56" s="1"/>
      <c r="D56" s="2">
        <f>J8</f>
        <v>1103762.27</v>
      </c>
      <c r="E56" s="1"/>
      <c r="F56" s="1"/>
      <c r="G56" s="1"/>
      <c r="H56" s="1"/>
      <c r="I56" s="1"/>
      <c r="J56" s="1"/>
      <c r="K56" s="9"/>
    </row>
    <row r="57" spans="1:11" hidden="1" x14ac:dyDescent="0.2"/>
    <row r="58" spans="1:11" ht="15.75" hidden="1" x14ac:dyDescent="0.25">
      <c r="A58" s="63" t="s">
        <v>106</v>
      </c>
      <c r="B58" s="63"/>
      <c r="C58" s="63"/>
      <c r="D58" s="1"/>
      <c r="E58" s="1"/>
      <c r="F58" s="1"/>
      <c r="G58" s="1"/>
      <c r="H58" s="1"/>
      <c r="I58" s="1"/>
      <c r="J58" s="1"/>
      <c r="K58" s="1"/>
    </row>
    <row r="59" spans="1:11" ht="15.75" hidden="1" x14ac:dyDescent="0.25">
      <c r="A59" s="77" t="str">
        <f>ReportMonth</f>
        <v>DECEMBER 2004</v>
      </c>
      <c r="B59" s="63"/>
      <c r="D59" s="1"/>
      <c r="E59" s="1"/>
      <c r="F59" s="1"/>
      <c r="G59" s="1"/>
      <c r="H59" s="1"/>
      <c r="I59" s="1"/>
      <c r="J59" s="1"/>
      <c r="K59" s="1"/>
    </row>
    <row r="60" spans="1:11" ht="15" hidden="1" x14ac:dyDescent="0.2">
      <c r="A60" s="119" t="s">
        <v>158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hidden="1" x14ac:dyDescent="0.25">
      <c r="A61" s="96" t="s">
        <v>422</v>
      </c>
      <c r="B61" s="42"/>
      <c r="C61" s="42"/>
      <c r="D61" s="42"/>
      <c r="E61" s="42"/>
      <c r="F61" s="42"/>
      <c r="G61" s="1"/>
      <c r="H61" s="1"/>
      <c r="I61" s="1"/>
      <c r="J61" s="1"/>
      <c r="K61" s="1"/>
    </row>
    <row r="62" spans="1:11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idden="1" x14ac:dyDescent="0.2">
      <c r="A64" s="1"/>
      <c r="B64" s="1"/>
      <c r="C64" s="1"/>
      <c r="D64" s="1"/>
      <c r="E64" s="1"/>
      <c r="F64" s="5"/>
      <c r="G64" s="1"/>
      <c r="H64" s="1"/>
      <c r="I64" s="1"/>
      <c r="J64" s="1"/>
      <c r="K64" s="1"/>
    </row>
    <row r="65" spans="1:6" hidden="1" x14ac:dyDescent="0.2">
      <c r="A65" s="1"/>
      <c r="B65" s="1"/>
      <c r="C65" s="120"/>
      <c r="D65" s="120" t="s">
        <v>159</v>
      </c>
      <c r="E65" s="120" t="s">
        <v>117</v>
      </c>
      <c r="F65" s="5" t="s">
        <v>73</v>
      </c>
    </row>
    <row r="66" spans="1:6" hidden="1" x14ac:dyDescent="0.2">
      <c r="A66" s="1"/>
      <c r="B66" s="1"/>
      <c r="C66" s="125"/>
      <c r="D66" s="98" t="s">
        <v>124</v>
      </c>
      <c r="E66" s="98" t="s">
        <v>125</v>
      </c>
      <c r="F66" s="98" t="s">
        <v>160</v>
      </c>
    </row>
    <row r="67" spans="1:6" hidden="1" x14ac:dyDescent="0.2"/>
    <row r="68" spans="1:6" hidden="1" x14ac:dyDescent="0.2">
      <c r="A68" s="1" t="s">
        <v>136</v>
      </c>
      <c r="B68" s="1"/>
      <c r="C68" s="14"/>
      <c r="D68" s="2"/>
      <c r="E68" s="2">
        <v>91.57</v>
      </c>
      <c r="F68" s="2"/>
    </row>
    <row r="69" spans="1:6" hidden="1" x14ac:dyDescent="0.2">
      <c r="A69" s="1" t="s">
        <v>137</v>
      </c>
      <c r="B69" s="1"/>
      <c r="C69" s="14"/>
      <c r="D69" s="2"/>
      <c r="E69" s="2">
        <v>77.84</v>
      </c>
      <c r="F69" s="2"/>
    </row>
    <row r="70" spans="1:6" hidden="1" x14ac:dyDescent="0.2">
      <c r="A70" s="1" t="s">
        <v>138</v>
      </c>
      <c r="B70" s="1"/>
      <c r="C70" s="14"/>
      <c r="D70" s="2"/>
      <c r="E70" s="2">
        <v>2504.5300000000002</v>
      </c>
      <c r="F70" s="2"/>
    </row>
    <row r="71" spans="1:6" hidden="1" x14ac:dyDescent="0.2">
      <c r="A71" s="1" t="s">
        <v>139</v>
      </c>
      <c r="B71" s="1"/>
      <c r="C71" s="14"/>
      <c r="D71" s="2"/>
      <c r="E71" s="2">
        <v>77.84</v>
      </c>
      <c r="F71" s="2"/>
    </row>
    <row r="72" spans="1:6" hidden="1" x14ac:dyDescent="0.2">
      <c r="A72" s="1" t="s">
        <v>140</v>
      </c>
      <c r="B72" s="1"/>
      <c r="C72" s="14"/>
      <c r="D72" s="2"/>
      <c r="E72" s="2">
        <v>151.1</v>
      </c>
      <c r="F72" s="2"/>
    </row>
    <row r="73" spans="1:6" hidden="1" x14ac:dyDescent="0.2">
      <c r="A73" s="1" t="s">
        <v>141</v>
      </c>
      <c r="B73" s="1"/>
      <c r="C73" s="14"/>
      <c r="D73" s="2"/>
      <c r="E73" s="2">
        <v>36.630000000000003</v>
      </c>
      <c r="F73" s="2"/>
    </row>
    <row r="74" spans="1:6" hidden="1" x14ac:dyDescent="0.2">
      <c r="A74" s="1" t="s">
        <v>142</v>
      </c>
      <c r="B74" s="1"/>
      <c r="C74" s="14"/>
      <c r="D74" s="2"/>
      <c r="E74" s="2">
        <v>73.260000000000005</v>
      </c>
      <c r="F74" s="2"/>
    </row>
    <row r="75" spans="1:6" hidden="1" x14ac:dyDescent="0.2">
      <c r="A75" s="1" t="s">
        <v>143</v>
      </c>
      <c r="B75" s="1"/>
      <c r="C75" s="14"/>
      <c r="D75" s="2"/>
      <c r="E75" s="2">
        <v>96.15</v>
      </c>
      <c r="F75" s="2"/>
    </row>
    <row r="76" spans="1:6" hidden="1" x14ac:dyDescent="0.2">
      <c r="A76" s="1" t="s">
        <v>144</v>
      </c>
      <c r="B76" s="1"/>
      <c r="C76" s="14"/>
      <c r="D76" s="2"/>
      <c r="E76" s="2">
        <v>96.15</v>
      </c>
      <c r="F76" s="2"/>
    </row>
    <row r="77" spans="1:6" hidden="1" x14ac:dyDescent="0.2">
      <c r="A77" s="1" t="s">
        <v>145</v>
      </c>
      <c r="B77" s="1"/>
      <c r="C77" s="14"/>
      <c r="D77" s="2"/>
      <c r="E77" s="2">
        <v>146.52000000000001</v>
      </c>
      <c r="F77" s="2"/>
    </row>
    <row r="78" spans="1:6" hidden="1" x14ac:dyDescent="0.2">
      <c r="A78" s="1" t="s">
        <v>146</v>
      </c>
      <c r="B78" s="1"/>
      <c r="C78" s="14"/>
      <c r="D78" s="2"/>
      <c r="E78" s="2">
        <v>96.15</v>
      </c>
      <c r="F78" s="2"/>
    </row>
    <row r="79" spans="1:6" hidden="1" x14ac:dyDescent="0.2">
      <c r="A79" s="1" t="s">
        <v>147</v>
      </c>
      <c r="B79" s="1"/>
      <c r="C79" s="14"/>
      <c r="D79" s="2"/>
      <c r="E79" s="2">
        <v>32.049999999999997</v>
      </c>
      <c r="F79" s="2"/>
    </row>
    <row r="80" spans="1:6" hidden="1" x14ac:dyDescent="0.2">
      <c r="A80" s="1" t="s">
        <v>148</v>
      </c>
      <c r="B80" s="1"/>
      <c r="C80" s="14"/>
      <c r="D80" s="2"/>
      <c r="E80" s="2">
        <v>206.04</v>
      </c>
      <c r="F80" s="2"/>
    </row>
    <row r="81" spans="1:6" hidden="1" x14ac:dyDescent="0.2">
      <c r="A81" s="1" t="s">
        <v>149</v>
      </c>
      <c r="B81" s="1"/>
      <c r="C81" s="14"/>
      <c r="D81" s="2"/>
      <c r="E81" s="2">
        <v>151.1</v>
      </c>
      <c r="F81" s="2"/>
    </row>
    <row r="82" spans="1:6" hidden="1" x14ac:dyDescent="0.2">
      <c r="A82" s="1" t="s">
        <v>150</v>
      </c>
      <c r="B82" s="1"/>
      <c r="C82" s="14"/>
      <c r="D82" s="2"/>
      <c r="E82" s="2">
        <v>9.16</v>
      </c>
      <c r="F82" s="2"/>
    </row>
    <row r="83" spans="1:6" hidden="1" x14ac:dyDescent="0.2">
      <c r="A83" s="1" t="s">
        <v>151</v>
      </c>
      <c r="B83" s="1"/>
      <c r="C83" s="14"/>
      <c r="D83" s="2"/>
      <c r="E83" s="2">
        <v>636.42999999999995</v>
      </c>
      <c r="F83" s="2"/>
    </row>
    <row r="84" spans="1:6" hidden="1" x14ac:dyDescent="0.2">
      <c r="A84" s="1" t="s">
        <v>152</v>
      </c>
      <c r="B84" s="1"/>
      <c r="C84" s="209"/>
      <c r="D84" s="2"/>
      <c r="E84" s="2">
        <v>96.15</v>
      </c>
      <c r="F84" s="2"/>
    </row>
    <row r="85" spans="1:6" ht="13.5" hidden="1" thickBot="1" x14ac:dyDescent="0.25">
      <c r="A85" s="1" t="s">
        <v>12</v>
      </c>
      <c r="B85" s="1"/>
      <c r="C85" s="209"/>
      <c r="D85" s="132">
        <f>SUM(D68:D84)</f>
        <v>0</v>
      </c>
      <c r="E85" s="132">
        <f>SUM(E68:E84)</f>
        <v>4578.67</v>
      </c>
      <c r="F85" s="36">
        <f>SUM(F68:F84)</f>
        <v>0</v>
      </c>
    </row>
    <row r="86" spans="1:6" hidden="1" x14ac:dyDescent="0.2"/>
    <row r="87" spans="1:6" hidden="1" x14ac:dyDescent="0.2">
      <c r="A87" s="1"/>
      <c r="B87" s="1"/>
      <c r="C87" s="1"/>
      <c r="D87" s="9">
        <f>J9</f>
        <v>2075070.23</v>
      </c>
      <c r="E87" s="1"/>
      <c r="F87" s="1"/>
    </row>
    <row r="88" spans="1:6" hidden="1" x14ac:dyDescent="0.2"/>
    <row r="89" spans="1:6" hidden="1" x14ac:dyDescent="0.2"/>
    <row r="90" spans="1:6" hidden="1" x14ac:dyDescent="0.2"/>
    <row r="91" spans="1:6" hidden="1" x14ac:dyDescent="0.2"/>
    <row r="92" spans="1:6" hidden="1" x14ac:dyDescent="0.2"/>
    <row r="93" spans="1:6" hidden="1" x14ac:dyDescent="0.2"/>
    <row r="94" spans="1:6" hidden="1" x14ac:dyDescent="0.2"/>
    <row r="95" spans="1:6" hidden="1" x14ac:dyDescent="0.2"/>
    <row r="96" spans="1:6" hidden="1" x14ac:dyDescent="0.2"/>
    <row r="97" spans="12:20" hidden="1" x14ac:dyDescent="0.2">
      <c r="L97" s="408" t="s">
        <v>675</v>
      </c>
      <c r="M97" s="408"/>
      <c r="N97" s="408"/>
      <c r="O97" s="408"/>
      <c r="P97" s="408"/>
      <c r="Q97" s="408"/>
      <c r="R97" s="408"/>
      <c r="S97" s="408"/>
    </row>
    <row r="98" spans="12:20" hidden="1" x14ac:dyDescent="0.2">
      <c r="M98" s="1"/>
      <c r="N98" s="1"/>
      <c r="O98" s="1"/>
      <c r="P98" s="264" t="s">
        <v>73</v>
      </c>
      <c r="Q98" s="120" t="s">
        <v>119</v>
      </c>
      <c r="R98" s="120" t="s">
        <v>120</v>
      </c>
      <c r="S98" s="120" t="s">
        <v>121</v>
      </c>
    </row>
    <row r="99" spans="12:20" hidden="1" x14ac:dyDescent="0.2">
      <c r="M99" s="40" t="s">
        <v>128</v>
      </c>
      <c r="N99" s="40" t="s">
        <v>129</v>
      </c>
      <c r="O99" s="40" t="s">
        <v>130</v>
      </c>
      <c r="P99" s="265" t="s">
        <v>131</v>
      </c>
      <c r="Q99" s="98" t="s">
        <v>132</v>
      </c>
      <c r="R99" s="98" t="s">
        <v>133</v>
      </c>
      <c r="S99" s="40" t="s">
        <v>235</v>
      </c>
    </row>
    <row r="100" spans="12:20" hidden="1" x14ac:dyDescent="0.2">
      <c r="L100" s="155" t="s">
        <v>676</v>
      </c>
      <c r="M100" s="220">
        <f>+s3a!J51</f>
        <v>5814.39</v>
      </c>
      <c r="N100" s="220">
        <f>+R108</f>
        <v>10949.27</v>
      </c>
      <c r="O100" s="220">
        <f>+$R$109*s3c!F113</f>
        <v>11809.01</v>
      </c>
      <c r="P100" s="273">
        <f>+M100+N100+O100</f>
        <v>28572.67</v>
      </c>
      <c r="Q100" s="220">
        <f>+R111</f>
        <v>78994.899999999994</v>
      </c>
      <c r="R100" s="220">
        <f>ROUND(+$R$112*s3c!I113,2)</f>
        <v>2333.7800000000002</v>
      </c>
      <c r="S100" s="220">
        <f>+P100+Q100+R100</f>
        <v>109901.35</v>
      </c>
    </row>
    <row r="101" spans="12:20" hidden="1" x14ac:dyDescent="0.2">
      <c r="L101" s="155" t="s">
        <v>677</v>
      </c>
      <c r="M101" s="220">
        <f>+s3a!J52</f>
        <v>7118.59</v>
      </c>
      <c r="N101" s="220"/>
      <c r="O101" s="220">
        <f>+$R$109*s3c!F114</f>
        <v>6346.78</v>
      </c>
      <c r="P101" s="273">
        <f>+M101+N101+O101</f>
        <v>13465.37</v>
      </c>
      <c r="Q101" s="220"/>
      <c r="R101" s="220">
        <f>ROUND(+$R$112*s3c!I114,2)</f>
        <v>4610.67</v>
      </c>
      <c r="S101" s="220">
        <f>+P101+Q101+R101</f>
        <v>18076.04</v>
      </c>
    </row>
    <row r="102" spans="12:20" hidden="1" x14ac:dyDescent="0.2">
      <c r="L102" s="155" t="s">
        <v>678</v>
      </c>
      <c r="M102" s="220">
        <f>+s3a!J53</f>
        <v>2428.6799999999998</v>
      </c>
      <c r="N102" s="220"/>
      <c r="O102" s="220">
        <f>+$R$109*s3c!F115</f>
        <v>2468.06</v>
      </c>
      <c r="P102" s="273">
        <f>+M102+N102+O102</f>
        <v>4896.74</v>
      </c>
      <c r="Q102" s="220"/>
      <c r="R102" s="220">
        <f>ROUND(+$R$112*s3c!I115,2)</f>
        <v>1847.66</v>
      </c>
      <c r="S102" s="220">
        <f>+P102+Q102+R102</f>
        <v>6744.4</v>
      </c>
    </row>
    <row r="103" spans="12:20" hidden="1" x14ac:dyDescent="0.2">
      <c r="L103" s="359" t="s">
        <v>679</v>
      </c>
      <c r="M103" s="360">
        <f>+M100+M101+M102</f>
        <v>15361.66</v>
      </c>
      <c r="N103" s="360">
        <f>+N100+N101+N102</f>
        <v>10949.27</v>
      </c>
      <c r="O103" s="360">
        <f>SUM(O100:O102)</f>
        <v>20623.849999999999</v>
      </c>
      <c r="P103" s="361">
        <f>SUM(P100:P102)</f>
        <v>46934.78</v>
      </c>
      <c r="Q103" s="360">
        <f>+Q100+Q101+Q102</f>
        <v>78994.899999999994</v>
      </c>
      <c r="R103" s="360">
        <f>+R100+R101+R102</f>
        <v>8792.11</v>
      </c>
      <c r="S103" s="360">
        <f>+P103+Q103+R103</f>
        <v>134721.79</v>
      </c>
    </row>
    <row r="104" spans="12:20" hidden="1" x14ac:dyDescent="0.2">
      <c r="M104" s="220"/>
      <c r="N104" s="220"/>
      <c r="O104" s="220"/>
      <c r="P104" s="273"/>
      <c r="Q104" s="220"/>
      <c r="R104" s="220"/>
      <c r="S104" s="220">
        <f>+S100+S101+S102</f>
        <v>134721.79</v>
      </c>
      <c r="T104" s="220">
        <f>+S103-S104</f>
        <v>0</v>
      </c>
    </row>
    <row r="105" spans="12:20" hidden="1" x14ac:dyDescent="0.2">
      <c r="P105" s="362"/>
      <c r="Q105" s="282"/>
      <c r="R105" s="282"/>
      <c r="S105" s="282"/>
    </row>
    <row r="106" spans="12:20" hidden="1" x14ac:dyDescent="0.2">
      <c r="L106" t="s">
        <v>680</v>
      </c>
      <c r="M106" t="s">
        <v>599</v>
      </c>
      <c r="N106" t="s">
        <v>665</v>
      </c>
      <c r="O106" t="s">
        <v>681</v>
      </c>
      <c r="P106" s="362" t="s">
        <v>682</v>
      </c>
      <c r="Q106" s="282" t="s">
        <v>683</v>
      </c>
      <c r="R106" s="282" t="s">
        <v>684</v>
      </c>
      <c r="S106" s="282"/>
    </row>
    <row r="107" spans="12:20" hidden="1" x14ac:dyDescent="0.2">
      <c r="L107">
        <v>1.75</v>
      </c>
      <c r="M107" s="1">
        <v>1.7140200000000001E-2</v>
      </c>
      <c r="N107" s="363">
        <v>2.7400000000000001E-2</v>
      </c>
      <c r="O107" s="20">
        <f>ROUND(M107*N107,6)</f>
        <v>4.6999999999999999E-4</v>
      </c>
      <c r="P107" s="364">
        <f>O107/$O$113</f>
        <v>0.114025086</v>
      </c>
      <c r="Q107" s="220">
        <f>+J14</f>
        <v>134721.79</v>
      </c>
      <c r="R107" s="220">
        <f>+$Q$107*P107</f>
        <v>15361.66</v>
      </c>
    </row>
    <row r="108" spans="12:20" hidden="1" x14ac:dyDescent="0.2">
      <c r="L108">
        <v>1.25</v>
      </c>
      <c r="M108">
        <v>1.2243E-2</v>
      </c>
      <c r="N108" s="363">
        <v>2.7400000000000001E-2</v>
      </c>
      <c r="O108" s="20">
        <f>ROUND(M108*N108,6)</f>
        <v>3.3500000000000001E-4</v>
      </c>
      <c r="P108" s="364">
        <f>O108/$O$113</f>
        <v>8.1273199000000004E-2</v>
      </c>
      <c r="Q108" s="220" t="s">
        <v>82</v>
      </c>
      <c r="R108" s="220">
        <f>+$Q$107*P108</f>
        <v>10949.27</v>
      </c>
    </row>
    <row r="109" spans="12:20" hidden="1" x14ac:dyDescent="0.2">
      <c r="L109">
        <v>2.35</v>
      </c>
      <c r="M109" s="1">
        <v>2.30168E-2</v>
      </c>
      <c r="N109" s="363">
        <v>2.7400000000000001E-2</v>
      </c>
      <c r="O109" s="20">
        <f>ROUND(M109*N109,6)</f>
        <v>6.3100000000000005E-4</v>
      </c>
      <c r="P109" s="364">
        <f>O109/$O$113</f>
        <v>0.153084742</v>
      </c>
      <c r="Q109" s="220" t="s">
        <v>82</v>
      </c>
      <c r="R109" s="220">
        <f>+$Q$107*P109</f>
        <v>20623.849999999999</v>
      </c>
      <c r="S109" s="220" t="s">
        <v>82</v>
      </c>
      <c r="T109" s="220" t="str">
        <f>+S109</f>
        <v xml:space="preserve"> </v>
      </c>
    </row>
    <row r="110" spans="12:20" hidden="1" x14ac:dyDescent="0.2">
      <c r="L110" s="356" t="s">
        <v>685</v>
      </c>
      <c r="M110" s="365">
        <f>+M108+M109+M107</f>
        <v>5.2400000000000002E-2</v>
      </c>
      <c r="N110" s="342">
        <v>2.7400000000000001E-2</v>
      </c>
      <c r="O110" s="343">
        <f>ROUND(M110*N110,6)</f>
        <v>1.436E-3</v>
      </c>
      <c r="P110" s="344">
        <f>SUM(P107:P109)</f>
        <v>0.34838302700000001</v>
      </c>
      <c r="Q110" s="218" t="s">
        <v>82</v>
      </c>
      <c r="R110" s="218">
        <f>+R107+R108+R109</f>
        <v>46934.78</v>
      </c>
      <c r="S110" s="220">
        <f>+P103</f>
        <v>46934.78</v>
      </c>
      <c r="T110" s="220">
        <f>+R110-S110</f>
        <v>0</v>
      </c>
    </row>
    <row r="111" spans="12:20" hidden="1" x14ac:dyDescent="0.2">
      <c r="L111">
        <v>0.09</v>
      </c>
      <c r="M111" s="20">
        <v>8.8200000000000001E-2</v>
      </c>
      <c r="N111" s="366">
        <v>2.7400000000000001E-2</v>
      </c>
      <c r="O111" s="20">
        <f>ROUND(M111*N111,6)-0.0000001</f>
        <v>2.4169E-3</v>
      </c>
      <c r="P111" s="364">
        <f>O111/$O$113</f>
        <v>0.58635580700000001</v>
      </c>
      <c r="Q111" s="220" t="s">
        <v>82</v>
      </c>
      <c r="R111" s="220">
        <f>+$Q$107*P111</f>
        <v>78994.899999999994</v>
      </c>
    </row>
    <row r="112" spans="12:20" hidden="1" x14ac:dyDescent="0.2">
      <c r="L112">
        <v>0.01</v>
      </c>
      <c r="M112">
        <v>9.7999999999999997E-3</v>
      </c>
      <c r="N112" s="363">
        <v>2.7400000000000001E-2</v>
      </c>
      <c r="O112" s="20">
        <f>ROUND(M112*N112,6)</f>
        <v>2.6899999999999998E-4</v>
      </c>
      <c r="P112" s="364">
        <f>O112/$O$113</f>
        <v>6.5261165999999995E-2</v>
      </c>
      <c r="Q112" s="220" t="s">
        <v>82</v>
      </c>
      <c r="R112" s="220">
        <f>+$Q$107*P112+0.01</f>
        <v>8792.11</v>
      </c>
    </row>
    <row r="113" spans="1:19" hidden="1" x14ac:dyDescent="0.2">
      <c r="L113" s="356" t="s">
        <v>686</v>
      </c>
      <c r="M113" s="365">
        <f>+M110+M111+M112</f>
        <v>0.15040000000000001</v>
      </c>
      <c r="N113" s="367">
        <f>+N112</f>
        <v>2.7400000000000001E-2</v>
      </c>
      <c r="O113" s="368">
        <f>+O111+O112+O110</f>
        <v>4.1219000000000004E-3</v>
      </c>
      <c r="P113" s="344">
        <f>+P110+P111+P112</f>
        <v>1</v>
      </c>
      <c r="Q113" s="218" t="s">
        <v>82</v>
      </c>
      <c r="R113" s="218">
        <f>+R110+R111+R112</f>
        <v>134721.79</v>
      </c>
      <c r="S113" s="220">
        <f>+Q107-R113</f>
        <v>0</v>
      </c>
    </row>
    <row r="114" spans="1:19" hidden="1" x14ac:dyDescent="0.2"/>
    <row r="115" spans="1:19" ht="15.75" x14ac:dyDescent="0.25">
      <c r="A115" s="63" t="s">
        <v>430</v>
      </c>
      <c r="B115" s="63"/>
      <c r="D115" s="1"/>
      <c r="E115" s="261"/>
      <c r="F115" s="1"/>
      <c r="G115" s="1"/>
      <c r="H115" s="1"/>
    </row>
    <row r="116" spans="1:19" ht="15.75" x14ac:dyDescent="0.25">
      <c r="A116" s="77" t="str">
        <f>ReportMonth</f>
        <v>DECEMBER 2004</v>
      </c>
      <c r="B116" s="63"/>
      <c r="C116" s="63"/>
      <c r="D116" s="1"/>
      <c r="E116" s="261"/>
      <c r="F116" s="1"/>
      <c r="G116" s="1"/>
      <c r="H116" s="1"/>
    </row>
    <row r="117" spans="1:19" ht="15.75" x14ac:dyDescent="0.25">
      <c r="A117" s="96" t="s">
        <v>113</v>
      </c>
      <c r="B117" s="43"/>
      <c r="C117" s="43"/>
      <c r="D117" s="43"/>
      <c r="E117" s="262"/>
      <c r="F117" s="43"/>
      <c r="G117" s="43"/>
      <c r="H117" s="43"/>
    </row>
    <row r="118" spans="1:19" x14ac:dyDescent="0.2">
      <c r="A118" s="1"/>
      <c r="B118" s="1"/>
      <c r="C118" s="1"/>
      <c r="D118" s="1"/>
      <c r="E118" s="264" t="s">
        <v>73</v>
      </c>
      <c r="F118" s="120" t="s">
        <v>119</v>
      </c>
      <c r="G118" s="120" t="s">
        <v>120</v>
      </c>
      <c r="H118" s="120" t="s">
        <v>121</v>
      </c>
    </row>
    <row r="119" spans="1:19" x14ac:dyDescent="0.2">
      <c r="A119" s="4"/>
      <c r="B119" s="40" t="s">
        <v>128</v>
      </c>
      <c r="C119" s="40" t="s">
        <v>129</v>
      </c>
      <c r="D119" s="40" t="s">
        <v>130</v>
      </c>
      <c r="E119" s="265" t="s">
        <v>131</v>
      </c>
      <c r="F119" s="98" t="s">
        <v>132</v>
      </c>
      <c r="G119" s="98" t="s">
        <v>133</v>
      </c>
      <c r="H119" s="40" t="s">
        <v>235</v>
      </c>
    </row>
    <row r="120" spans="1:19" x14ac:dyDescent="0.2">
      <c r="A120" s="1"/>
      <c r="B120" s="2"/>
      <c r="C120" s="1"/>
      <c r="D120" s="1"/>
      <c r="E120" s="261"/>
      <c r="F120" s="1"/>
      <c r="G120" s="1"/>
      <c r="H120" s="1"/>
    </row>
    <row r="121" spans="1:19" x14ac:dyDescent="0.2">
      <c r="A121" s="216" t="s">
        <v>21</v>
      </c>
      <c r="B121" s="217">
        <f>s3a!K8</f>
        <v>51502.34</v>
      </c>
      <c r="C121" s="217">
        <f>F37</f>
        <v>18907.72</v>
      </c>
      <c r="D121" s="217">
        <f>s3c!G76</f>
        <v>35546.449999999997</v>
      </c>
      <c r="E121" s="269">
        <f>SUM(B121:D121)</f>
        <v>105956.51</v>
      </c>
      <c r="F121" s="217">
        <f>Q10</f>
        <v>267484.34000000003</v>
      </c>
      <c r="G121" s="217">
        <f>+s3c!H76</f>
        <v>29869.84</v>
      </c>
      <c r="H121" s="218">
        <f t="shared" ref="H121:H158" si="11">SUM(E121:G121)</f>
        <v>403310.69</v>
      </c>
    </row>
    <row r="122" spans="1:19" x14ac:dyDescent="0.2">
      <c r="A122" s="155" t="s">
        <v>22</v>
      </c>
      <c r="B122" s="219">
        <f>s3a!K9</f>
        <v>8538.42</v>
      </c>
      <c r="C122" s="219">
        <f>F38</f>
        <v>28846.35</v>
      </c>
      <c r="D122" s="219">
        <f>s3c!G77</f>
        <v>47605.72</v>
      </c>
      <c r="E122" s="270">
        <f>SUM(B122:D122)</f>
        <v>84990.49</v>
      </c>
      <c r="F122" s="219">
        <f>Q11</f>
        <v>60351.29</v>
      </c>
      <c r="G122" s="219">
        <f>+s3c!H77</f>
        <v>4572.37</v>
      </c>
      <c r="H122" s="220">
        <f t="shared" si="11"/>
        <v>149914.15</v>
      </c>
    </row>
    <row r="123" spans="1:19" x14ac:dyDescent="0.2">
      <c r="A123" s="195" t="s">
        <v>378</v>
      </c>
      <c r="B123" s="219">
        <f>s3a!K10</f>
        <v>3078.48</v>
      </c>
      <c r="C123" s="219"/>
      <c r="D123" s="219">
        <f>s3c!G78</f>
        <v>6625.42</v>
      </c>
      <c r="E123" s="270">
        <f>SUM(B123:D123)</f>
        <v>9703.9</v>
      </c>
      <c r="F123" s="219"/>
      <c r="G123" s="219">
        <f>+s3c!H78</f>
        <v>2168</v>
      </c>
      <c r="H123" s="220">
        <f t="shared" si="11"/>
        <v>11871.9</v>
      </c>
    </row>
    <row r="124" spans="1:19" x14ac:dyDescent="0.2">
      <c r="A124" s="215" t="s">
        <v>431</v>
      </c>
      <c r="B124" s="217">
        <f>SUM(B122:B123)</f>
        <v>11616.9</v>
      </c>
      <c r="C124" s="217">
        <f>C122</f>
        <v>28846.35</v>
      </c>
      <c r="D124" s="217">
        <f>s3c!G79</f>
        <v>54231.14</v>
      </c>
      <c r="E124" s="269">
        <f>SUM(E122:E123)</f>
        <v>94694.39</v>
      </c>
      <c r="F124" s="217">
        <f>Q11</f>
        <v>60351.29</v>
      </c>
      <c r="G124" s="217">
        <f>SUM(G122:G123)</f>
        <v>6740.37</v>
      </c>
      <c r="H124" s="218">
        <f t="shared" si="11"/>
        <v>161786.04999999999</v>
      </c>
    </row>
    <row r="125" spans="1:19" x14ac:dyDescent="0.2">
      <c r="A125" s="155" t="s">
        <v>23</v>
      </c>
      <c r="B125" s="219">
        <f>s3a!K12</f>
        <v>535362.47</v>
      </c>
      <c r="C125" s="219">
        <f>F39</f>
        <v>502567.6</v>
      </c>
      <c r="D125" s="219">
        <f>s3c!G80</f>
        <v>575927.55000000005</v>
      </c>
      <c r="E125" s="270">
        <f t="shared" ref="E125:E130" si="12">SUM(B125:D125)</f>
        <v>1613857.62</v>
      </c>
      <c r="F125" s="219">
        <f>Q12</f>
        <v>5425050.25</v>
      </c>
      <c r="G125" s="219">
        <f>+s3c!H80</f>
        <v>261424.12</v>
      </c>
      <c r="H125" s="220">
        <f t="shared" si="11"/>
        <v>7300331.9900000002</v>
      </c>
    </row>
    <row r="126" spans="1:19" x14ac:dyDescent="0.2">
      <c r="A126" s="155" t="s">
        <v>379</v>
      </c>
      <c r="B126" s="219">
        <f>s3a!K13</f>
        <v>10237.17</v>
      </c>
      <c r="C126" s="219"/>
      <c r="D126" s="219">
        <f>s3c!G81</f>
        <v>12868.52</v>
      </c>
      <c r="E126" s="270">
        <f t="shared" si="12"/>
        <v>23105.69</v>
      </c>
      <c r="F126" s="219"/>
      <c r="G126" s="219">
        <f>+s3c!H81</f>
        <v>5578.34</v>
      </c>
      <c r="H126" s="220">
        <f t="shared" si="11"/>
        <v>28684.03</v>
      </c>
    </row>
    <row r="127" spans="1:19" x14ac:dyDescent="0.2">
      <c r="A127" s="155" t="s">
        <v>380</v>
      </c>
      <c r="B127" s="219">
        <f>s3a!K14</f>
        <v>157631.6</v>
      </c>
      <c r="C127" s="219"/>
      <c r="D127" s="219">
        <f>s3c!G82</f>
        <v>86309.77</v>
      </c>
      <c r="E127" s="270">
        <f t="shared" si="12"/>
        <v>243941.37</v>
      </c>
      <c r="F127" s="219"/>
      <c r="G127" s="219">
        <f>+s3c!H82</f>
        <v>81226.820000000007</v>
      </c>
      <c r="H127" s="220">
        <f t="shared" si="11"/>
        <v>325168.19</v>
      </c>
    </row>
    <row r="128" spans="1:19" x14ac:dyDescent="0.2">
      <c r="A128" s="155" t="s">
        <v>381</v>
      </c>
      <c r="B128" s="219">
        <f>s3a!K15</f>
        <v>264808.55</v>
      </c>
      <c r="C128" s="219"/>
      <c r="D128" s="219">
        <f>s3c!G83</f>
        <v>199575.39</v>
      </c>
      <c r="E128" s="270">
        <f t="shared" si="12"/>
        <v>464383.94</v>
      </c>
      <c r="F128" s="219"/>
      <c r="G128" s="219">
        <f>+s3c!H83</f>
        <v>197461.46</v>
      </c>
      <c r="H128" s="220">
        <f t="shared" si="11"/>
        <v>661845.4</v>
      </c>
    </row>
    <row r="129" spans="1:8" x14ac:dyDescent="0.2">
      <c r="A129" s="155" t="s">
        <v>382</v>
      </c>
      <c r="B129" s="219">
        <f>s3a!K16</f>
        <v>7416.73</v>
      </c>
      <c r="C129" s="219"/>
      <c r="D129" s="219">
        <f>s3c!G84</f>
        <v>5574.47</v>
      </c>
      <c r="E129" s="270">
        <f t="shared" si="12"/>
        <v>12991.2</v>
      </c>
      <c r="F129" s="219"/>
      <c r="G129" s="219">
        <f>+s3c!H84</f>
        <v>5190.2700000000004</v>
      </c>
      <c r="H129" s="220">
        <f t="shared" si="11"/>
        <v>18181.47</v>
      </c>
    </row>
    <row r="130" spans="1:8" x14ac:dyDescent="0.2">
      <c r="A130" s="155" t="s">
        <v>383</v>
      </c>
      <c r="B130" s="219">
        <f>s3a!K17</f>
        <v>69153.16</v>
      </c>
      <c r="C130" s="219"/>
      <c r="D130" s="219">
        <f>s3c!G85</f>
        <v>64569.34</v>
      </c>
      <c r="E130" s="270">
        <f t="shared" si="12"/>
        <v>133722.5</v>
      </c>
      <c r="F130" s="219"/>
      <c r="G130" s="219">
        <f>+s3c!H85</f>
        <v>54539.29</v>
      </c>
      <c r="H130" s="220">
        <f t="shared" si="11"/>
        <v>188261.79</v>
      </c>
    </row>
    <row r="131" spans="1:8" x14ac:dyDescent="0.2">
      <c r="A131" s="215" t="s">
        <v>431</v>
      </c>
      <c r="B131" s="217">
        <f>SUM(B125:B130)</f>
        <v>1044609.68</v>
      </c>
      <c r="C131" s="221">
        <f>C125</f>
        <v>502567.6</v>
      </c>
      <c r="D131" s="217">
        <f>s3c!G86</f>
        <v>944825.04</v>
      </c>
      <c r="E131" s="269">
        <f>SUM(E125:E130)</f>
        <v>2492002.3199999998</v>
      </c>
      <c r="F131" s="217">
        <f>Q12</f>
        <v>5425050.25</v>
      </c>
      <c r="G131" s="217">
        <f>SUM(G125:G130)</f>
        <v>605420.30000000005</v>
      </c>
      <c r="H131" s="218">
        <f t="shared" si="11"/>
        <v>8522472.8699999992</v>
      </c>
    </row>
    <row r="132" spans="1:8" x14ac:dyDescent="0.2">
      <c r="A132" s="216" t="s">
        <v>24</v>
      </c>
      <c r="B132" s="217">
        <f>s3a!K19</f>
        <v>34520.400000000001</v>
      </c>
      <c r="C132" s="217">
        <f>F40</f>
        <v>16865.439999999999</v>
      </c>
      <c r="D132" s="217">
        <f>s3c!G87</f>
        <v>31706.99</v>
      </c>
      <c r="E132" s="271">
        <f t="shared" ref="E132:E137" si="13">SUM(B132:D132)</f>
        <v>83092.83</v>
      </c>
      <c r="F132" s="218">
        <f>Q13</f>
        <v>79701.8</v>
      </c>
      <c r="G132" s="217">
        <f>+s3c!H87</f>
        <v>20027.98</v>
      </c>
      <c r="H132" s="218">
        <f t="shared" si="11"/>
        <v>182822.61</v>
      </c>
    </row>
    <row r="133" spans="1:8" x14ac:dyDescent="0.2">
      <c r="A133" s="155" t="s">
        <v>25</v>
      </c>
      <c r="B133" s="219">
        <f>s3a!K20</f>
        <v>20505.36</v>
      </c>
      <c r="C133" s="219">
        <f>F41</f>
        <v>68002.41</v>
      </c>
      <c r="D133" s="219">
        <f>s3c!G88</f>
        <v>99335.19</v>
      </c>
      <c r="E133" s="270">
        <f t="shared" si="13"/>
        <v>187842.96</v>
      </c>
      <c r="F133" s="219">
        <f>Q14</f>
        <v>83420.820000000007</v>
      </c>
      <c r="G133" s="219">
        <f>+s3c!H88</f>
        <v>9724.24</v>
      </c>
      <c r="H133" s="220">
        <f t="shared" si="11"/>
        <v>280988.02</v>
      </c>
    </row>
    <row r="134" spans="1:8" x14ac:dyDescent="0.2">
      <c r="A134" s="155" t="s">
        <v>384</v>
      </c>
      <c r="B134" s="219">
        <f>s3a!K21</f>
        <v>772.47</v>
      </c>
      <c r="C134" s="219"/>
      <c r="D134" s="219">
        <f>s3c!G89</f>
        <v>2282.02</v>
      </c>
      <c r="E134" s="270">
        <f t="shared" si="13"/>
        <v>3054.49</v>
      </c>
      <c r="F134" s="219"/>
      <c r="G134" s="219">
        <f>+s3c!H89</f>
        <v>933.58</v>
      </c>
      <c r="H134" s="220">
        <f t="shared" si="11"/>
        <v>3988.07</v>
      </c>
    </row>
    <row r="135" spans="1:8" x14ac:dyDescent="0.2">
      <c r="A135" s="155" t="s">
        <v>140</v>
      </c>
      <c r="B135" s="219">
        <f>s3a!K22</f>
        <v>11184.41</v>
      </c>
      <c r="C135" s="219"/>
      <c r="D135" s="219">
        <f>s3c!G90</f>
        <v>20304.27</v>
      </c>
      <c r="E135" s="270">
        <f t="shared" si="13"/>
        <v>31488.68</v>
      </c>
      <c r="F135" s="219"/>
      <c r="G135" s="219">
        <f>+s3c!H90</f>
        <v>7465.84</v>
      </c>
      <c r="H135" s="220">
        <f t="shared" si="11"/>
        <v>38954.519999999997</v>
      </c>
    </row>
    <row r="136" spans="1:8" x14ac:dyDescent="0.2">
      <c r="A136" s="155" t="s">
        <v>385</v>
      </c>
      <c r="B136" s="219">
        <f>s3a!K23</f>
        <v>615.04999999999995</v>
      </c>
      <c r="C136" s="219"/>
      <c r="D136" s="219">
        <f>s3c!G91</f>
        <v>1885.71</v>
      </c>
      <c r="E136" s="270">
        <f t="shared" si="13"/>
        <v>2500.7600000000002</v>
      </c>
      <c r="F136" s="219"/>
      <c r="G136" s="219">
        <f>+s3c!H91</f>
        <v>626.79999999999995</v>
      </c>
      <c r="H136" s="220">
        <f t="shared" si="11"/>
        <v>3127.56</v>
      </c>
    </row>
    <row r="137" spans="1:8" x14ac:dyDescent="0.2">
      <c r="A137" s="155" t="s">
        <v>386</v>
      </c>
      <c r="B137" s="219">
        <f>s3a!K24</f>
        <v>3532.88</v>
      </c>
      <c r="C137" s="219"/>
      <c r="D137" s="219">
        <f>s3c!G92</f>
        <v>4037.33</v>
      </c>
      <c r="E137" s="270">
        <f t="shared" si="13"/>
        <v>7570.21</v>
      </c>
      <c r="F137" s="219"/>
      <c r="G137" s="219">
        <f>+s3c!H92</f>
        <v>2160.2199999999998</v>
      </c>
      <c r="H137" s="220">
        <f t="shared" si="11"/>
        <v>9730.43</v>
      </c>
    </row>
    <row r="138" spans="1:8" x14ac:dyDescent="0.2">
      <c r="A138" s="215" t="s">
        <v>431</v>
      </c>
      <c r="B138" s="217">
        <f>SUM(B133:B137)</f>
        <v>36610.17</v>
      </c>
      <c r="C138" s="221">
        <f>C133</f>
        <v>68002.41</v>
      </c>
      <c r="D138" s="217">
        <f>s3c!G93</f>
        <v>127844.52</v>
      </c>
      <c r="E138" s="269">
        <f>SUM(E133:E137)</f>
        <v>232457.1</v>
      </c>
      <c r="F138" s="217">
        <f>Q14</f>
        <v>83420.820000000007</v>
      </c>
      <c r="G138" s="217">
        <f>SUM(G133:G137)</f>
        <v>20910.68</v>
      </c>
      <c r="H138" s="218">
        <f t="shared" si="11"/>
        <v>336788.6</v>
      </c>
    </row>
    <row r="139" spans="1:8" x14ac:dyDescent="0.2">
      <c r="A139" s="216" t="s">
        <v>26</v>
      </c>
      <c r="B139" s="217">
        <f>s3a!K26</f>
        <v>202.26</v>
      </c>
      <c r="C139" s="217">
        <f>F42</f>
        <v>15829.05</v>
      </c>
      <c r="D139" s="217">
        <f>s3c!G94</f>
        <v>29758.6</v>
      </c>
      <c r="E139" s="271">
        <f>SUM(B139:D139)</f>
        <v>45789.91</v>
      </c>
      <c r="F139" s="218">
        <f>Q15</f>
        <v>466.87</v>
      </c>
      <c r="G139" s="217">
        <f>+s3c!H94</f>
        <v>117.3</v>
      </c>
      <c r="H139" s="218">
        <f t="shared" si="11"/>
        <v>46374.080000000002</v>
      </c>
    </row>
    <row r="140" spans="1:8" x14ac:dyDescent="0.2">
      <c r="A140" s="239" t="s">
        <v>27</v>
      </c>
      <c r="B140" s="240">
        <f>s3a!K27</f>
        <v>1897.89</v>
      </c>
      <c r="C140" s="240">
        <f>F43</f>
        <v>20202.86</v>
      </c>
      <c r="D140" s="240">
        <f>s3c!G95</f>
        <v>37981.370000000003</v>
      </c>
      <c r="E140" s="272">
        <f>SUM(B140:D140)</f>
        <v>60082.12</v>
      </c>
      <c r="F140" s="241">
        <f>Q16</f>
        <v>4381.16</v>
      </c>
      <c r="G140" s="240">
        <f>+s3c!H95</f>
        <v>1100.83</v>
      </c>
      <c r="H140" s="241">
        <f t="shared" si="11"/>
        <v>65564.11</v>
      </c>
    </row>
    <row r="141" spans="1:8" x14ac:dyDescent="0.2">
      <c r="A141" s="155" t="s">
        <v>28</v>
      </c>
      <c r="B141" s="219">
        <f>s3a!K28</f>
        <v>9107.4500000000007</v>
      </c>
      <c r="C141" s="219">
        <f>F44</f>
        <v>40822.269999999997</v>
      </c>
      <c r="D141" s="219">
        <f>s3c!G96</f>
        <v>64751.26</v>
      </c>
      <c r="E141" s="273">
        <f>SUM(B141:D141)</f>
        <v>114680.98</v>
      </c>
      <c r="F141" s="220">
        <f>Q17</f>
        <v>60690.17</v>
      </c>
      <c r="G141" s="219">
        <f>+s3c!H96</f>
        <v>3779.52</v>
      </c>
      <c r="H141" s="220">
        <f t="shared" si="11"/>
        <v>179150.67</v>
      </c>
    </row>
    <row r="142" spans="1:8" x14ac:dyDescent="0.2">
      <c r="A142" s="155" t="s">
        <v>387</v>
      </c>
      <c r="B142" s="219">
        <f>s3a!K29</f>
        <v>2576.2600000000002</v>
      </c>
      <c r="C142" s="220"/>
      <c r="D142" s="219">
        <f>s3c!G97</f>
        <v>11994.61</v>
      </c>
      <c r="E142" s="273">
        <f>SUM(B142:D142)</f>
        <v>14570.87</v>
      </c>
      <c r="F142" s="220"/>
      <c r="G142" s="219">
        <f>+s3c!H97</f>
        <v>2998.24</v>
      </c>
      <c r="H142" s="220">
        <f t="shared" si="11"/>
        <v>17569.11</v>
      </c>
    </row>
    <row r="143" spans="1:8" x14ac:dyDescent="0.2">
      <c r="A143" s="215" t="s">
        <v>431</v>
      </c>
      <c r="B143" s="217">
        <f>SUM(B141:B142)</f>
        <v>11683.71</v>
      </c>
      <c r="C143" s="221">
        <f>C141</f>
        <v>40822.269999999997</v>
      </c>
      <c r="D143" s="217">
        <f>s3c!G98</f>
        <v>76745.87</v>
      </c>
      <c r="E143" s="269">
        <f>SUM(E141:E142)</f>
        <v>129251.85</v>
      </c>
      <c r="F143" s="217">
        <f>Q17</f>
        <v>60690.17</v>
      </c>
      <c r="G143" s="217">
        <f>SUM(G141:G142)</f>
        <v>6777.76</v>
      </c>
      <c r="H143" s="218">
        <f t="shared" si="11"/>
        <v>196719.78</v>
      </c>
    </row>
    <row r="144" spans="1:8" x14ac:dyDescent="0.2">
      <c r="A144" s="155" t="s">
        <v>29</v>
      </c>
      <c r="B144" s="219">
        <f>s3a!K31</f>
        <v>3469.85</v>
      </c>
      <c r="C144" s="219">
        <f>F45</f>
        <v>25826.34</v>
      </c>
      <c r="D144" s="219">
        <f>s3c!G99</f>
        <v>48553.51</v>
      </c>
      <c r="E144" s="273">
        <f>SUM(B144:D144)</f>
        <v>77849.7</v>
      </c>
      <c r="F144" s="220">
        <f>Q18</f>
        <v>18204.55</v>
      </c>
      <c r="G144" s="219">
        <f>+s3c!H99</f>
        <v>2032.97</v>
      </c>
      <c r="H144" s="220">
        <f t="shared" si="11"/>
        <v>98087.22</v>
      </c>
    </row>
    <row r="145" spans="1:8" x14ac:dyDescent="0.2">
      <c r="A145" s="214" t="s">
        <v>388</v>
      </c>
      <c r="B145" s="219">
        <f>s3a!K32</f>
        <v>35.049999999999997</v>
      </c>
      <c r="C145" s="220"/>
      <c r="D145" s="220"/>
      <c r="E145" s="273">
        <f>SUM(B145:D145)</f>
        <v>35.049999999999997</v>
      </c>
      <c r="F145" s="220"/>
      <c r="G145" s="220"/>
      <c r="H145" s="220">
        <f t="shared" si="11"/>
        <v>35.049999999999997</v>
      </c>
    </row>
    <row r="146" spans="1:8" x14ac:dyDescent="0.2">
      <c r="A146" s="215" t="s">
        <v>431</v>
      </c>
      <c r="B146" s="217">
        <f>SUM(B144:B145)</f>
        <v>3504.9</v>
      </c>
      <c r="C146" s="221">
        <f>C144</f>
        <v>25826.34</v>
      </c>
      <c r="D146" s="217">
        <f>s3c!G99</f>
        <v>48553.51</v>
      </c>
      <c r="E146" s="269">
        <f>SUM(E144:E145)</f>
        <v>77884.75</v>
      </c>
      <c r="F146" s="217">
        <f>Q18</f>
        <v>18204.55</v>
      </c>
      <c r="G146" s="217">
        <f>SUM(G144:G145)</f>
        <v>2032.97</v>
      </c>
      <c r="H146" s="218">
        <f t="shared" si="11"/>
        <v>98122.27</v>
      </c>
    </row>
    <row r="147" spans="1:8" x14ac:dyDescent="0.2">
      <c r="A147" s="155" t="s">
        <v>30</v>
      </c>
      <c r="B147" s="219">
        <f>s3a!K34</f>
        <v>3411.44</v>
      </c>
      <c r="C147" s="219">
        <f>F46</f>
        <v>44987.81</v>
      </c>
      <c r="D147" s="219">
        <f>s3c!G100</f>
        <v>77393.100000000006</v>
      </c>
      <c r="E147" s="273">
        <f>SUM(B147:D147)</f>
        <v>125792.35</v>
      </c>
      <c r="F147" s="220">
        <f>Q19</f>
        <v>8586.68</v>
      </c>
      <c r="G147" s="219">
        <f>+s3c!H100</f>
        <v>1476.12</v>
      </c>
      <c r="H147" s="220">
        <f t="shared" si="11"/>
        <v>135855.15</v>
      </c>
    </row>
    <row r="148" spans="1:8" x14ac:dyDescent="0.2">
      <c r="A148" s="155" t="s">
        <v>389</v>
      </c>
      <c r="B148" s="219">
        <f>s3a!K35</f>
        <v>308.37</v>
      </c>
      <c r="C148" s="220"/>
      <c r="D148" s="219">
        <f>s3c!G101</f>
        <v>7183.98</v>
      </c>
      <c r="E148" s="273">
        <f>SUM(B148:D148)</f>
        <v>7492.35</v>
      </c>
      <c r="F148" s="220"/>
      <c r="G148" s="219">
        <f>+s3c!H101</f>
        <v>681.38</v>
      </c>
      <c r="H148" s="220">
        <f t="shared" si="11"/>
        <v>8173.73</v>
      </c>
    </row>
    <row r="149" spans="1:8" x14ac:dyDescent="0.2">
      <c r="A149" s="215" t="s">
        <v>431</v>
      </c>
      <c r="B149" s="217">
        <f>SUM(B147:B148)</f>
        <v>3719.81</v>
      </c>
      <c r="C149" s="221">
        <f>C147</f>
        <v>44987.81</v>
      </c>
      <c r="D149" s="217">
        <f>s3c!G102</f>
        <v>84577.08</v>
      </c>
      <c r="E149" s="269">
        <f>SUM(E147:E148)</f>
        <v>133284.70000000001</v>
      </c>
      <c r="F149" s="217">
        <f>Q19</f>
        <v>8586.68</v>
      </c>
      <c r="G149" s="217">
        <f>SUM(G147:G148)</f>
        <v>2157.5</v>
      </c>
      <c r="H149" s="218">
        <f t="shared" si="11"/>
        <v>144028.88</v>
      </c>
    </row>
    <row r="150" spans="1:8" x14ac:dyDescent="0.2">
      <c r="A150" s="155" t="s">
        <v>31</v>
      </c>
      <c r="B150" s="219">
        <f>s3a!K37</f>
        <v>15225.73</v>
      </c>
      <c r="C150" s="219">
        <f>F47</f>
        <v>20959.669999999998</v>
      </c>
      <c r="D150" s="219">
        <f>s3c!G103</f>
        <v>32063.5</v>
      </c>
      <c r="E150" s="273">
        <f>SUM(B150:D150)</f>
        <v>68248.899999999994</v>
      </c>
      <c r="F150" s="220">
        <f>Q20</f>
        <v>128369.94</v>
      </c>
      <c r="G150" s="219">
        <f>+s3c!H103</f>
        <v>9254.2800000000007</v>
      </c>
      <c r="H150" s="220">
        <f t="shared" si="11"/>
        <v>205873.12</v>
      </c>
    </row>
    <row r="151" spans="1:8" x14ac:dyDescent="0.2">
      <c r="A151" s="155" t="s">
        <v>390</v>
      </c>
      <c r="B151" s="219">
        <f>s3a!K39</f>
        <v>1141.74</v>
      </c>
      <c r="C151" s="220"/>
      <c r="D151" s="219">
        <f>s3c!G105</f>
        <v>1905.58</v>
      </c>
      <c r="E151" s="273">
        <f>SUM(B151:D151)</f>
        <v>3047.32</v>
      </c>
      <c r="F151" s="220"/>
      <c r="G151" s="219">
        <f>+s3c!H105</f>
        <v>1008.71</v>
      </c>
      <c r="H151" s="220">
        <f>SUM(E151:G151)</f>
        <v>4056.03</v>
      </c>
    </row>
    <row r="152" spans="1:8" x14ac:dyDescent="0.2">
      <c r="A152" s="155" t="s">
        <v>391</v>
      </c>
      <c r="B152" s="219">
        <f>s3a!K38</f>
        <v>8345.61</v>
      </c>
      <c r="C152" s="220"/>
      <c r="D152" s="219">
        <f>s3c!G104</f>
        <v>5435.01</v>
      </c>
      <c r="E152" s="273">
        <f>SUM(B152:D152)</f>
        <v>13780.62</v>
      </c>
      <c r="F152" s="220"/>
      <c r="G152" s="219">
        <f>+s3c!H104</f>
        <v>4073.08</v>
      </c>
      <c r="H152" s="220">
        <f>SUM(E152:G152)</f>
        <v>17853.7</v>
      </c>
    </row>
    <row r="153" spans="1:8" x14ac:dyDescent="0.2">
      <c r="A153" s="215" t="s">
        <v>431</v>
      </c>
      <c r="B153" s="217">
        <f>SUM(B150:B152)</f>
        <v>24713.08</v>
      </c>
      <c r="C153" s="221">
        <f>C150</f>
        <v>20959.669999999998</v>
      </c>
      <c r="D153" s="217">
        <f>s3c!G106</f>
        <v>39404.089999999997</v>
      </c>
      <c r="E153" s="269">
        <f>SUM(E150:E152)</f>
        <v>85076.84</v>
      </c>
      <c r="F153" s="217">
        <f>Q20</f>
        <v>128369.94</v>
      </c>
      <c r="G153" s="217">
        <f>SUM(G150:G152)</f>
        <v>14336.07</v>
      </c>
      <c r="H153" s="218">
        <f t="shared" si="11"/>
        <v>227782.85</v>
      </c>
    </row>
    <row r="154" spans="1:8" x14ac:dyDescent="0.2">
      <c r="A154" s="216" t="s">
        <v>32</v>
      </c>
      <c r="B154" s="217">
        <f>s3a!K41</f>
        <v>3390.63</v>
      </c>
      <c r="C154" s="217">
        <f>F48</f>
        <v>14579.38</v>
      </c>
      <c r="D154" s="217">
        <f>s3c!G107</f>
        <v>27409.24</v>
      </c>
      <c r="E154" s="271">
        <f>SUM(B154:D154)</f>
        <v>45379.25</v>
      </c>
      <c r="F154" s="218">
        <f>Q21</f>
        <v>17641.29</v>
      </c>
      <c r="G154" s="217">
        <f>+s3c!H107</f>
        <v>1971.79</v>
      </c>
      <c r="H154" s="218">
        <f t="shared" si="11"/>
        <v>64992.33</v>
      </c>
    </row>
    <row r="155" spans="1:8" x14ac:dyDescent="0.2">
      <c r="A155" s="155" t="s">
        <v>33</v>
      </c>
      <c r="B155" s="219">
        <f>s3a!K42</f>
        <v>5169</v>
      </c>
      <c r="C155" s="219">
        <f>F49</f>
        <v>70501.73</v>
      </c>
      <c r="D155" s="219">
        <f>s3c!G108</f>
        <v>132543.25</v>
      </c>
      <c r="E155" s="273">
        <f>SUM(B155:D155)</f>
        <v>208213.98</v>
      </c>
      <c r="F155" s="220">
        <f>Q22</f>
        <v>67337.42</v>
      </c>
      <c r="G155" s="219">
        <f>+s3c!H108</f>
        <v>16919.47</v>
      </c>
      <c r="H155" s="220">
        <f t="shared" si="11"/>
        <v>292470.87</v>
      </c>
    </row>
    <row r="156" spans="1:8" x14ac:dyDescent="0.2">
      <c r="A156" s="214" t="s">
        <v>392</v>
      </c>
      <c r="B156" s="219">
        <f>s3a!K43</f>
        <v>19007.46</v>
      </c>
      <c r="C156" s="220"/>
      <c r="D156" s="220"/>
      <c r="E156" s="273">
        <f>SUM(B156:D156)</f>
        <v>19007.46</v>
      </c>
      <c r="F156" s="220"/>
      <c r="G156" s="220"/>
      <c r="H156" s="220">
        <f t="shared" si="11"/>
        <v>19007.46</v>
      </c>
    </row>
    <row r="157" spans="1:8" x14ac:dyDescent="0.2">
      <c r="A157" s="214" t="s">
        <v>393</v>
      </c>
      <c r="B157" s="219">
        <f>s3a!K44</f>
        <v>4258.88</v>
      </c>
      <c r="C157" s="220"/>
      <c r="D157" s="220"/>
      <c r="E157" s="273">
        <f>SUM(B157:D157)</f>
        <v>4258.88</v>
      </c>
      <c r="F157" s="220"/>
      <c r="G157" s="220"/>
      <c r="H157" s="220">
        <f t="shared" si="11"/>
        <v>4258.88</v>
      </c>
    </row>
    <row r="158" spans="1:8" x14ac:dyDescent="0.2">
      <c r="A158" s="214" t="s">
        <v>394</v>
      </c>
      <c r="B158" s="219">
        <f>s3a!K45</f>
        <v>735.1</v>
      </c>
      <c r="C158" s="220"/>
      <c r="D158" s="220"/>
      <c r="E158" s="273">
        <f>SUM(B158:D158)</f>
        <v>735.1</v>
      </c>
      <c r="F158" s="220"/>
      <c r="G158" s="220"/>
      <c r="H158" s="220">
        <f t="shared" si="11"/>
        <v>735.1</v>
      </c>
    </row>
    <row r="159" spans="1:8" x14ac:dyDescent="0.2">
      <c r="A159" s="215" t="s">
        <v>431</v>
      </c>
      <c r="B159" s="217">
        <f>SUM(B155:B158)</f>
        <v>29170.44</v>
      </c>
      <c r="C159" s="221">
        <f>C155</f>
        <v>70501.73</v>
      </c>
      <c r="D159" s="217">
        <f>s3c!G108</f>
        <v>132543.25</v>
      </c>
      <c r="E159" s="269">
        <f>SUM(E155:E158)</f>
        <v>232215.42</v>
      </c>
      <c r="F159" s="217">
        <f>Q22</f>
        <v>67337.42</v>
      </c>
      <c r="G159" s="217">
        <f>SUM(G155:G158)</f>
        <v>16919.47</v>
      </c>
      <c r="H159" s="218">
        <f t="shared" ref="H159:H167" si="14">SUM(E159:G159)</f>
        <v>316472.31</v>
      </c>
    </row>
    <row r="160" spans="1:8" x14ac:dyDescent="0.2">
      <c r="A160" s="155" t="s">
        <v>34</v>
      </c>
      <c r="B160" s="219">
        <f>s3a!K47</f>
        <v>2330.9499999999998</v>
      </c>
      <c r="C160" s="219">
        <f>F50</f>
        <v>31914.69</v>
      </c>
      <c r="D160" s="219">
        <f>s3c!G109</f>
        <v>53709.15</v>
      </c>
      <c r="E160" s="273">
        <f>SUM(B160:D160)</f>
        <v>87954.79</v>
      </c>
      <c r="F160" s="220">
        <f>Q23</f>
        <v>13694.69</v>
      </c>
      <c r="G160" s="219">
        <f>+s3c!H109</f>
        <v>1001.54</v>
      </c>
      <c r="H160" s="220">
        <f t="shared" si="14"/>
        <v>102651.02</v>
      </c>
    </row>
    <row r="161" spans="1:8" x14ac:dyDescent="0.2">
      <c r="A161" s="155" t="s">
        <v>395</v>
      </c>
      <c r="B161" s="219">
        <f>s3a!K48</f>
        <v>304.98</v>
      </c>
      <c r="C161" s="220"/>
      <c r="D161" s="219">
        <f>s3c!G110</f>
        <v>6290.35</v>
      </c>
      <c r="E161" s="273">
        <f>SUM(B161:D161)</f>
        <v>6595.33</v>
      </c>
      <c r="F161" s="220"/>
      <c r="G161" s="219">
        <f>+s3c!H110</f>
        <v>528</v>
      </c>
      <c r="H161" s="220">
        <f t="shared" si="14"/>
        <v>7123.33</v>
      </c>
    </row>
    <row r="162" spans="1:8" x14ac:dyDescent="0.2">
      <c r="A162" s="215" t="s">
        <v>431</v>
      </c>
      <c r="B162" s="217">
        <f>SUM(B160:B161)</f>
        <v>2635.93</v>
      </c>
      <c r="C162" s="221">
        <f>C160</f>
        <v>31914.69</v>
      </c>
      <c r="D162" s="217">
        <f>s3c!G111</f>
        <v>59999.5</v>
      </c>
      <c r="E162" s="269">
        <f>SUM(E160:E161)</f>
        <v>94550.12</v>
      </c>
      <c r="F162" s="217">
        <f>Q23</f>
        <v>13694.69</v>
      </c>
      <c r="G162" s="217">
        <f>SUM(G160:G161)</f>
        <v>1529.54</v>
      </c>
      <c r="H162" s="218">
        <f t="shared" si="14"/>
        <v>109774.35</v>
      </c>
    </row>
    <row r="163" spans="1:8" x14ac:dyDescent="0.2">
      <c r="A163" s="216" t="s">
        <v>35</v>
      </c>
      <c r="B163" s="217">
        <f>s3a!K50</f>
        <v>496.85</v>
      </c>
      <c r="C163" s="217">
        <f>F51</f>
        <v>2291.0500000000002</v>
      </c>
      <c r="D163" s="217">
        <f>s3c!G112</f>
        <v>4307.17</v>
      </c>
      <c r="E163" s="271">
        <f>SUM(B163:D163)</f>
        <v>7095.07</v>
      </c>
      <c r="F163" s="218">
        <f>Q24</f>
        <v>1146.8800000000001</v>
      </c>
      <c r="G163" s="217">
        <f>+s3c!H112</f>
        <v>288.16000000000003</v>
      </c>
      <c r="H163" s="218">
        <f t="shared" si="14"/>
        <v>8530.11</v>
      </c>
    </row>
    <row r="164" spans="1:8" x14ac:dyDescent="0.2">
      <c r="A164" s="155" t="s">
        <v>36</v>
      </c>
      <c r="B164" s="219">
        <f>s3a!K51</f>
        <v>101944.39</v>
      </c>
      <c r="C164" s="219">
        <f>F52</f>
        <v>136254.66</v>
      </c>
      <c r="D164" s="219">
        <f>s3c!G113</f>
        <v>146673.72</v>
      </c>
      <c r="E164" s="273">
        <f>SUM(B164:D164)</f>
        <v>384872.77</v>
      </c>
      <c r="F164" s="220">
        <f>Q25</f>
        <v>1398396.43</v>
      </c>
      <c r="G164" s="219">
        <f>+s3c!H113</f>
        <v>41450.78</v>
      </c>
      <c r="H164" s="220">
        <f t="shared" si="14"/>
        <v>1824719.98</v>
      </c>
    </row>
    <row r="165" spans="1:8" x14ac:dyDescent="0.2">
      <c r="A165" s="155" t="s">
        <v>396</v>
      </c>
      <c r="B165" s="219">
        <f>s3a!K52</f>
        <v>124811.18</v>
      </c>
      <c r="C165" s="220"/>
      <c r="D165" s="219">
        <f>s3c!G114</f>
        <v>78830.179999999993</v>
      </c>
      <c r="E165" s="273">
        <f>SUM(B165:D165)</f>
        <v>203641.36</v>
      </c>
      <c r="F165" s="220"/>
      <c r="G165" s="219">
        <f>+s3c!H114</f>
        <v>81891.210000000006</v>
      </c>
      <c r="H165" s="220">
        <f t="shared" si="14"/>
        <v>285532.57</v>
      </c>
    </row>
    <row r="166" spans="1:8" x14ac:dyDescent="0.2">
      <c r="A166" s="155" t="s">
        <v>397</v>
      </c>
      <c r="B166" s="219">
        <f>s3a!K53</f>
        <v>42582.32</v>
      </c>
      <c r="C166" s="220"/>
      <c r="D166" s="219">
        <f>s3c!G115</f>
        <v>30654.47</v>
      </c>
      <c r="E166" s="273">
        <f>SUM(B166:D166)</f>
        <v>73236.789999999994</v>
      </c>
      <c r="F166" s="220"/>
      <c r="G166" s="219">
        <f>+s3c!H115</f>
        <v>32816.76</v>
      </c>
      <c r="H166" s="220">
        <f t="shared" si="14"/>
        <v>106053.55</v>
      </c>
    </row>
    <row r="167" spans="1:8" x14ac:dyDescent="0.2">
      <c r="A167" s="215" t="s">
        <v>431</v>
      </c>
      <c r="B167" s="217">
        <f>SUM(B164:B166)</f>
        <v>269337.89</v>
      </c>
      <c r="C167" s="221">
        <f>C164</f>
        <v>136254.66</v>
      </c>
      <c r="D167" s="217">
        <f>s3c!G116</f>
        <v>256158.37</v>
      </c>
      <c r="E167" s="269">
        <f>SUM(E164:E166)</f>
        <v>661750.92000000004</v>
      </c>
      <c r="F167" s="217">
        <f>Q25</f>
        <v>1398396.43</v>
      </c>
      <c r="G167" s="217">
        <f>SUM(G164:G166)</f>
        <v>156158.75</v>
      </c>
      <c r="H167" s="218">
        <f t="shared" si="14"/>
        <v>2216306.1</v>
      </c>
    </row>
    <row r="168" spans="1:8" x14ac:dyDescent="0.2">
      <c r="A168" s="155" t="s">
        <v>37</v>
      </c>
      <c r="B168" s="219">
        <f>s3a!K55</f>
        <v>7575.72</v>
      </c>
      <c r="C168" s="219">
        <f>F53</f>
        <v>41967.8</v>
      </c>
      <c r="D168" s="219">
        <f>s3c!G117</f>
        <v>68634.63</v>
      </c>
      <c r="E168" s="273">
        <f>SUM(B168:D168)</f>
        <v>118178.15</v>
      </c>
      <c r="F168" s="220">
        <f>Q26</f>
        <v>62148.99</v>
      </c>
      <c r="G168" s="219">
        <f>+s3c!H117</f>
        <v>3934.9</v>
      </c>
      <c r="H168" s="220">
        <f>SUM(E168:G168)</f>
        <v>184262.04</v>
      </c>
    </row>
    <row r="169" spans="1:8" x14ac:dyDescent="0.2">
      <c r="A169" s="155" t="s">
        <v>398</v>
      </c>
      <c r="B169" s="219">
        <f>s3a!K56</f>
        <v>4668.8500000000004</v>
      </c>
      <c r="C169" s="220"/>
      <c r="D169" s="219">
        <f>s3c!G118</f>
        <v>10264.82</v>
      </c>
      <c r="E169" s="273">
        <f>SUM(B169:D169)</f>
        <v>14933.67</v>
      </c>
      <c r="F169" s="220"/>
      <c r="G169" s="219">
        <f>+s3c!H118</f>
        <v>3005.53</v>
      </c>
      <c r="H169" s="220">
        <f>SUM(E169:G169)</f>
        <v>17939.2</v>
      </c>
    </row>
    <row r="170" spans="1:8" x14ac:dyDescent="0.2">
      <c r="A170" s="215" t="s">
        <v>431</v>
      </c>
      <c r="B170" s="217">
        <f>SUM(B168:B169)</f>
        <v>12244.57</v>
      </c>
      <c r="C170" s="221">
        <f>C168</f>
        <v>41967.8</v>
      </c>
      <c r="D170" s="217">
        <f>s3c!G120</f>
        <v>78899.45</v>
      </c>
      <c r="E170" s="269">
        <f>SUM(E168:E169)</f>
        <v>133111.82</v>
      </c>
      <c r="F170" s="217">
        <f>Q26</f>
        <v>62148.99</v>
      </c>
      <c r="G170" s="217">
        <f>SUM(G168:G169)</f>
        <v>6940.43</v>
      </c>
      <c r="H170" s="218">
        <f>SUM(E170:G170)</f>
        <v>202201.24</v>
      </c>
    </row>
    <row r="171" spans="1:8" x14ac:dyDescent="0.2">
      <c r="E171" s="263"/>
    </row>
    <row r="172" spans="1:8" ht="13.5" thickBot="1" x14ac:dyDescent="0.25">
      <c r="A172" s="234" t="s">
        <v>250</v>
      </c>
      <c r="B172" s="235">
        <f t="shared" ref="B172:H172" si="15">SUM(B170,B167,B163,B162,B159,B154,B153,B149,B146,B143,B138,B140,B139,B131,B124,B121,B132)</f>
        <v>1541857.45</v>
      </c>
      <c r="C172" s="235">
        <f t="shared" si="15"/>
        <v>1101326.83</v>
      </c>
      <c r="D172" s="235">
        <f t="shared" si="15"/>
        <v>2070491.64</v>
      </c>
      <c r="E172" s="274">
        <f t="shared" si="15"/>
        <v>4713675.92</v>
      </c>
      <c r="F172" s="235">
        <f t="shared" si="15"/>
        <v>7697073.5700000003</v>
      </c>
      <c r="G172" s="235">
        <f t="shared" si="15"/>
        <v>893299.74</v>
      </c>
      <c r="H172" s="235">
        <f t="shared" si="15"/>
        <v>13304049.23</v>
      </c>
    </row>
    <row r="173" spans="1:8" ht="13.5" thickTop="1" x14ac:dyDescent="0.2">
      <c r="E173" s="263"/>
      <c r="H173" s="220">
        <f>SUM(E172:G172)</f>
        <v>13304049.23</v>
      </c>
    </row>
    <row r="174" spans="1:8" x14ac:dyDescent="0.2">
      <c r="A174" s="155" t="s">
        <v>676</v>
      </c>
      <c r="B174" s="220">
        <f>+M100</f>
        <v>5814.39</v>
      </c>
      <c r="C174" s="220">
        <f>+N100</f>
        <v>10949.27</v>
      </c>
      <c r="D174" s="220">
        <f>+O100</f>
        <v>11809.01</v>
      </c>
      <c r="E174" s="273">
        <f>SUM(B174:D174)</f>
        <v>28572.67</v>
      </c>
      <c r="F174" s="220">
        <f>+Q100</f>
        <v>78994.899999999994</v>
      </c>
      <c r="G174" s="220">
        <f>+R100</f>
        <v>2333.7800000000002</v>
      </c>
      <c r="H174" s="220">
        <f>+S100</f>
        <v>109901.35</v>
      </c>
    </row>
    <row r="175" spans="1:8" x14ac:dyDescent="0.2">
      <c r="A175" s="155" t="s">
        <v>677</v>
      </c>
      <c r="B175" s="220">
        <f>+M101</f>
        <v>7118.59</v>
      </c>
      <c r="C175" s="220"/>
      <c r="D175" s="220">
        <f>+O101+T110</f>
        <v>6346.78</v>
      </c>
      <c r="E175" s="273">
        <f>SUM(B175:D175)</f>
        <v>13465.37</v>
      </c>
      <c r="F175" s="220"/>
      <c r="G175" s="220">
        <f>+R101</f>
        <v>4610.67</v>
      </c>
      <c r="H175" s="220">
        <f>+S101</f>
        <v>18076.04</v>
      </c>
    </row>
    <row r="176" spans="1:8" x14ac:dyDescent="0.2">
      <c r="A176" s="155" t="s">
        <v>678</v>
      </c>
      <c r="B176" s="220">
        <f>+M102</f>
        <v>2428.6799999999998</v>
      </c>
      <c r="C176" s="220"/>
      <c r="D176" s="220">
        <f>+O102</f>
        <v>2468.06</v>
      </c>
      <c r="E176" s="273">
        <f>SUM(B176:D176)</f>
        <v>4896.74</v>
      </c>
      <c r="F176" s="220"/>
      <c r="G176" s="220">
        <f>+R102</f>
        <v>1847.66</v>
      </c>
      <c r="H176" s="220">
        <f>+S102</f>
        <v>6744.4</v>
      </c>
    </row>
    <row r="177" spans="1:8" x14ac:dyDescent="0.2">
      <c r="A177" s="359" t="s">
        <v>679</v>
      </c>
      <c r="B177" s="217">
        <f t="shared" ref="B177:H177" si="16">SUM(B174:B176)</f>
        <v>15361.66</v>
      </c>
      <c r="C177" s="217">
        <f t="shared" si="16"/>
        <v>10949.27</v>
      </c>
      <c r="D177" s="217">
        <f t="shared" si="16"/>
        <v>20623.849999999999</v>
      </c>
      <c r="E177" s="269">
        <f t="shared" si="16"/>
        <v>46934.78</v>
      </c>
      <c r="F177" s="217">
        <f t="shared" si="16"/>
        <v>78994.899999999994</v>
      </c>
      <c r="G177" s="217">
        <f t="shared" si="16"/>
        <v>8792.11</v>
      </c>
      <c r="H177" s="217">
        <f t="shared" si="16"/>
        <v>134721.79</v>
      </c>
    </row>
    <row r="178" spans="1:8" ht="13.5" thickBot="1" x14ac:dyDescent="0.25">
      <c r="A178" s="204" t="s">
        <v>688</v>
      </c>
      <c r="B178" s="372">
        <f>+B172+B177</f>
        <v>1557219.11</v>
      </c>
      <c r="C178" s="372">
        <f t="shared" ref="C178:H178" si="17">+C172+C177</f>
        <v>1112276.1000000001</v>
      </c>
      <c r="D178" s="372">
        <f t="shared" si="17"/>
        <v>2091115.49</v>
      </c>
      <c r="E178" s="373">
        <f t="shared" si="17"/>
        <v>4760610.7</v>
      </c>
      <c r="F178" s="372">
        <f t="shared" si="17"/>
        <v>7776068.4699999997</v>
      </c>
      <c r="G178" s="372">
        <f t="shared" si="17"/>
        <v>902091.85</v>
      </c>
      <c r="H178" s="372">
        <f t="shared" si="17"/>
        <v>13438771.02</v>
      </c>
    </row>
    <row r="179" spans="1:8" ht="13.5" thickTop="1" x14ac:dyDescent="0.2">
      <c r="E179" s="263"/>
    </row>
  </sheetData>
  <mergeCells count="1">
    <mergeCell ref="L97:S97"/>
  </mergeCells>
  <phoneticPr fontId="0" type="noConversion"/>
  <printOptions horizontalCentered="1"/>
  <pageMargins left="0.49" right="0.54" top="0.88" bottom="0.77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159"/>
  <sheetViews>
    <sheetView zoomScale="75" zoomScaleNormal="75" zoomScaleSheetLayoutView="75" workbookViewId="0">
      <selection activeCell="A5" sqref="A5"/>
    </sheetView>
  </sheetViews>
  <sheetFormatPr defaultRowHeight="12.75" x14ac:dyDescent="0.2"/>
  <cols>
    <col min="1" max="1" width="20.42578125" customWidth="1"/>
    <col min="2" max="2" width="14.85546875" bestFit="1" customWidth="1"/>
    <col min="3" max="3" width="14.42578125" bestFit="1" customWidth="1"/>
    <col min="4" max="7" width="14.42578125" customWidth="1"/>
    <col min="8" max="8" width="16.7109375" style="143" customWidth="1"/>
    <col min="9" max="9" width="18.42578125" style="144" bestFit="1" customWidth="1"/>
    <col min="10" max="10" width="18.42578125" style="144" customWidth="1"/>
    <col min="11" max="11" width="15.5703125" style="151" bestFit="1" customWidth="1"/>
    <col min="13" max="13" width="11.28515625" hidden="1" customWidth="1"/>
    <col min="14" max="14" width="10.140625" hidden="1" customWidth="1"/>
    <col min="15" max="15" width="9.28515625" hidden="1" customWidth="1"/>
    <col min="16" max="16" width="0" hidden="1" customWidth="1"/>
  </cols>
  <sheetData>
    <row r="1" spans="1:15" ht="15.75" x14ac:dyDescent="0.25">
      <c r="A1" s="63" t="s">
        <v>428</v>
      </c>
      <c r="B1" s="62"/>
      <c r="C1" s="62"/>
      <c r="E1" s="62"/>
      <c r="F1" s="62"/>
      <c r="G1" s="1"/>
      <c r="H1" s="1"/>
      <c r="I1" s="1"/>
      <c r="J1" s="1"/>
    </row>
    <row r="2" spans="1:15" ht="15.75" x14ac:dyDescent="0.25">
      <c r="A2" s="113" t="str">
        <f>ReportMonth</f>
        <v>DECEMBER 2004</v>
      </c>
      <c r="D2" s="62"/>
      <c r="E2" s="62"/>
      <c r="F2" s="62"/>
      <c r="G2" s="1"/>
      <c r="H2" s="1"/>
      <c r="I2" s="1"/>
      <c r="J2" s="1"/>
    </row>
    <row r="3" spans="1:15" ht="15" x14ac:dyDescent="0.2">
      <c r="A3" s="69"/>
    </row>
    <row r="4" spans="1:15" ht="15.75" x14ac:dyDescent="0.25">
      <c r="A4" s="409" t="s">
        <v>426</v>
      </c>
      <c r="B4" s="409"/>
      <c r="C4" s="409"/>
      <c r="D4" s="409"/>
      <c r="E4" s="409"/>
      <c r="F4" s="409"/>
      <c r="G4" s="409"/>
      <c r="H4" s="409"/>
      <c r="I4" s="409"/>
      <c r="J4" s="409"/>
      <c r="K4" s="409"/>
    </row>
    <row r="7" spans="1:15" s="89" customFormat="1" ht="30.75" customHeight="1" thickBot="1" x14ac:dyDescent="0.25">
      <c r="A7" s="194" t="s">
        <v>373</v>
      </c>
      <c r="B7" s="194" t="s">
        <v>374</v>
      </c>
      <c r="C7" s="194" t="s">
        <v>375</v>
      </c>
      <c r="D7" s="208" t="s">
        <v>5</v>
      </c>
      <c r="E7" s="206" t="s">
        <v>417</v>
      </c>
      <c r="F7" s="207" t="s">
        <v>418</v>
      </c>
      <c r="G7" s="208" t="s">
        <v>419</v>
      </c>
      <c r="H7" s="187" t="s">
        <v>421</v>
      </c>
      <c r="I7" s="188" t="s">
        <v>377</v>
      </c>
      <c r="J7" s="188" t="s">
        <v>687</v>
      </c>
      <c r="K7" s="222" t="s">
        <v>420</v>
      </c>
      <c r="L7" s="195"/>
      <c r="M7" s="195"/>
      <c r="N7" s="195"/>
      <c r="O7" s="195"/>
    </row>
    <row r="8" spans="1:15" x14ac:dyDescent="0.2">
      <c r="A8" s="155" t="s">
        <v>21</v>
      </c>
      <c r="B8" s="155"/>
      <c r="C8" s="155"/>
      <c r="D8" s="203">
        <f>'s3, s3b, s3d'!B10</f>
        <v>3047942</v>
      </c>
      <c r="E8" s="236">
        <f>D8/$D$58</f>
        <v>3.3329086000000001E-2</v>
      </c>
      <c r="F8" s="223">
        <f>'s3, s3b, s3d'!D10</f>
        <v>51502.34</v>
      </c>
      <c r="G8" s="223">
        <f>'s3, s3b, s3d'!E10</f>
        <v>0</v>
      </c>
      <c r="H8" s="224">
        <f>'s3, s3b, s3d'!F10</f>
        <v>51502.34</v>
      </c>
      <c r="I8" s="196">
        <v>1</v>
      </c>
      <c r="J8" s="196"/>
      <c r="K8" s="225">
        <f>$H$8*I8</f>
        <v>51502.34</v>
      </c>
      <c r="L8" s="155"/>
      <c r="M8" s="199"/>
      <c r="N8" s="155"/>
      <c r="O8" s="155"/>
    </row>
    <row r="9" spans="1:15" ht="26.25" customHeight="1" x14ac:dyDescent="0.2">
      <c r="A9" s="155" t="s">
        <v>22</v>
      </c>
      <c r="B9" s="155"/>
      <c r="C9" s="155"/>
      <c r="D9" s="203">
        <f>'s3, s3b, s3d'!B11</f>
        <v>707781</v>
      </c>
      <c r="E9" s="236">
        <f>D9/$D$58</f>
        <v>7.7395479999999997E-3</v>
      </c>
      <c r="F9" s="223">
        <f>'s3, s3b, s3d'!D11</f>
        <v>11959.67</v>
      </c>
      <c r="G9" s="223">
        <f>'s3, s3b, s3d'!E11</f>
        <v>342.77</v>
      </c>
      <c r="H9" s="224">
        <f>'s3, s3b, s3d'!$F11</f>
        <v>11616.9</v>
      </c>
      <c r="I9" s="197">
        <v>0.73499999999999999</v>
      </c>
      <c r="J9" s="197"/>
      <c r="K9" s="225">
        <f>$H$9*I9+O11</f>
        <v>8538.42</v>
      </c>
      <c r="L9" s="155"/>
      <c r="M9" s="199">
        <f>$H$9*I9</f>
        <v>8538.42</v>
      </c>
      <c r="N9" s="155"/>
      <c r="O9" s="155"/>
    </row>
    <row r="10" spans="1:15" s="89" customFormat="1" x14ac:dyDescent="0.2">
      <c r="A10" s="195"/>
      <c r="B10" s="195" t="s">
        <v>378</v>
      </c>
      <c r="C10" s="195"/>
      <c r="D10" s="195"/>
      <c r="E10" s="237"/>
      <c r="F10" s="226"/>
      <c r="G10" s="226"/>
      <c r="H10" s="224"/>
      <c r="I10" s="198">
        <v>0.26500000000000001</v>
      </c>
      <c r="J10" s="369"/>
      <c r="K10" s="225">
        <f>$H$9*I10</f>
        <v>3078.48</v>
      </c>
      <c r="L10" s="195"/>
      <c r="M10" s="199">
        <f>$H$9*I10</f>
        <v>3078.48</v>
      </c>
      <c r="N10" s="195"/>
      <c r="O10" s="195"/>
    </row>
    <row r="11" spans="1:15" x14ac:dyDescent="0.2">
      <c r="A11" s="155"/>
      <c r="B11" s="155"/>
      <c r="C11" s="155"/>
      <c r="D11" s="155"/>
      <c r="E11" s="236"/>
      <c r="F11" s="223"/>
      <c r="G11" s="223"/>
      <c r="H11" s="224"/>
      <c r="I11" s="196">
        <f>SUM(I9:I10)</f>
        <v>1</v>
      </c>
      <c r="J11" s="196"/>
      <c r="K11" s="225"/>
      <c r="L11" s="155"/>
      <c r="M11" s="199">
        <f>SUM(M9:M10)</f>
        <v>11616.9</v>
      </c>
      <c r="N11" s="227">
        <f>H9</f>
        <v>11616.9</v>
      </c>
      <c r="O11" s="202">
        <f>N11-M11</f>
        <v>0</v>
      </c>
    </row>
    <row r="12" spans="1:15" ht="26.25" customHeight="1" x14ac:dyDescent="0.2">
      <c r="A12" s="155" t="s">
        <v>23</v>
      </c>
      <c r="B12" s="155"/>
      <c r="C12" s="155"/>
      <c r="D12" s="203">
        <f>'s3, s3b, s3d'!B12</f>
        <v>61833117</v>
      </c>
      <c r="E12" s="236">
        <f>D12/$D$58</f>
        <v>0.67614189000000002</v>
      </c>
      <c r="F12" s="223">
        <f>'s3, s3b, s3d'!D12</f>
        <v>1044819.86</v>
      </c>
      <c r="G12" s="223">
        <f>'s3, s3b, s3d'!E12</f>
        <v>210.18</v>
      </c>
      <c r="H12" s="224">
        <f>'s3, s3b, s3d'!$F12</f>
        <v>1044609.68</v>
      </c>
      <c r="I12" s="196">
        <v>0.51249999999999996</v>
      </c>
      <c r="J12" s="196"/>
      <c r="K12" s="225">
        <f>$H$12*I12+O18</f>
        <v>535362.47</v>
      </c>
      <c r="L12" s="155"/>
      <c r="M12" s="199">
        <f t="shared" ref="M12:M17" si="0">$H$12*I12</f>
        <v>535362.46</v>
      </c>
      <c r="N12" s="155"/>
      <c r="O12" s="155"/>
    </row>
    <row r="13" spans="1:15" x14ac:dyDescent="0.2">
      <c r="A13" s="155"/>
      <c r="B13" s="155" t="s">
        <v>379</v>
      </c>
      <c r="C13" s="155"/>
      <c r="D13" s="155"/>
      <c r="E13" s="236"/>
      <c r="F13" s="223"/>
      <c r="G13" s="223"/>
      <c r="H13" s="223"/>
      <c r="I13" s="196">
        <v>9.7999999999999997E-3</v>
      </c>
      <c r="J13" s="196"/>
      <c r="K13" s="225">
        <f>$H$12*I13</f>
        <v>10237.17</v>
      </c>
      <c r="L13" s="155"/>
      <c r="M13" s="199">
        <f t="shared" si="0"/>
        <v>10237.17</v>
      </c>
      <c r="N13" s="155"/>
      <c r="O13" s="155"/>
    </row>
    <row r="14" spans="1:15" x14ac:dyDescent="0.2">
      <c r="A14" s="155"/>
      <c r="B14" s="155" t="s">
        <v>380</v>
      </c>
      <c r="C14" s="155"/>
      <c r="D14" s="155"/>
      <c r="E14" s="236"/>
      <c r="F14" s="223"/>
      <c r="G14" s="223"/>
      <c r="H14" s="223"/>
      <c r="I14" s="196">
        <v>0.15090000000000001</v>
      </c>
      <c r="J14" s="196"/>
      <c r="K14" s="225">
        <f>$H$12*I14</f>
        <v>157631.6</v>
      </c>
      <c r="L14" s="155"/>
      <c r="M14" s="199">
        <f t="shared" si="0"/>
        <v>157631.6</v>
      </c>
      <c r="N14" s="155"/>
      <c r="O14" s="155"/>
    </row>
    <row r="15" spans="1:15" x14ac:dyDescent="0.2">
      <c r="A15" s="155"/>
      <c r="B15" s="155" t="s">
        <v>381</v>
      </c>
      <c r="C15" s="155"/>
      <c r="D15" s="155"/>
      <c r="E15" s="236"/>
      <c r="F15" s="223"/>
      <c r="G15" s="223"/>
      <c r="H15" s="223"/>
      <c r="I15" s="196">
        <v>0.2535</v>
      </c>
      <c r="J15" s="196"/>
      <c r="K15" s="225">
        <f>$H$12*I15</f>
        <v>264808.55</v>
      </c>
      <c r="L15" s="155"/>
      <c r="M15" s="199">
        <f t="shared" si="0"/>
        <v>264808.55</v>
      </c>
      <c r="N15" s="155"/>
      <c r="O15" s="155"/>
    </row>
    <row r="16" spans="1:15" x14ac:dyDescent="0.2">
      <c r="A16" s="155"/>
      <c r="B16" s="155" t="s">
        <v>382</v>
      </c>
      <c r="C16" s="155"/>
      <c r="D16" s="155"/>
      <c r="E16" s="236"/>
      <c r="F16" s="223"/>
      <c r="G16" s="223"/>
      <c r="H16" s="223"/>
      <c r="I16" s="196">
        <v>7.1000000000000004E-3</v>
      </c>
      <c r="J16" s="196"/>
      <c r="K16" s="225">
        <f>$H$12*I16</f>
        <v>7416.73</v>
      </c>
      <c r="L16" s="155"/>
      <c r="M16" s="199">
        <f t="shared" si="0"/>
        <v>7416.73</v>
      </c>
      <c r="N16" s="155"/>
      <c r="O16" s="155"/>
    </row>
    <row r="17" spans="1:15" ht="12" customHeight="1" x14ac:dyDescent="0.2">
      <c r="A17" s="155"/>
      <c r="B17" s="155" t="s">
        <v>383</v>
      </c>
      <c r="C17" s="155"/>
      <c r="D17" s="155"/>
      <c r="E17" s="236"/>
      <c r="F17" s="223"/>
      <c r="G17" s="223"/>
      <c r="H17" s="223"/>
      <c r="I17" s="198">
        <v>6.6199999999999995E-2</v>
      </c>
      <c r="J17" s="369"/>
      <c r="K17" s="225">
        <f>$H$12*I17</f>
        <v>69153.16</v>
      </c>
      <c r="L17" s="155"/>
      <c r="M17" s="199">
        <f t="shared" si="0"/>
        <v>69153.16</v>
      </c>
      <c r="N17" s="155"/>
      <c r="O17" s="155"/>
    </row>
    <row r="18" spans="1:15" x14ac:dyDescent="0.2">
      <c r="A18" s="155"/>
      <c r="B18" s="155"/>
      <c r="C18" s="155"/>
      <c r="D18" s="155"/>
      <c r="E18" s="236"/>
      <c r="F18" s="223"/>
      <c r="G18" s="223"/>
      <c r="H18" s="223"/>
      <c r="I18" s="196">
        <f>SUM(I12:I17)</f>
        <v>1</v>
      </c>
      <c r="J18" s="196"/>
      <c r="K18" s="225"/>
      <c r="L18" s="155"/>
      <c r="M18" s="199">
        <f>SUM(M12:M17)</f>
        <v>1044609.67</v>
      </c>
      <c r="N18" s="227">
        <f>H12</f>
        <v>1044609.68</v>
      </c>
      <c r="O18" s="199">
        <f>N18-M18</f>
        <v>0.01</v>
      </c>
    </row>
    <row r="19" spans="1:15" ht="26.25" customHeight="1" x14ac:dyDescent="0.2">
      <c r="A19" s="155" t="s">
        <v>24</v>
      </c>
      <c r="B19" s="155"/>
      <c r="C19" s="155"/>
      <c r="D19" s="203">
        <f>'s3, s3b, s3d'!B13</f>
        <v>2092743</v>
      </c>
      <c r="E19" s="236">
        <f>D19/$D$58</f>
        <v>2.2884035E-2</v>
      </c>
      <c r="F19" s="223">
        <f>'s3, s3b, s3d'!D13</f>
        <v>35361.949999999997</v>
      </c>
      <c r="G19" s="223">
        <f>'s3, s3b, s3d'!E13</f>
        <v>841.55</v>
      </c>
      <c r="H19" s="224">
        <f>'s3, s3b, s3d'!$F13</f>
        <v>34520.400000000001</v>
      </c>
      <c r="I19" s="196">
        <v>1</v>
      </c>
      <c r="J19" s="196"/>
      <c r="K19" s="225">
        <f>$H$19*I19</f>
        <v>34520.400000000001</v>
      </c>
      <c r="L19" s="155"/>
      <c r="M19" s="199"/>
      <c r="N19" s="227"/>
      <c r="O19" s="155"/>
    </row>
    <row r="20" spans="1:15" ht="24.75" customHeight="1" x14ac:dyDescent="0.2">
      <c r="A20" s="155" t="s">
        <v>25</v>
      </c>
      <c r="B20" s="155"/>
      <c r="C20" s="155"/>
      <c r="D20" s="203">
        <f>'s3, s3b, s3d'!B14</f>
        <v>2179142</v>
      </c>
      <c r="E20" s="236">
        <f>D20/$D$58</f>
        <v>2.3828802999999999E-2</v>
      </c>
      <c r="F20" s="223">
        <f>'s3, s3b, s3d'!D14</f>
        <v>36821.870000000003</v>
      </c>
      <c r="G20" s="223">
        <f>'s3, s3b, s3d'!E14</f>
        <v>211.7</v>
      </c>
      <c r="H20" s="224">
        <f>'s3, s3b, s3d'!$F$14</f>
        <v>36610.17</v>
      </c>
      <c r="I20" s="196">
        <v>0.56010000000000004</v>
      </c>
      <c r="J20" s="196"/>
      <c r="K20" s="225">
        <f>$H$20*I20+O25</f>
        <v>20505.36</v>
      </c>
      <c r="L20" s="155"/>
      <c r="M20" s="199">
        <f>$H$20*I20</f>
        <v>20505.36</v>
      </c>
      <c r="N20" s="227"/>
      <c r="O20" s="155"/>
    </row>
    <row r="21" spans="1:15" x14ac:dyDescent="0.2">
      <c r="A21" s="155"/>
      <c r="B21" s="155" t="s">
        <v>384</v>
      </c>
      <c r="C21" s="155"/>
      <c r="D21" s="155"/>
      <c r="E21" s="236"/>
      <c r="F21" s="223"/>
      <c r="G21" s="223"/>
      <c r="H21" s="223"/>
      <c r="I21" s="196">
        <v>2.1100000000000001E-2</v>
      </c>
      <c r="J21" s="196"/>
      <c r="K21" s="225">
        <f>$H$20*I21</f>
        <v>772.47</v>
      </c>
      <c r="L21" s="155"/>
      <c r="M21" s="199">
        <f>$H$20*I21</f>
        <v>772.47</v>
      </c>
      <c r="N21" s="227"/>
      <c r="O21" s="155"/>
    </row>
    <row r="22" spans="1:15" x14ac:dyDescent="0.2">
      <c r="A22" s="155"/>
      <c r="B22" s="155" t="s">
        <v>140</v>
      </c>
      <c r="C22" s="155"/>
      <c r="D22" s="155"/>
      <c r="E22" s="236"/>
      <c r="F22" s="223"/>
      <c r="G22" s="223"/>
      <c r="H22" s="223"/>
      <c r="I22" s="196">
        <v>0.30549999999999999</v>
      </c>
      <c r="J22" s="196"/>
      <c r="K22" s="225">
        <f>$H$20*I22</f>
        <v>11184.41</v>
      </c>
      <c r="L22" s="155"/>
      <c r="M22" s="199">
        <f>$H$20*I22</f>
        <v>11184.41</v>
      </c>
      <c r="N22" s="227"/>
      <c r="O22" s="155"/>
    </row>
    <row r="23" spans="1:15" x14ac:dyDescent="0.2">
      <c r="A23" s="155"/>
      <c r="B23" s="155" t="s">
        <v>385</v>
      </c>
      <c r="C23" s="155"/>
      <c r="D23" s="155"/>
      <c r="E23" s="236"/>
      <c r="F23" s="223"/>
      <c r="G23" s="223"/>
      <c r="H23" s="223"/>
      <c r="I23" s="196">
        <v>1.6799999999999999E-2</v>
      </c>
      <c r="J23" s="196"/>
      <c r="K23" s="225">
        <f>$H$20*I23</f>
        <v>615.04999999999995</v>
      </c>
      <c r="L23" s="155"/>
      <c r="M23" s="199">
        <f>$H$20*I23</f>
        <v>615.04999999999995</v>
      </c>
      <c r="N23" s="227"/>
      <c r="O23" s="155"/>
    </row>
    <row r="24" spans="1:15" x14ac:dyDescent="0.2">
      <c r="A24" s="155"/>
      <c r="B24" s="155" t="s">
        <v>386</v>
      </c>
      <c r="C24" s="155"/>
      <c r="D24" s="155"/>
      <c r="E24" s="236"/>
      <c r="F24" s="223"/>
      <c r="G24" s="223"/>
      <c r="H24" s="223"/>
      <c r="I24" s="198">
        <v>9.6500000000000002E-2</v>
      </c>
      <c r="J24" s="369"/>
      <c r="K24" s="225">
        <f>$H$20*I24</f>
        <v>3532.88</v>
      </c>
      <c r="L24" s="155"/>
      <c r="M24" s="199">
        <f>$H$20*I24</f>
        <v>3532.88</v>
      </c>
      <c r="N24" s="227"/>
      <c r="O24" s="155"/>
    </row>
    <row r="25" spans="1:15" x14ac:dyDescent="0.2">
      <c r="A25" s="155"/>
      <c r="B25" s="155"/>
      <c r="C25" s="155"/>
      <c r="D25" s="155"/>
      <c r="E25" s="236"/>
      <c r="F25" s="223"/>
      <c r="G25" s="223"/>
      <c r="H25" s="223"/>
      <c r="I25" s="196">
        <f>SUM(I20:I24)</f>
        <v>1</v>
      </c>
      <c r="J25" s="196"/>
      <c r="K25" s="225"/>
      <c r="L25" s="155"/>
      <c r="M25" s="199">
        <f>SUM(M20:M24)</f>
        <v>36610.17</v>
      </c>
      <c r="N25" s="227">
        <f>H20</f>
        <v>36610.17</v>
      </c>
      <c r="O25" s="199">
        <f>N25-M25</f>
        <v>0</v>
      </c>
    </row>
    <row r="26" spans="1:15" ht="25.5" customHeight="1" x14ac:dyDescent="0.2">
      <c r="A26" s="155" t="s">
        <v>26</v>
      </c>
      <c r="B26" s="155"/>
      <c r="C26" s="155"/>
      <c r="D26" s="203">
        <f>'s3, s3b, s3d'!B15</f>
        <v>11970</v>
      </c>
      <c r="E26" s="236">
        <f>D26/$D$58</f>
        <v>1.30891E-4</v>
      </c>
      <c r="F26" s="223">
        <f>'s3, s3b, s3d'!D15</f>
        <v>202.26</v>
      </c>
      <c r="G26" s="223">
        <f>'s3, s3b, s3d'!E15</f>
        <v>0</v>
      </c>
      <c r="H26" s="224">
        <f>'s3, s3b, s3d'!$F$15</f>
        <v>202.26</v>
      </c>
      <c r="I26" s="196">
        <v>1</v>
      </c>
      <c r="J26" s="196"/>
      <c r="K26" s="225">
        <f>$H$26*I26</f>
        <v>202.26</v>
      </c>
      <c r="L26" s="155"/>
      <c r="M26" s="199"/>
      <c r="N26" s="227"/>
      <c r="O26" s="155"/>
    </row>
    <row r="27" spans="1:15" ht="25.5" customHeight="1" x14ac:dyDescent="0.2">
      <c r="A27" s="155" t="s">
        <v>27</v>
      </c>
      <c r="B27" s="155"/>
      <c r="C27" s="155"/>
      <c r="D27" s="203">
        <f>'s3, s3b, s3d'!B16</f>
        <v>113095</v>
      </c>
      <c r="E27" s="236">
        <f>D27/$D$58</f>
        <v>1.2366879999999999E-3</v>
      </c>
      <c r="F27" s="223">
        <f>'s3, s3b, s3d'!D16</f>
        <v>1911.01</v>
      </c>
      <c r="G27" s="223">
        <f>'s3, s3b, s3d'!E16</f>
        <v>13.12</v>
      </c>
      <c r="H27" s="224">
        <f>'s3, s3b, s3d'!$F$16</f>
        <v>1897.89</v>
      </c>
      <c r="I27" s="196">
        <v>1</v>
      </c>
      <c r="J27" s="196"/>
      <c r="K27" s="225">
        <f>$H$27*I27</f>
        <v>1897.89</v>
      </c>
      <c r="L27" s="155"/>
      <c r="M27" s="199"/>
      <c r="N27" s="227"/>
      <c r="O27" s="155"/>
    </row>
    <row r="28" spans="1:15" ht="25.5" customHeight="1" x14ac:dyDescent="0.2">
      <c r="A28" s="155" t="s">
        <v>28</v>
      </c>
      <c r="B28" s="155"/>
      <c r="C28" s="155"/>
      <c r="D28" s="203">
        <f>'s3, s3b, s3d'!B17</f>
        <v>702180</v>
      </c>
      <c r="E28" s="236">
        <f>D28/$D$58</f>
        <v>7.6783010000000002E-3</v>
      </c>
      <c r="F28" s="223">
        <f>'s3, s3b, s3d'!D17</f>
        <v>11865.03</v>
      </c>
      <c r="G28" s="223">
        <f>'s3, s3b, s3d'!E17</f>
        <v>181.32</v>
      </c>
      <c r="H28" s="224">
        <f>'s3, s3b, s3d'!$F$17</f>
        <v>11683.71</v>
      </c>
      <c r="I28" s="197">
        <v>0.77949999999999997</v>
      </c>
      <c r="J28" s="197"/>
      <c r="K28" s="225">
        <f>$H$28*I28+O30</f>
        <v>9107.4500000000007</v>
      </c>
      <c r="L28" s="155"/>
      <c r="M28" s="199">
        <f>$H$28*I28</f>
        <v>9107.4500000000007</v>
      </c>
      <c r="N28" s="227"/>
      <c r="O28" s="155"/>
    </row>
    <row r="29" spans="1:15" x14ac:dyDescent="0.2">
      <c r="A29" s="155"/>
      <c r="B29" s="155" t="s">
        <v>387</v>
      </c>
      <c r="C29" s="155"/>
      <c r="D29" s="155"/>
      <c r="E29" s="236"/>
      <c r="F29" s="223"/>
      <c r="G29" s="223"/>
      <c r="H29" s="223"/>
      <c r="I29" s="201">
        <v>0.2205</v>
      </c>
      <c r="J29" s="370"/>
      <c r="K29" s="225">
        <f>$H$28*I29</f>
        <v>2576.2600000000002</v>
      </c>
      <c r="L29" s="155"/>
      <c r="M29" s="199">
        <f>$H$28*I29</f>
        <v>2576.2600000000002</v>
      </c>
      <c r="N29" s="227"/>
      <c r="O29" s="155"/>
    </row>
    <row r="30" spans="1:15" x14ac:dyDescent="0.2">
      <c r="A30" s="155"/>
      <c r="B30" s="155"/>
      <c r="C30" s="155"/>
      <c r="D30" s="155"/>
      <c r="E30" s="236"/>
      <c r="F30" s="223"/>
      <c r="G30" s="223"/>
      <c r="H30" s="223"/>
      <c r="I30" s="196">
        <f>SUM(I28:I29)</f>
        <v>1</v>
      </c>
      <c r="J30" s="196"/>
      <c r="K30" s="225"/>
      <c r="L30" s="155"/>
      <c r="M30" s="199">
        <f>SUM(M28:M29)</f>
        <v>11683.71</v>
      </c>
      <c r="N30" s="227">
        <f>H28</f>
        <v>11683.71</v>
      </c>
      <c r="O30" s="199">
        <f>N30-M30</f>
        <v>0</v>
      </c>
    </row>
    <row r="31" spans="1:15" ht="25.5" customHeight="1" x14ac:dyDescent="0.2">
      <c r="A31" s="155" t="s">
        <v>29</v>
      </c>
      <c r="B31" s="155"/>
      <c r="C31" s="155"/>
      <c r="D31" s="203">
        <f>'s3, s3b, s3d'!B18</f>
        <v>209046</v>
      </c>
      <c r="E31" s="236">
        <f>D31/$D$58</f>
        <v>2.2859070000000002E-3</v>
      </c>
      <c r="F31" s="223">
        <f>'s3, s3b, s3d'!D18</f>
        <v>3532.34</v>
      </c>
      <c r="G31" s="223">
        <f>'s3, s3b, s3d'!E18</f>
        <v>27.44</v>
      </c>
      <c r="H31" s="224">
        <f>'s3, s3b, s3d'!$F$18</f>
        <v>3504.9</v>
      </c>
      <c r="I31" s="196">
        <v>0.99</v>
      </c>
      <c r="J31" s="196"/>
      <c r="K31" s="225">
        <f>$H$31*I31+O33</f>
        <v>3469.85</v>
      </c>
      <c r="L31" s="155"/>
      <c r="M31" s="199">
        <f>$H$31*I31</f>
        <v>3469.85</v>
      </c>
      <c r="N31" s="227"/>
      <c r="O31" s="155"/>
    </row>
    <row r="32" spans="1:15" x14ac:dyDescent="0.2">
      <c r="A32" s="155"/>
      <c r="B32" s="155"/>
      <c r="C32" s="155" t="s">
        <v>388</v>
      </c>
      <c r="D32" s="155"/>
      <c r="E32" s="236"/>
      <c r="F32" s="223"/>
      <c r="G32" s="223"/>
      <c r="H32" s="223"/>
      <c r="I32" s="198">
        <v>0.01</v>
      </c>
      <c r="J32" s="369"/>
      <c r="K32" s="225">
        <f>$H$31*I32</f>
        <v>35.049999999999997</v>
      </c>
      <c r="L32" s="155"/>
      <c r="M32" s="199">
        <f>$H$31*I32</f>
        <v>35.049999999999997</v>
      </c>
      <c r="N32" s="227"/>
      <c r="O32" s="155"/>
    </row>
    <row r="33" spans="1:15" x14ac:dyDescent="0.2">
      <c r="A33" s="155"/>
      <c r="B33" s="155"/>
      <c r="C33" s="155"/>
      <c r="D33" s="155"/>
      <c r="E33" s="236"/>
      <c r="F33" s="223"/>
      <c r="G33" s="223"/>
      <c r="H33" s="223"/>
      <c r="I33" s="196">
        <f>SUM(I31:I32)</f>
        <v>1</v>
      </c>
      <c r="J33" s="196"/>
      <c r="K33" s="225"/>
      <c r="L33" s="155"/>
      <c r="M33" s="199">
        <f>SUM(M31:M32)</f>
        <v>3504.9</v>
      </c>
      <c r="N33" s="227">
        <f>H31</f>
        <v>3504.9</v>
      </c>
      <c r="O33" s="199">
        <f>N33-M33</f>
        <v>0</v>
      </c>
    </row>
    <row r="34" spans="1:15" ht="25.5" customHeight="1" x14ac:dyDescent="0.2">
      <c r="A34" s="155" t="s">
        <v>30</v>
      </c>
      <c r="B34" s="155"/>
      <c r="C34" s="155"/>
      <c r="D34" s="203">
        <f>'s3, s3b, s3d'!B19</f>
        <v>220970</v>
      </c>
      <c r="E34" s="236">
        <f>D34/$D$58</f>
        <v>2.4162950000000002E-3</v>
      </c>
      <c r="F34" s="223">
        <f>'s3, s3b, s3d'!D19</f>
        <v>3733.82</v>
      </c>
      <c r="G34" s="223">
        <f>'s3, s3b, s3d'!E19</f>
        <v>14.01</v>
      </c>
      <c r="H34" s="224">
        <f>'s3, s3b, s3d'!$F$19</f>
        <v>3719.81</v>
      </c>
      <c r="I34" s="196">
        <v>0.91710000000000003</v>
      </c>
      <c r="J34" s="196"/>
      <c r="K34" s="225">
        <f>$H$34*I34+O36</f>
        <v>3411.44</v>
      </c>
      <c r="L34" s="155"/>
      <c r="M34" s="199">
        <f>$H$34*I34</f>
        <v>3411.44</v>
      </c>
      <c r="N34" s="227"/>
      <c r="O34" s="155"/>
    </row>
    <row r="35" spans="1:15" x14ac:dyDescent="0.2">
      <c r="A35" s="155"/>
      <c r="B35" s="155" t="s">
        <v>389</v>
      </c>
      <c r="C35" s="155"/>
      <c r="D35" s="155"/>
      <c r="E35" s="236"/>
      <c r="F35" s="223"/>
      <c r="G35" s="223"/>
      <c r="H35" s="223"/>
      <c r="I35" s="198">
        <v>8.2900000000000001E-2</v>
      </c>
      <c r="J35" s="369"/>
      <c r="K35" s="225">
        <f>$H$34*I35</f>
        <v>308.37</v>
      </c>
      <c r="L35" s="155"/>
      <c r="M35" s="199">
        <f>$H$34*I35</f>
        <v>308.37</v>
      </c>
      <c r="N35" s="227"/>
      <c r="O35" s="155"/>
    </row>
    <row r="36" spans="1:15" x14ac:dyDescent="0.2">
      <c r="A36" s="155"/>
      <c r="B36" s="155"/>
      <c r="C36" s="155"/>
      <c r="D36" s="155"/>
      <c r="E36" s="236"/>
      <c r="F36" s="223"/>
      <c r="G36" s="223"/>
      <c r="H36" s="223"/>
      <c r="I36" s="196">
        <f>SUM(I34:I35)</f>
        <v>1</v>
      </c>
      <c r="J36" s="196"/>
      <c r="K36" s="225"/>
      <c r="L36" s="155"/>
      <c r="M36" s="199">
        <f>SUM(M34:M35)</f>
        <v>3719.81</v>
      </c>
      <c r="N36" s="227">
        <f>H34</f>
        <v>3719.81</v>
      </c>
      <c r="O36" s="199">
        <f>N36-M36</f>
        <v>0</v>
      </c>
    </row>
    <row r="37" spans="1:15" ht="24.75" customHeight="1" x14ac:dyDescent="0.2">
      <c r="A37" s="155" t="s">
        <v>31</v>
      </c>
      <c r="B37" s="155"/>
      <c r="C37" s="155"/>
      <c r="D37" s="203">
        <f>'s3, s3b, s3d'!B20</f>
        <v>1484575</v>
      </c>
      <c r="E37" s="236">
        <f>D37/$D$58</f>
        <v>1.6233750000000002E-2</v>
      </c>
      <c r="F37" s="223">
        <f>'s3, s3b, s3d'!D20</f>
        <v>25085.48</v>
      </c>
      <c r="G37" s="223">
        <f>'s3, s3b, s3d'!E20</f>
        <v>372.4</v>
      </c>
      <c r="H37" s="224">
        <f>'s3, s3b, s3d'!$F$20</f>
        <v>24713.08</v>
      </c>
      <c r="I37" s="196">
        <v>0.61609999999999998</v>
      </c>
      <c r="J37" s="196"/>
      <c r="K37" s="225">
        <f>$H$37*I37+O40</f>
        <v>15225.73</v>
      </c>
      <c r="L37" s="155"/>
      <c r="M37" s="199">
        <f>$H$37*I37</f>
        <v>15225.73</v>
      </c>
      <c r="N37" s="227"/>
      <c r="O37" s="155"/>
    </row>
    <row r="38" spans="1:15" x14ac:dyDescent="0.2">
      <c r="A38" s="155"/>
      <c r="B38" s="155" t="s">
        <v>391</v>
      </c>
      <c r="C38" s="155"/>
      <c r="D38" s="155"/>
      <c r="E38" s="236"/>
      <c r="F38" s="223"/>
      <c r="G38" s="223"/>
      <c r="H38" s="223"/>
      <c r="I38" s="196">
        <v>0.3377</v>
      </c>
      <c r="J38" s="196"/>
      <c r="K38" s="225">
        <f>$H$37*I38</f>
        <v>8345.61</v>
      </c>
      <c r="L38" s="155"/>
      <c r="M38" s="199">
        <f>$H$37*I38</f>
        <v>8345.61</v>
      </c>
      <c r="N38" s="227"/>
      <c r="O38" s="155"/>
    </row>
    <row r="39" spans="1:15" x14ac:dyDescent="0.2">
      <c r="A39" s="155"/>
      <c r="B39" s="155" t="s">
        <v>390</v>
      </c>
      <c r="C39" s="155"/>
      <c r="D39" s="155"/>
      <c r="E39" s="236"/>
      <c r="F39" s="223"/>
      <c r="G39" s="223"/>
      <c r="H39" s="223"/>
      <c r="I39" s="198">
        <v>4.6199999999999998E-2</v>
      </c>
      <c r="J39" s="369"/>
      <c r="K39" s="225">
        <f>$H$37*I39</f>
        <v>1141.74</v>
      </c>
      <c r="L39" s="155"/>
      <c r="M39" s="199">
        <f>$H$37*I39</f>
        <v>1141.74</v>
      </c>
      <c r="N39" s="227"/>
      <c r="O39" s="155"/>
    </row>
    <row r="40" spans="1:15" x14ac:dyDescent="0.2">
      <c r="A40" s="155"/>
      <c r="B40" s="155"/>
      <c r="C40" s="155"/>
      <c r="D40" s="155"/>
      <c r="E40" s="236"/>
      <c r="F40" s="223"/>
      <c r="G40" s="223"/>
      <c r="H40" s="223"/>
      <c r="I40" s="196">
        <f>SUM(I37:I39)</f>
        <v>1</v>
      </c>
      <c r="J40" s="196"/>
      <c r="K40" s="225"/>
      <c r="L40" s="155"/>
      <c r="M40" s="199">
        <f>SUM(M37:M39)</f>
        <v>24713.08</v>
      </c>
      <c r="N40" s="227">
        <f>H37</f>
        <v>24713.08</v>
      </c>
      <c r="O40" s="199">
        <f>N40-M40</f>
        <v>0</v>
      </c>
    </row>
    <row r="41" spans="1:15" ht="25.5" customHeight="1" x14ac:dyDescent="0.2">
      <c r="A41" s="155" t="s">
        <v>32</v>
      </c>
      <c r="B41" s="155"/>
      <c r="C41" s="155"/>
      <c r="D41" s="203">
        <f>'s3, s3b, s3d'!B21</f>
        <v>237485</v>
      </c>
      <c r="E41" s="236">
        <f>D41/$D$58</f>
        <v>2.5968860000000001E-3</v>
      </c>
      <c r="F41" s="223">
        <f>'s3, s3b, s3d'!D21</f>
        <v>4012.88</v>
      </c>
      <c r="G41" s="223">
        <f>'s3, s3b, s3d'!E21</f>
        <v>622.25</v>
      </c>
      <c r="H41" s="224">
        <f>'s3, s3b, s3d'!$F$21</f>
        <v>3390.63</v>
      </c>
      <c r="I41" s="196">
        <v>1</v>
      </c>
      <c r="J41" s="196"/>
      <c r="K41" s="225">
        <f>$H$41*I41</f>
        <v>3390.63</v>
      </c>
      <c r="L41" s="155"/>
      <c r="M41" s="199"/>
      <c r="N41" s="227"/>
      <c r="O41" s="155"/>
    </row>
    <row r="42" spans="1:15" ht="26.25" customHeight="1" x14ac:dyDescent="0.2">
      <c r="A42" s="155" t="s">
        <v>33</v>
      </c>
      <c r="B42" s="155"/>
      <c r="C42" s="155"/>
      <c r="D42" s="203">
        <f>'s3, s3b, s3d'!B22</f>
        <v>1736346</v>
      </c>
      <c r="E42" s="236">
        <f>D42/$D$58</f>
        <v>1.8986851999999999E-2</v>
      </c>
      <c r="F42" s="223">
        <f>'s3, s3b, s3d'!D22</f>
        <v>29339.759999999998</v>
      </c>
      <c r="G42" s="223">
        <f>'s3, s3b, s3d'!E22</f>
        <v>169.32</v>
      </c>
      <c r="H42" s="224">
        <f>'s3, s3b, s3d'!$F$22</f>
        <v>29170.44</v>
      </c>
      <c r="I42" s="196">
        <v>0.1772</v>
      </c>
      <c r="J42" s="196"/>
      <c r="K42" s="225">
        <f>$H$42*I42+O46</f>
        <v>5169</v>
      </c>
      <c r="L42" s="155"/>
      <c r="M42" s="199">
        <f>$H$42*I42</f>
        <v>5169</v>
      </c>
      <c r="N42" s="227"/>
      <c r="O42" s="155"/>
    </row>
    <row r="43" spans="1:15" x14ac:dyDescent="0.2">
      <c r="A43" s="155"/>
      <c r="B43" s="155"/>
      <c r="C43" s="155" t="s">
        <v>392</v>
      </c>
      <c r="D43" s="155"/>
      <c r="E43" s="236"/>
      <c r="F43" s="223"/>
      <c r="G43" s="223"/>
      <c r="H43" s="223"/>
      <c r="I43" s="196">
        <v>0.65159999999999996</v>
      </c>
      <c r="J43" s="196"/>
      <c r="K43" s="225">
        <f>$H$42*I43</f>
        <v>19007.46</v>
      </c>
      <c r="L43" s="155"/>
      <c r="M43" s="199">
        <f>$H$42*I43</f>
        <v>19007.46</v>
      </c>
      <c r="N43" s="227"/>
      <c r="O43" s="155"/>
    </row>
    <row r="44" spans="1:15" ht="12.75" customHeight="1" x14ac:dyDescent="0.2">
      <c r="A44" s="155"/>
      <c r="B44" s="155"/>
      <c r="C44" s="155" t="s">
        <v>393</v>
      </c>
      <c r="D44" s="155"/>
      <c r="E44" s="236"/>
      <c r="F44" s="223"/>
      <c r="G44" s="223"/>
      <c r="H44" s="223"/>
      <c r="I44" s="196">
        <v>0.14599999999999999</v>
      </c>
      <c r="J44" s="196"/>
      <c r="K44" s="225">
        <f>$H$42*I44</f>
        <v>4258.88</v>
      </c>
      <c r="L44" s="155"/>
      <c r="M44" s="199">
        <f>$H$42*I44</f>
        <v>4258.88</v>
      </c>
      <c r="N44" s="227"/>
      <c r="O44" s="155"/>
    </row>
    <row r="45" spans="1:15" x14ac:dyDescent="0.2">
      <c r="A45" s="155"/>
      <c r="B45" s="155"/>
      <c r="C45" s="155" t="s">
        <v>394</v>
      </c>
      <c r="D45" s="155"/>
      <c r="E45" s="236"/>
      <c r="F45" s="223"/>
      <c r="G45" s="223"/>
      <c r="H45" s="223"/>
      <c r="I45" s="198">
        <v>2.52E-2</v>
      </c>
      <c r="J45" s="369"/>
      <c r="K45" s="225">
        <f>$H$42*I45</f>
        <v>735.1</v>
      </c>
      <c r="L45" s="155"/>
      <c r="M45" s="199">
        <f>$H$42*I45</f>
        <v>735.1</v>
      </c>
      <c r="N45" s="227"/>
      <c r="O45" s="155"/>
    </row>
    <row r="46" spans="1:15" x14ac:dyDescent="0.2">
      <c r="A46" s="155"/>
      <c r="B46" s="155"/>
      <c r="C46" s="155"/>
      <c r="D46" s="155"/>
      <c r="E46" s="236"/>
      <c r="F46" s="223"/>
      <c r="G46" s="223"/>
      <c r="H46" s="223"/>
      <c r="I46" s="196">
        <f>SUM(I42:I45)</f>
        <v>1</v>
      </c>
      <c r="J46" s="196"/>
      <c r="K46" s="225"/>
      <c r="L46" s="155"/>
      <c r="M46" s="199">
        <f>SUM(M42:M45)</f>
        <v>29170.44</v>
      </c>
      <c r="N46" s="227">
        <f>H42</f>
        <v>29170.44</v>
      </c>
      <c r="O46" s="199">
        <f>N46-M46</f>
        <v>0</v>
      </c>
    </row>
    <row r="47" spans="1:15" ht="26.25" customHeight="1" x14ac:dyDescent="0.2">
      <c r="A47" s="155" t="s">
        <v>34</v>
      </c>
      <c r="B47" s="155"/>
      <c r="C47" s="155"/>
      <c r="D47" s="203">
        <f>'s3, s3b, s3d'!B23</f>
        <v>161443</v>
      </c>
      <c r="E47" s="236">
        <f>D47/$D$58</f>
        <v>1.765371E-3</v>
      </c>
      <c r="F47" s="223">
        <f>'s3, s3b, s3d'!D23</f>
        <v>2727.97</v>
      </c>
      <c r="G47" s="223">
        <f>'s3, s3b, s3d'!E23</f>
        <v>92.04</v>
      </c>
      <c r="H47" s="224">
        <f>'s3, s3b, s3d'!$F$23</f>
        <v>2635.93</v>
      </c>
      <c r="I47" s="196">
        <v>0.88429999999999997</v>
      </c>
      <c r="J47" s="196"/>
      <c r="K47" s="225">
        <f>$H$47*I47+O49</f>
        <v>2330.9499999999998</v>
      </c>
      <c r="L47" s="155"/>
      <c r="M47" s="199">
        <f>$H$47*I47</f>
        <v>2330.9499999999998</v>
      </c>
      <c r="N47" s="227"/>
      <c r="O47" s="155"/>
    </row>
    <row r="48" spans="1:15" x14ac:dyDescent="0.2">
      <c r="A48" s="155"/>
      <c r="B48" s="155" t="s">
        <v>395</v>
      </c>
      <c r="C48" s="155"/>
      <c r="D48" s="155"/>
      <c r="E48" s="236"/>
      <c r="F48" s="223"/>
      <c r="G48" s="223"/>
      <c r="H48" s="223"/>
      <c r="I48" s="198">
        <v>0.1157</v>
      </c>
      <c r="J48" s="369"/>
      <c r="K48" s="225">
        <f>$H$47*I48</f>
        <v>304.98</v>
      </c>
      <c r="L48" s="155"/>
      <c r="M48" s="199">
        <f>$H$47*I48</f>
        <v>304.98</v>
      </c>
      <c r="N48" s="227"/>
      <c r="O48" s="155"/>
    </row>
    <row r="49" spans="1:15" x14ac:dyDescent="0.2">
      <c r="A49" s="155"/>
      <c r="B49" s="155"/>
      <c r="C49" s="155"/>
      <c r="D49" s="155"/>
      <c r="E49" s="236"/>
      <c r="F49" s="223"/>
      <c r="G49" s="223"/>
      <c r="H49" s="223"/>
      <c r="I49" s="196">
        <f>SUM(I47:I48)</f>
        <v>1</v>
      </c>
      <c r="J49" s="196"/>
      <c r="K49" s="225"/>
      <c r="L49" s="155"/>
      <c r="M49" s="199">
        <f>SUM(M47:M48)</f>
        <v>2635.93</v>
      </c>
      <c r="N49" s="227">
        <f>H47</f>
        <v>2635.93</v>
      </c>
      <c r="O49" s="199">
        <f>N49-M49</f>
        <v>0</v>
      </c>
    </row>
    <row r="50" spans="1:15" ht="25.5" customHeight="1" x14ac:dyDescent="0.2">
      <c r="A50" s="155" t="s">
        <v>35</v>
      </c>
      <c r="B50" s="155"/>
      <c r="C50" s="155"/>
      <c r="D50" s="203">
        <f>'s3, s3b, s3d'!B24</f>
        <v>29404</v>
      </c>
      <c r="E50" s="236">
        <f>D50/$D$58</f>
        <v>3.2153100000000001E-4</v>
      </c>
      <c r="F50" s="223">
        <f>'s3, s3b, s3d'!D24</f>
        <v>496.85</v>
      </c>
      <c r="G50" s="223">
        <f>'s3, s3b, s3d'!E24</f>
        <v>0</v>
      </c>
      <c r="H50" s="224">
        <f>'s3, s3b, s3d'!$F$24</f>
        <v>496.85</v>
      </c>
      <c r="I50" s="196">
        <v>1</v>
      </c>
      <c r="J50" s="196"/>
      <c r="K50" s="225">
        <f>$H$50*I50</f>
        <v>496.85</v>
      </c>
      <c r="L50" s="155"/>
      <c r="M50" s="199"/>
      <c r="N50" s="227"/>
      <c r="O50" s="155"/>
    </row>
    <row r="51" spans="1:15" ht="25.5" customHeight="1" x14ac:dyDescent="0.2">
      <c r="A51" s="155" t="s">
        <v>36</v>
      </c>
      <c r="B51" s="155"/>
      <c r="C51" s="155"/>
      <c r="D51" s="203">
        <f>'s3, s3b, s3d'!B25</f>
        <v>15951653</v>
      </c>
      <c r="E51" s="236">
        <f>D51/$D$58</f>
        <v>0.17443048899999999</v>
      </c>
      <c r="F51" s="223">
        <f>'s3, s3b, s3d'!D25</f>
        <v>269541.71000000002</v>
      </c>
      <c r="G51" s="223">
        <f>'s3, s3b, s3d'!E25</f>
        <v>203.82</v>
      </c>
      <c r="H51" s="224">
        <f>'s3, s3b, s3d'!$F$25</f>
        <v>269337.89</v>
      </c>
      <c r="I51" s="196">
        <v>0.3785</v>
      </c>
      <c r="J51" s="371">
        <f>ROUND(+'s3, s3b, s3d'!$R$107*s3a!I51,2)</f>
        <v>5814.39</v>
      </c>
      <c r="K51" s="374">
        <f>$H$51*I51+O54</f>
        <v>101944.391365</v>
      </c>
      <c r="L51" s="155"/>
      <c r="M51" s="199">
        <f>$H$51*I51</f>
        <v>101944.39</v>
      </c>
      <c r="N51" s="227"/>
      <c r="O51" s="155"/>
    </row>
    <row r="52" spans="1:15" x14ac:dyDescent="0.2">
      <c r="A52" s="155"/>
      <c r="B52" s="155" t="s">
        <v>396</v>
      </c>
      <c r="C52" s="155"/>
      <c r="D52" s="155"/>
      <c r="E52" s="236"/>
      <c r="F52" s="223"/>
      <c r="G52" s="223"/>
      <c r="H52" s="223"/>
      <c r="I52" s="196">
        <v>0.46339999999999998</v>
      </c>
      <c r="J52" s="371">
        <f>ROUND(+'s3, s3b, s3d'!$R$107*s3a!I52,2)</f>
        <v>7118.59</v>
      </c>
      <c r="K52" s="374">
        <f>$H$51*I52+O55</f>
        <v>124811.178226</v>
      </c>
      <c r="L52" s="155"/>
      <c r="M52" s="199">
        <f>$H$51*I52</f>
        <v>124811.18</v>
      </c>
      <c r="N52" s="227"/>
      <c r="O52" s="155"/>
    </row>
    <row r="53" spans="1:15" x14ac:dyDescent="0.2">
      <c r="A53" s="155"/>
      <c r="B53" s="155" t="s">
        <v>397</v>
      </c>
      <c r="C53" s="155"/>
      <c r="D53" s="155"/>
      <c r="E53" s="236"/>
      <c r="F53" s="223"/>
      <c r="G53" s="223"/>
      <c r="H53" s="223"/>
      <c r="I53" s="198">
        <v>0.15809999999999999</v>
      </c>
      <c r="J53" s="371">
        <f>ROUND(+'s3, s3b, s3d'!$R$107*s3a!I53,2)</f>
        <v>2428.6799999999998</v>
      </c>
      <c r="K53" s="374">
        <f>$H$51*I53+O56</f>
        <v>42582.320409</v>
      </c>
      <c r="L53" s="155"/>
      <c r="M53" s="199">
        <f>$H$51*I53</f>
        <v>42582.32</v>
      </c>
      <c r="N53" s="227"/>
      <c r="O53" s="155"/>
    </row>
    <row r="54" spans="1:15" x14ac:dyDescent="0.2">
      <c r="A54" s="155"/>
      <c r="B54" s="155"/>
      <c r="C54" s="155"/>
      <c r="D54" s="155"/>
      <c r="E54" s="236"/>
      <c r="F54" s="223"/>
      <c r="G54" s="223"/>
      <c r="H54" s="223"/>
      <c r="I54" s="196">
        <f>SUM(I51:I53)</f>
        <v>1</v>
      </c>
      <c r="J54" s="371">
        <f>+J51+J52+J53</f>
        <v>15361.66</v>
      </c>
      <c r="K54" s="375" t="s">
        <v>82</v>
      </c>
      <c r="L54" s="155"/>
      <c r="M54" s="199">
        <f>SUM(M51:M53)</f>
        <v>269337.89</v>
      </c>
      <c r="N54" s="227">
        <f>H51</f>
        <v>269337.89</v>
      </c>
      <c r="O54" s="199">
        <f>N54-M54</f>
        <v>0</v>
      </c>
    </row>
    <row r="55" spans="1:15" ht="24.75" customHeight="1" x14ac:dyDescent="0.2">
      <c r="A55" s="155" t="s">
        <v>37</v>
      </c>
      <c r="B55" s="155"/>
      <c r="C55" s="155"/>
      <c r="D55" s="203">
        <f>'s3, s3b, s3d'!B26</f>
        <v>731021</v>
      </c>
      <c r="E55" s="236">
        <f>D55/$D$58</f>
        <v>7.9936759999999999E-3</v>
      </c>
      <c r="F55" s="223">
        <f>'s3, s3b, s3d'!D26</f>
        <v>12352.37</v>
      </c>
      <c r="G55" s="223">
        <f>'s3, s3b, s3d'!E26</f>
        <v>107.8</v>
      </c>
      <c r="H55" s="224">
        <f>'s3, s3b, s3d'!$F$26</f>
        <v>12244.57</v>
      </c>
      <c r="I55" s="196">
        <v>0.61870000000000003</v>
      </c>
      <c r="J55" s="196"/>
      <c r="K55" s="225">
        <f>$H$55*I55+O57</f>
        <v>7575.72</v>
      </c>
      <c r="L55" s="155"/>
      <c r="M55" s="199">
        <f>$H$55*I55</f>
        <v>7575.72</v>
      </c>
      <c r="N55" s="227"/>
      <c r="O55" s="155"/>
    </row>
    <row r="56" spans="1:15" x14ac:dyDescent="0.2">
      <c r="A56" s="155"/>
      <c r="B56" s="155" t="s">
        <v>398</v>
      </c>
      <c r="C56" s="155"/>
      <c r="D56" s="155"/>
      <c r="E56" s="236"/>
      <c r="F56" s="223"/>
      <c r="G56" s="223"/>
      <c r="H56" s="223"/>
      <c r="I56" s="198">
        <v>0.38129999999999997</v>
      </c>
      <c r="J56" s="369"/>
      <c r="K56" s="225">
        <f>$H$55*I56</f>
        <v>4668.8500000000004</v>
      </c>
      <c r="L56" s="155"/>
      <c r="M56" s="199">
        <f>$H$55*I56</f>
        <v>4668.8500000000004</v>
      </c>
      <c r="N56" s="227"/>
      <c r="O56" s="155"/>
    </row>
    <row r="57" spans="1:15" x14ac:dyDescent="0.2">
      <c r="A57" s="155"/>
      <c r="B57" s="155"/>
      <c r="C57" s="155"/>
      <c r="D57" s="155"/>
      <c r="E57" s="236"/>
      <c r="F57" s="223"/>
      <c r="G57" s="223"/>
      <c r="H57" s="223"/>
      <c r="I57" s="196">
        <f>SUM(I55:I56)</f>
        <v>1</v>
      </c>
      <c r="J57" s="196"/>
      <c r="K57" s="225"/>
      <c r="L57" s="155"/>
      <c r="M57" s="199">
        <f>SUM(M55:M56)</f>
        <v>12244.57</v>
      </c>
      <c r="N57" s="227">
        <f>H55</f>
        <v>12244.57</v>
      </c>
      <c r="O57" s="199">
        <f>N57-M57</f>
        <v>0</v>
      </c>
    </row>
    <row r="58" spans="1:15" s="142" customFormat="1" ht="13.5" thickBot="1" x14ac:dyDescent="0.25">
      <c r="A58" s="204" t="s">
        <v>250</v>
      </c>
      <c r="B58" s="204"/>
      <c r="C58" s="204"/>
      <c r="D58" s="205">
        <f>SUM(D8:D57)</f>
        <v>91449913</v>
      </c>
      <c r="E58" s="238">
        <f>SUM(E8:E57)</f>
        <v>0.99999999900000003</v>
      </c>
      <c r="F58" s="228">
        <f>SUM(F8:F57)</f>
        <v>1545267.17</v>
      </c>
      <c r="G58" s="228">
        <f>SUM(G8:G57)</f>
        <v>3409.72</v>
      </c>
      <c r="H58" s="228">
        <f>SUM(H8:H57)</f>
        <v>1541857.45</v>
      </c>
      <c r="I58" s="228"/>
      <c r="J58" s="228"/>
      <c r="K58" s="228">
        <f>SUM(K8:K56)</f>
        <v>1541857.45</v>
      </c>
      <c r="L58" s="150"/>
      <c r="M58" s="150"/>
      <c r="N58" s="150"/>
      <c r="O58" s="150"/>
    </row>
    <row r="59" spans="1:15" ht="13.5" thickTop="1" x14ac:dyDescent="0.2">
      <c r="A59" s="155"/>
      <c r="B59" s="155"/>
      <c r="C59" s="155"/>
      <c r="D59" s="155"/>
      <c r="E59" s="155"/>
      <c r="F59" s="155"/>
      <c r="G59" s="155"/>
      <c r="H59" s="200"/>
      <c r="I59" s="196"/>
      <c r="J59" s="196"/>
      <c r="K59" s="225"/>
      <c r="L59" s="155"/>
      <c r="M59" s="155"/>
      <c r="N59" s="155"/>
      <c r="O59" s="155"/>
    </row>
    <row r="61" spans="1:15" x14ac:dyDescent="0.2">
      <c r="B61" s="155"/>
      <c r="C61" s="155"/>
    </row>
    <row r="62" spans="1:15" x14ac:dyDescent="0.2">
      <c r="B62" s="155"/>
      <c r="C62" s="155"/>
    </row>
    <row r="63" spans="1:15" x14ac:dyDescent="0.2">
      <c r="C63" s="195"/>
    </row>
    <row r="64" spans="1:15" x14ac:dyDescent="0.2">
      <c r="B64" s="155"/>
      <c r="C64" s="155"/>
    </row>
    <row r="65" spans="2:3" x14ac:dyDescent="0.2">
      <c r="B65" s="155"/>
      <c r="C65" s="155"/>
    </row>
    <row r="66" spans="2:3" x14ac:dyDescent="0.2">
      <c r="C66" s="155"/>
    </row>
    <row r="67" spans="2:3" x14ac:dyDescent="0.2">
      <c r="C67" s="155"/>
    </row>
    <row r="68" spans="2:3" x14ac:dyDescent="0.2">
      <c r="C68" s="155"/>
    </row>
    <row r="69" spans="2:3" x14ac:dyDescent="0.2">
      <c r="C69" s="155"/>
    </row>
    <row r="70" spans="2:3" x14ac:dyDescent="0.2">
      <c r="C70" s="155"/>
    </row>
    <row r="71" spans="2:3" x14ac:dyDescent="0.2">
      <c r="B71" s="155"/>
    </row>
    <row r="72" spans="2:3" x14ac:dyDescent="0.2">
      <c r="B72" s="155"/>
    </row>
    <row r="73" spans="2:3" x14ac:dyDescent="0.2">
      <c r="B73" s="155"/>
    </row>
    <row r="74" spans="2:3" x14ac:dyDescent="0.2">
      <c r="B74" s="155"/>
    </row>
    <row r="75" spans="2:3" x14ac:dyDescent="0.2">
      <c r="B75" s="155"/>
    </row>
    <row r="76" spans="2:3" x14ac:dyDescent="0.2">
      <c r="B76" s="155"/>
    </row>
    <row r="77" spans="2:3" x14ac:dyDescent="0.2">
      <c r="B77" s="155"/>
    </row>
    <row r="78" spans="2:3" x14ac:dyDescent="0.2">
      <c r="B78" s="155"/>
    </row>
    <row r="79" spans="2:3" x14ac:dyDescent="0.2">
      <c r="B79" s="155"/>
    </row>
    <row r="80" spans="2:3" x14ac:dyDescent="0.2">
      <c r="B80" s="155"/>
    </row>
    <row r="81" spans="2:3" x14ac:dyDescent="0.2">
      <c r="B81" s="155"/>
    </row>
    <row r="82" spans="2:3" x14ac:dyDescent="0.2">
      <c r="B82" s="155"/>
    </row>
    <row r="83" spans="2:3" x14ac:dyDescent="0.2">
      <c r="B83" s="155"/>
    </row>
    <row r="84" spans="2:3" x14ac:dyDescent="0.2">
      <c r="B84" s="155"/>
    </row>
    <row r="85" spans="2:3" x14ac:dyDescent="0.2">
      <c r="B85" s="155"/>
    </row>
    <row r="86" spans="2:3" x14ac:dyDescent="0.2">
      <c r="B86" s="155"/>
      <c r="C86" s="155"/>
    </row>
    <row r="87" spans="2:3" x14ac:dyDescent="0.2">
      <c r="B87" s="155"/>
      <c r="C87" s="155"/>
    </row>
    <row r="88" spans="2:3" x14ac:dyDescent="0.2">
      <c r="B88" s="155"/>
    </row>
    <row r="89" spans="2:3" x14ac:dyDescent="0.2">
      <c r="B89" s="155"/>
    </row>
    <row r="90" spans="2:3" x14ac:dyDescent="0.2">
      <c r="B90" s="155"/>
    </row>
    <row r="91" spans="2:3" x14ac:dyDescent="0.2">
      <c r="B91" s="155"/>
      <c r="C91" s="155"/>
    </row>
    <row r="92" spans="2:3" x14ac:dyDescent="0.2">
      <c r="B92" s="155"/>
      <c r="C92" s="155"/>
    </row>
    <row r="93" spans="2:3" x14ac:dyDescent="0.2">
      <c r="C93" s="155"/>
    </row>
    <row r="94" spans="2:3" x14ac:dyDescent="0.2">
      <c r="C94" s="155"/>
    </row>
    <row r="95" spans="2:3" x14ac:dyDescent="0.2">
      <c r="C95" s="155"/>
    </row>
    <row r="96" spans="2:3" x14ac:dyDescent="0.2">
      <c r="C96" s="155"/>
    </row>
    <row r="97" spans="2:3" x14ac:dyDescent="0.2">
      <c r="B97" s="155"/>
    </row>
    <row r="98" spans="2:3" x14ac:dyDescent="0.2">
      <c r="B98" s="155"/>
    </row>
    <row r="99" spans="2:3" x14ac:dyDescent="0.2">
      <c r="B99" s="155"/>
    </row>
    <row r="100" spans="2:3" x14ac:dyDescent="0.2">
      <c r="B100" s="155"/>
    </row>
    <row r="101" spans="2:3" x14ac:dyDescent="0.2">
      <c r="B101" s="155"/>
      <c r="C101" s="155"/>
    </row>
    <row r="102" spans="2:3" x14ac:dyDescent="0.2">
      <c r="B102" s="155"/>
      <c r="C102" s="155"/>
    </row>
    <row r="103" spans="2:3" x14ac:dyDescent="0.2">
      <c r="B103" s="155"/>
    </row>
    <row r="104" spans="2:3" x14ac:dyDescent="0.2">
      <c r="B104" s="155"/>
    </row>
    <row r="105" spans="2:3" x14ac:dyDescent="0.2">
      <c r="B105" s="155"/>
      <c r="C105" s="155"/>
    </row>
    <row r="106" spans="2:3" x14ac:dyDescent="0.2">
      <c r="B106" s="155"/>
      <c r="C106" s="155"/>
    </row>
    <row r="107" spans="2:3" x14ac:dyDescent="0.2">
      <c r="B107" s="155"/>
    </row>
    <row r="108" spans="2:3" x14ac:dyDescent="0.2">
      <c r="B108" s="155"/>
    </row>
    <row r="109" spans="2:3" x14ac:dyDescent="0.2">
      <c r="B109" s="155"/>
      <c r="C109" s="155"/>
    </row>
    <row r="110" spans="2:3" x14ac:dyDescent="0.2">
      <c r="B110" s="155"/>
      <c r="C110" s="155"/>
    </row>
    <row r="111" spans="2:3" x14ac:dyDescent="0.2">
      <c r="C111" s="155"/>
    </row>
    <row r="112" spans="2:3" x14ac:dyDescent="0.2">
      <c r="B112" s="155"/>
      <c r="C112" s="155"/>
    </row>
    <row r="113" spans="2:3" x14ac:dyDescent="0.2">
      <c r="B113" s="155"/>
      <c r="C113" s="155"/>
    </row>
    <row r="114" spans="2:3" x14ac:dyDescent="0.2">
      <c r="B114" s="155"/>
    </row>
    <row r="115" spans="2:3" x14ac:dyDescent="0.2">
      <c r="B115" s="155"/>
    </row>
    <row r="116" spans="2:3" x14ac:dyDescent="0.2">
      <c r="B116" s="155"/>
    </row>
    <row r="117" spans="2:3" x14ac:dyDescent="0.2">
      <c r="B117" s="155"/>
      <c r="C117" s="155"/>
    </row>
    <row r="118" spans="2:3" x14ac:dyDescent="0.2">
      <c r="B118" s="155"/>
      <c r="C118" s="155"/>
    </row>
    <row r="119" spans="2:3" x14ac:dyDescent="0.2">
      <c r="C119" s="155"/>
    </row>
    <row r="120" spans="2:3" x14ac:dyDescent="0.2">
      <c r="B120" s="155"/>
    </row>
    <row r="121" spans="2:3" x14ac:dyDescent="0.2">
      <c r="B121" s="155"/>
    </row>
    <row r="122" spans="2:3" x14ac:dyDescent="0.2">
      <c r="B122" s="155"/>
    </row>
    <row r="123" spans="2:3" x14ac:dyDescent="0.2">
      <c r="B123" s="155"/>
      <c r="C123" s="155"/>
    </row>
    <row r="124" spans="2:3" x14ac:dyDescent="0.2">
      <c r="B124" s="155"/>
      <c r="C124" s="155"/>
    </row>
    <row r="125" spans="2:3" x14ac:dyDescent="0.2">
      <c r="C125" s="155"/>
    </row>
    <row r="126" spans="2:3" x14ac:dyDescent="0.2">
      <c r="C126" s="155"/>
    </row>
    <row r="127" spans="2:3" x14ac:dyDescent="0.2">
      <c r="B127" s="155"/>
      <c r="C127" s="155"/>
    </row>
    <row r="128" spans="2:3" x14ac:dyDescent="0.2">
      <c r="B128" s="155"/>
      <c r="C128" s="155"/>
    </row>
    <row r="129" spans="2:3" x14ac:dyDescent="0.2">
      <c r="B129" s="155"/>
    </row>
    <row r="130" spans="2:3" x14ac:dyDescent="0.2">
      <c r="B130" s="155"/>
    </row>
    <row r="131" spans="2:3" x14ac:dyDescent="0.2">
      <c r="B131" s="155"/>
    </row>
    <row r="132" spans="2:3" x14ac:dyDescent="0.2">
      <c r="B132" s="155"/>
    </row>
    <row r="133" spans="2:3" x14ac:dyDescent="0.2">
      <c r="B133" s="155"/>
      <c r="C133" s="155"/>
    </row>
    <row r="134" spans="2:3" x14ac:dyDescent="0.2">
      <c r="B134" s="155"/>
      <c r="C134" s="155"/>
    </row>
    <row r="135" spans="2:3" x14ac:dyDescent="0.2">
      <c r="B135" s="155"/>
    </row>
    <row r="136" spans="2:3" x14ac:dyDescent="0.2">
      <c r="B136" s="155"/>
    </row>
    <row r="137" spans="2:3" x14ac:dyDescent="0.2">
      <c r="B137" s="155"/>
    </row>
    <row r="138" spans="2:3" x14ac:dyDescent="0.2">
      <c r="B138" s="155"/>
    </row>
    <row r="139" spans="2:3" x14ac:dyDescent="0.2">
      <c r="B139" s="155"/>
    </row>
    <row r="140" spans="2:3" x14ac:dyDescent="0.2">
      <c r="B140" s="155"/>
    </row>
    <row r="141" spans="2:3" x14ac:dyDescent="0.2">
      <c r="B141" s="155"/>
    </row>
    <row r="142" spans="2:3" x14ac:dyDescent="0.2">
      <c r="B142" s="155"/>
      <c r="C142" s="155"/>
    </row>
    <row r="143" spans="2:3" x14ac:dyDescent="0.2">
      <c r="B143" s="155"/>
      <c r="C143" s="155"/>
    </row>
    <row r="144" spans="2:3" x14ac:dyDescent="0.2">
      <c r="C144" s="155"/>
    </row>
    <row r="145" spans="2:3" x14ac:dyDescent="0.2">
      <c r="B145" s="155"/>
    </row>
    <row r="146" spans="2:3" x14ac:dyDescent="0.2">
      <c r="B146" s="155"/>
      <c r="C146" s="155"/>
    </row>
    <row r="147" spans="2:3" x14ac:dyDescent="0.2">
      <c r="B147" s="155"/>
      <c r="C147" s="155"/>
    </row>
    <row r="148" spans="2:3" x14ac:dyDescent="0.2">
      <c r="B148" s="155"/>
    </row>
    <row r="149" spans="2:3" x14ac:dyDescent="0.2">
      <c r="B149" s="155"/>
    </row>
    <row r="150" spans="2:3" x14ac:dyDescent="0.2">
      <c r="B150" s="155"/>
      <c r="C150" s="155"/>
    </row>
    <row r="151" spans="2:3" x14ac:dyDescent="0.2">
      <c r="B151" s="155"/>
      <c r="C151" s="155"/>
    </row>
    <row r="152" spans="2:3" x14ac:dyDescent="0.2">
      <c r="C152" s="155"/>
    </row>
    <row r="153" spans="2:3" x14ac:dyDescent="0.2">
      <c r="C153" s="155"/>
    </row>
    <row r="154" spans="2:3" x14ac:dyDescent="0.2">
      <c r="B154" s="155"/>
      <c r="C154" s="155"/>
    </row>
    <row r="155" spans="2:3" x14ac:dyDescent="0.2">
      <c r="B155" s="155"/>
      <c r="C155" s="155"/>
    </row>
    <row r="156" spans="2:3" x14ac:dyDescent="0.2">
      <c r="C156" s="155"/>
    </row>
    <row r="157" spans="2:3" x14ac:dyDescent="0.2">
      <c r="B157" s="155"/>
    </row>
    <row r="158" spans="2:3" x14ac:dyDescent="0.2">
      <c r="B158" s="155"/>
    </row>
    <row r="159" spans="2:3" x14ac:dyDescent="0.2">
      <c r="B159" s="155"/>
    </row>
  </sheetData>
  <mergeCells count="1">
    <mergeCell ref="A4:K4"/>
  </mergeCells>
  <phoneticPr fontId="0" type="noConversion"/>
  <printOptions horizontalCentered="1"/>
  <pageMargins left="0.5" right="0.5" top="0.2" bottom="0.5" header="0.5" footer="0.5"/>
  <pageSetup scale="70" orientation="landscape" r:id="rId1"/>
  <headerFooter alignWithMargins="0"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X1089"/>
  <sheetViews>
    <sheetView zoomScaleNormal="100" workbookViewId="0">
      <selection activeCell="C4" sqref="C4"/>
    </sheetView>
  </sheetViews>
  <sheetFormatPr defaultRowHeight="12.75" x14ac:dyDescent="0.2"/>
  <cols>
    <col min="1" max="1" width="14.140625" customWidth="1"/>
    <col min="2" max="2" width="15.42578125" bestFit="1" customWidth="1"/>
    <col min="3" max="3" width="12.7109375" customWidth="1"/>
    <col min="4" max="4" width="13.7109375" bestFit="1" customWidth="1"/>
    <col min="5" max="5" width="13.28515625" customWidth="1"/>
    <col min="6" max="6" width="12.5703125" customWidth="1"/>
    <col min="7" max="7" width="14.85546875" customWidth="1"/>
    <col min="8" max="8" width="12.5703125" customWidth="1"/>
    <col min="9" max="9" width="14.140625" bestFit="1" customWidth="1"/>
    <col min="10" max="10" width="14.28515625" style="155" customWidth="1"/>
    <col min="11" max="11" width="19.140625" bestFit="1" customWidth="1"/>
    <col min="12" max="13" width="11.28515625" customWidth="1"/>
    <col min="14" max="14" width="14.140625" customWidth="1"/>
    <col min="15" max="15" width="13.140625" customWidth="1"/>
    <col min="16" max="16" width="12.85546875" bestFit="1" customWidth="1"/>
    <col min="17" max="18" width="12.85546875" customWidth="1"/>
    <col min="19" max="19" width="13.42578125" customWidth="1"/>
    <col min="20" max="20" width="12.85546875" bestFit="1" customWidth="1"/>
    <col min="21" max="22" width="11.28515625" customWidth="1"/>
    <col min="23" max="23" width="11.28515625" bestFit="1" customWidth="1"/>
    <col min="24" max="24" width="12.85546875" bestFit="1" customWidth="1"/>
  </cols>
  <sheetData>
    <row r="1" spans="1:20" ht="37.5" customHeight="1" x14ac:dyDescent="0.2">
      <c r="A1" s="191" t="s">
        <v>399</v>
      </c>
      <c r="B1" s="148"/>
      <c r="C1" s="148"/>
      <c r="D1" s="149"/>
      <c r="E1" s="414" t="s">
        <v>698</v>
      </c>
      <c r="F1" s="414"/>
      <c r="G1" s="142"/>
      <c r="H1" s="142"/>
      <c r="I1" s="142"/>
      <c r="J1" s="150"/>
      <c r="K1" s="142"/>
      <c r="L1" s="142"/>
      <c r="M1" s="142"/>
      <c r="N1" s="142"/>
      <c r="O1" s="142"/>
      <c r="P1" s="142"/>
      <c r="Q1" s="142"/>
      <c r="R1" s="142"/>
      <c r="S1" s="142"/>
      <c r="T1" s="142"/>
    </row>
    <row r="2" spans="1:20" ht="38.25" x14ac:dyDescent="0.2">
      <c r="A2" s="150" t="s">
        <v>637</v>
      </c>
      <c r="C2" s="156">
        <v>1041384.54</v>
      </c>
      <c r="E2" s="413" t="s">
        <v>414</v>
      </c>
      <c r="F2" s="413"/>
      <c r="G2" s="159">
        <f>IF(C4&lt;0,0,IF(C4&lt;C2,B3,0))</f>
        <v>0</v>
      </c>
      <c r="J2"/>
    </row>
    <row r="3" spans="1:20" ht="25.5" x14ac:dyDescent="0.2">
      <c r="A3" s="150" t="s">
        <v>697</v>
      </c>
      <c r="B3" s="156">
        <f>'s3, s3b, s3d'!$J$8</f>
        <v>1103762.27</v>
      </c>
      <c r="E3" s="160" t="s">
        <v>401</v>
      </c>
      <c r="F3" s="161" t="s">
        <v>634</v>
      </c>
      <c r="G3" s="161" t="s">
        <v>699</v>
      </c>
      <c r="H3" s="161" t="s">
        <v>402</v>
      </c>
      <c r="I3" s="161" t="s">
        <v>403</v>
      </c>
      <c r="J3"/>
    </row>
    <row r="4" spans="1:20" ht="25.5" x14ac:dyDescent="0.2">
      <c r="A4" s="190" t="s">
        <v>400</v>
      </c>
      <c r="B4" s="151">
        <f>'s3, s3b, s3d'!E54</f>
        <v>2435.44</v>
      </c>
      <c r="C4" s="158">
        <f>B3-B4</f>
        <v>1101326.83</v>
      </c>
      <c r="E4" s="155" t="s">
        <v>21</v>
      </c>
      <c r="F4" s="153">
        <v>1.67E-2</v>
      </c>
      <c r="G4" s="162">
        <f t="shared" ref="G4:G20" si="0">$G$2*F4</f>
        <v>0</v>
      </c>
      <c r="H4" s="151">
        <f>'s3, s3b, s3d'!E37</f>
        <v>48.71</v>
      </c>
      <c r="I4" s="162">
        <f t="shared" ref="I4:I20" si="1">G4-H4</f>
        <v>-48.71</v>
      </c>
      <c r="J4"/>
    </row>
    <row r="5" spans="1:20" ht="49.5" customHeight="1" x14ac:dyDescent="0.2">
      <c r="E5" s="155" t="s">
        <v>22</v>
      </c>
      <c r="F5" s="153">
        <v>2.7699999999999999E-2</v>
      </c>
      <c r="G5" s="162">
        <f t="shared" si="0"/>
        <v>0</v>
      </c>
      <c r="H5" s="151">
        <f>'s3, s3b, s3d'!E38</f>
        <v>41.4</v>
      </c>
      <c r="I5" s="162">
        <f t="shared" si="1"/>
        <v>-41.4</v>
      </c>
      <c r="J5"/>
    </row>
    <row r="6" spans="1:20" ht="35.25" customHeight="1" x14ac:dyDescent="0.2">
      <c r="E6" s="155" t="s">
        <v>23</v>
      </c>
      <c r="F6" s="153">
        <v>0.43830000000000002</v>
      </c>
      <c r="G6" s="162">
        <f t="shared" si="0"/>
        <v>0</v>
      </c>
      <c r="H6" s="151">
        <f>'s3, s3b, s3d'!E39</f>
        <v>1332.2</v>
      </c>
      <c r="I6" s="162">
        <f>(G6-H6)+J21</f>
        <v>-1332.2</v>
      </c>
      <c r="J6"/>
    </row>
    <row r="7" spans="1:20" x14ac:dyDescent="0.2">
      <c r="E7" s="155" t="s">
        <v>24</v>
      </c>
      <c r="F7" s="153">
        <v>1.55E-2</v>
      </c>
      <c r="G7" s="162">
        <f t="shared" si="0"/>
        <v>0</v>
      </c>
      <c r="H7" s="151">
        <f>'s3, s3b, s3d'!E40</f>
        <v>41.4</v>
      </c>
      <c r="I7" s="162">
        <f t="shared" si="1"/>
        <v>-41.4</v>
      </c>
      <c r="J7"/>
    </row>
    <row r="8" spans="1:20" x14ac:dyDescent="0.2">
      <c r="E8" s="155" t="s">
        <v>25</v>
      </c>
      <c r="F8" s="153">
        <v>6.5299999999999997E-2</v>
      </c>
      <c r="G8" s="162">
        <f t="shared" si="0"/>
        <v>0</v>
      </c>
      <c r="H8" s="151">
        <f>'s3, s3b, s3d'!E41</f>
        <v>80.37</v>
      </c>
      <c r="I8" s="162">
        <f t="shared" si="1"/>
        <v>-80.37</v>
      </c>
      <c r="J8"/>
    </row>
    <row r="9" spans="1:20" x14ac:dyDescent="0.2">
      <c r="E9" s="155" t="s">
        <v>26</v>
      </c>
      <c r="F9" s="153">
        <v>1.52E-2</v>
      </c>
      <c r="G9" s="162">
        <f t="shared" si="0"/>
        <v>0</v>
      </c>
      <c r="H9" s="151">
        <f>'s3, s3b, s3d'!E42</f>
        <v>19.48</v>
      </c>
      <c r="I9" s="162">
        <f t="shared" si="1"/>
        <v>-19.48</v>
      </c>
      <c r="J9"/>
    </row>
    <row r="10" spans="1:20" x14ac:dyDescent="0.2">
      <c r="E10" s="155" t="s">
        <v>27</v>
      </c>
      <c r="F10" s="153">
        <v>1.9400000000000001E-2</v>
      </c>
      <c r="G10" s="162">
        <f t="shared" si="0"/>
        <v>0</v>
      </c>
      <c r="H10" s="151">
        <f>'s3, s3b, s3d'!E43</f>
        <v>38.97</v>
      </c>
      <c r="I10" s="162">
        <f t="shared" si="1"/>
        <v>-38.97</v>
      </c>
      <c r="J10"/>
    </row>
    <row r="11" spans="1:20" x14ac:dyDescent="0.2">
      <c r="E11" s="155" t="s">
        <v>28</v>
      </c>
      <c r="F11" s="153">
        <v>3.9199999999999999E-2</v>
      </c>
      <c r="G11" s="162">
        <f t="shared" si="0"/>
        <v>0</v>
      </c>
      <c r="H11" s="151">
        <f>'s3, s3b, s3d'!E44</f>
        <v>51.14</v>
      </c>
      <c r="I11" s="162">
        <f t="shared" si="1"/>
        <v>-51.14</v>
      </c>
      <c r="J11"/>
    </row>
    <row r="12" spans="1:20" x14ac:dyDescent="0.2">
      <c r="E12" s="155" t="s">
        <v>29</v>
      </c>
      <c r="F12" s="153">
        <v>2.4799999999999999E-2</v>
      </c>
      <c r="G12" s="162">
        <f t="shared" si="0"/>
        <v>0</v>
      </c>
      <c r="H12" s="151">
        <f>'s3, s3b, s3d'!E45</f>
        <v>51.14</v>
      </c>
      <c r="I12" s="162">
        <f t="shared" si="1"/>
        <v>-51.14</v>
      </c>
      <c r="J12"/>
    </row>
    <row r="13" spans="1:20" x14ac:dyDescent="0.2">
      <c r="E13" s="155" t="s">
        <v>30</v>
      </c>
      <c r="F13" s="153">
        <v>4.3200000000000002E-2</v>
      </c>
      <c r="G13" s="162">
        <f t="shared" si="0"/>
        <v>0</v>
      </c>
      <c r="H13" s="151">
        <f>'s3, s3b, s3d'!E46</f>
        <v>77.930000000000007</v>
      </c>
      <c r="I13" s="162">
        <f t="shared" si="1"/>
        <v>-77.930000000000007</v>
      </c>
      <c r="J13"/>
    </row>
    <row r="14" spans="1:20" x14ac:dyDescent="0.2">
      <c r="E14" s="155" t="s">
        <v>31</v>
      </c>
      <c r="F14" s="153">
        <v>1.89E-2</v>
      </c>
      <c r="G14" s="162">
        <f t="shared" si="0"/>
        <v>0</v>
      </c>
      <c r="H14" s="151">
        <f>'s3, s3b, s3d'!E47</f>
        <v>51.14</v>
      </c>
      <c r="I14" s="162">
        <f t="shared" si="1"/>
        <v>-51.14</v>
      </c>
      <c r="J14"/>
    </row>
    <row r="15" spans="1:20" x14ac:dyDescent="0.2">
      <c r="E15" s="155" t="s">
        <v>404</v>
      </c>
      <c r="F15" s="153">
        <v>1.4E-2</v>
      </c>
      <c r="G15" s="162">
        <f t="shared" si="0"/>
        <v>0</v>
      </c>
      <c r="H15" s="151">
        <f>'s3, s3b, s3d'!E48</f>
        <v>17.05</v>
      </c>
      <c r="I15" s="162">
        <f t="shared" si="1"/>
        <v>-17.05</v>
      </c>
      <c r="J15"/>
    </row>
    <row r="16" spans="1:20" x14ac:dyDescent="0.2">
      <c r="E16" s="155" t="s">
        <v>33</v>
      </c>
      <c r="F16" s="153">
        <v>6.7699999999999996E-2</v>
      </c>
      <c r="G16" s="162">
        <f t="shared" si="0"/>
        <v>0</v>
      </c>
      <c r="H16" s="151">
        <f>'s3, s3b, s3d'!E49</f>
        <v>109.6</v>
      </c>
      <c r="I16" s="162">
        <f t="shared" si="1"/>
        <v>-109.6</v>
      </c>
      <c r="J16"/>
    </row>
    <row r="17" spans="1:22" x14ac:dyDescent="0.2">
      <c r="E17" s="155" t="s">
        <v>34</v>
      </c>
      <c r="F17" s="153">
        <v>2.8400000000000002E-2</v>
      </c>
      <c r="G17" s="162">
        <f t="shared" si="0"/>
        <v>0</v>
      </c>
      <c r="H17" s="151">
        <f>'s3, s3b, s3d'!E50</f>
        <v>80.37</v>
      </c>
      <c r="I17" s="162">
        <f t="shared" si="1"/>
        <v>-80.37</v>
      </c>
      <c r="J17"/>
    </row>
    <row r="18" spans="1:22" x14ac:dyDescent="0.2">
      <c r="E18" s="155" t="s">
        <v>35</v>
      </c>
      <c r="F18" s="153">
        <v>2.2000000000000001E-3</v>
      </c>
      <c r="G18" s="162">
        <f t="shared" si="0"/>
        <v>0</v>
      </c>
      <c r="H18" s="151">
        <f>'s3, s3b, s3d'!E51</f>
        <v>4.87</v>
      </c>
      <c r="I18" s="162">
        <f t="shared" si="1"/>
        <v>-4.87</v>
      </c>
      <c r="J18"/>
    </row>
    <row r="19" spans="1:22" x14ac:dyDescent="0.2">
      <c r="E19" s="155" t="s">
        <v>36</v>
      </c>
      <c r="F19" s="153">
        <v>0.1232</v>
      </c>
      <c r="G19" s="162">
        <f t="shared" si="0"/>
        <v>0</v>
      </c>
      <c r="H19" s="151">
        <f>'s3, s3b, s3d'!E52</f>
        <v>338.53</v>
      </c>
      <c r="I19" s="162">
        <f t="shared" si="1"/>
        <v>-338.53</v>
      </c>
      <c r="J19"/>
    </row>
    <row r="20" spans="1:22" x14ac:dyDescent="0.2">
      <c r="E20" s="155" t="s">
        <v>37</v>
      </c>
      <c r="F20" s="153">
        <v>4.0300000000000002E-2</v>
      </c>
      <c r="G20" s="162">
        <f t="shared" si="0"/>
        <v>0</v>
      </c>
      <c r="H20" s="151">
        <f>'s3, s3b, s3d'!E53</f>
        <v>51.14</v>
      </c>
      <c r="I20" s="162">
        <f t="shared" si="1"/>
        <v>-51.14</v>
      </c>
      <c r="J20"/>
    </row>
    <row r="21" spans="1:22" ht="13.5" thickBot="1" x14ac:dyDescent="0.25">
      <c r="E21" s="150" t="s">
        <v>250</v>
      </c>
      <c r="F21" s="163">
        <f>SUM(F4:F20)</f>
        <v>1</v>
      </c>
      <c r="G21" s="164">
        <f>SUM(G4:G20)</f>
        <v>0</v>
      </c>
      <c r="H21" s="165">
        <f>SUM(H4:H20)</f>
        <v>2435.44</v>
      </c>
      <c r="I21" s="164">
        <f>SUM(I4:I20)</f>
        <v>-2435.44</v>
      </c>
      <c r="J21" s="162">
        <f>G2-G21</f>
        <v>0</v>
      </c>
    </row>
    <row r="22" spans="1:22" ht="26.25" customHeight="1" thickTop="1" thickBot="1" x14ac:dyDescent="0.25">
      <c r="A22" s="415" t="s">
        <v>700</v>
      </c>
      <c r="B22" s="415"/>
      <c r="C22" s="415"/>
      <c r="J22"/>
    </row>
    <row r="23" spans="1:22" ht="37.5" customHeight="1" thickBot="1" x14ac:dyDescent="0.25">
      <c r="A23" s="413" t="s">
        <v>415</v>
      </c>
      <c r="B23" s="413"/>
      <c r="C23" s="151">
        <f>IF(C4&gt;C2,B3,0)</f>
        <v>1103762.27</v>
      </c>
      <c r="D23" s="151"/>
      <c r="E23" s="151"/>
      <c r="F23" s="151"/>
      <c r="J23"/>
      <c r="L23" s="410" t="s">
        <v>657</v>
      </c>
      <c r="M23" s="411"/>
      <c r="N23" s="411"/>
      <c r="O23" s="412"/>
      <c r="R23" s="150" t="s">
        <v>702</v>
      </c>
    </row>
    <row r="24" spans="1:22" ht="89.25" x14ac:dyDescent="0.2">
      <c r="A24" s="167" t="s">
        <v>405</v>
      </c>
      <c r="B24" s="167" t="s">
        <v>406</v>
      </c>
      <c r="C24" s="167" t="s">
        <v>407</v>
      </c>
      <c r="D24" s="167" t="s">
        <v>408</v>
      </c>
      <c r="E24" s="167" t="s">
        <v>409</v>
      </c>
      <c r="F24" s="167" t="s">
        <v>695</v>
      </c>
      <c r="G24" s="168" t="s">
        <v>696</v>
      </c>
      <c r="H24" s="167" t="s">
        <v>410</v>
      </c>
      <c r="I24" s="167" t="s">
        <v>411</v>
      </c>
      <c r="J24" s="167" t="s">
        <v>635</v>
      </c>
      <c r="K24" s="321" t="s">
        <v>636</v>
      </c>
      <c r="L24" s="320" t="s">
        <v>658</v>
      </c>
      <c r="M24" s="320" t="s">
        <v>659</v>
      </c>
      <c r="N24" s="320" t="s">
        <v>660</v>
      </c>
      <c r="O24" s="320" t="s">
        <v>661</v>
      </c>
      <c r="P24" s="167" t="s">
        <v>701</v>
      </c>
      <c r="Q24" s="168" t="s">
        <v>412</v>
      </c>
      <c r="R24" s="169">
        <f>IF(C4-C2&gt;0,C4-C2,0)</f>
        <v>59942.29</v>
      </c>
      <c r="S24" s="167" t="s">
        <v>114</v>
      </c>
      <c r="T24" s="330" t="s">
        <v>662</v>
      </c>
      <c r="U24" s="331" t="s">
        <v>663</v>
      </c>
    </row>
    <row r="25" spans="1:22" x14ac:dyDescent="0.2">
      <c r="A25" s="155" t="s">
        <v>21</v>
      </c>
      <c r="B25" s="170">
        <v>55220</v>
      </c>
      <c r="C25" s="144">
        <f>ROUND(B25/$B$42,4)</f>
        <v>2.4E-2</v>
      </c>
      <c r="D25" s="384">
        <v>248.51</v>
      </c>
      <c r="E25" s="144">
        <f>ROUND(D25/$D$42,4)</f>
        <v>1.24E-2</v>
      </c>
      <c r="F25" s="144">
        <f>ROUND((C25*2/3)+(E25/3),4)</f>
        <v>2.01E-2</v>
      </c>
      <c r="G25" s="162">
        <f t="shared" ref="G25:G41" si="2">$C$23*F25</f>
        <v>22185.62</v>
      </c>
      <c r="H25" s="162">
        <f t="shared" ref="H25:H41" si="3">H4</f>
        <v>48.71</v>
      </c>
      <c r="I25" s="162">
        <f t="shared" ref="I25:I41" si="4">G25-H25</f>
        <v>22136.91</v>
      </c>
      <c r="J25" s="153">
        <f t="shared" ref="J25:J41" si="5">F4</f>
        <v>1.67E-2</v>
      </c>
      <c r="K25" s="162">
        <f t="shared" ref="K25:K41" si="6">$C$2*J25</f>
        <v>17391.12</v>
      </c>
      <c r="L25" s="338">
        <f>IF((I25&gt;K25), I25-K25, 0)</f>
        <v>4745.79</v>
      </c>
      <c r="M25" s="339">
        <f>L25/$L$42</f>
        <v>2.5301000000000001E-2</v>
      </c>
      <c r="N25" s="340">
        <f>IF((K25&gt;I25), K25-I25, 0)</f>
        <v>0</v>
      </c>
      <c r="O25" s="341">
        <f>$O$42*M25</f>
        <v>1516.6</v>
      </c>
      <c r="P25" s="144">
        <f t="shared" ref="P25:P41" si="7">IF(I25-K25&lt;=0,0,F25)</f>
        <v>2.01E-2</v>
      </c>
      <c r="Q25" s="144">
        <f t="shared" ref="Q25:Q41" si="8">IF(P25=0,0,P25/$P$42)</f>
        <v>2.5888000000000001E-2</v>
      </c>
      <c r="R25" s="162">
        <f t="shared" ref="R25:R41" si="9">Q25*$R$24</f>
        <v>1551.79</v>
      </c>
      <c r="S25" s="162">
        <f>K25+R25</f>
        <v>18942.91</v>
      </c>
      <c r="T25" s="332">
        <f>K25+O25</f>
        <v>18907.72</v>
      </c>
      <c r="U25" s="336">
        <f>+S25-T25</f>
        <v>35.19</v>
      </c>
      <c r="V25" s="162">
        <f t="shared" ref="V25:V42" si="10">K25+R25</f>
        <v>18942.91</v>
      </c>
    </row>
    <row r="26" spans="1:22" x14ac:dyDescent="0.2">
      <c r="A26" s="155" t="s">
        <v>22</v>
      </c>
      <c r="B26" s="170">
        <v>25808</v>
      </c>
      <c r="C26" s="144">
        <f t="shared" ref="C26:C41" si="11">ROUND(B26/$B$42,4)</f>
        <v>1.12E-2</v>
      </c>
      <c r="D26" s="384">
        <v>587.17999999999995</v>
      </c>
      <c r="E26" s="144">
        <f t="shared" ref="E26:E41" si="12">ROUND(D26/$D$42,4)</f>
        <v>2.9399999999999999E-2</v>
      </c>
      <c r="F26" s="144">
        <f t="shared" ref="F26:F41" si="13">ROUND((C26*2/3)+(E26/3),4)</f>
        <v>1.7299999999999999E-2</v>
      </c>
      <c r="G26" s="162">
        <f t="shared" si="2"/>
        <v>19095.09</v>
      </c>
      <c r="H26" s="162">
        <f t="shared" si="3"/>
        <v>41.4</v>
      </c>
      <c r="I26" s="162">
        <f t="shared" si="4"/>
        <v>19053.689999999999</v>
      </c>
      <c r="J26" s="153">
        <f t="shared" si="5"/>
        <v>2.7699999999999999E-2</v>
      </c>
      <c r="K26" s="162">
        <f t="shared" si="6"/>
        <v>28846.35</v>
      </c>
      <c r="L26" s="345">
        <f>IF((I26&gt;K26), I26-K26, 0)</f>
        <v>0</v>
      </c>
      <c r="M26" s="339"/>
      <c r="N26" s="346">
        <f>IF((K26&gt;I26), K26-I26, 0)</f>
        <v>9792.66</v>
      </c>
      <c r="O26" s="347"/>
      <c r="P26" s="144">
        <f t="shared" si="7"/>
        <v>0</v>
      </c>
      <c r="Q26" s="144">
        <f t="shared" si="8"/>
        <v>0</v>
      </c>
      <c r="R26" s="162">
        <f t="shared" si="9"/>
        <v>0</v>
      </c>
      <c r="S26" s="162">
        <f>K26+R26</f>
        <v>28846.35</v>
      </c>
      <c r="T26" s="332">
        <f t="shared" ref="T26:T41" si="14">K26+O26</f>
        <v>28846.35</v>
      </c>
      <c r="U26" s="336">
        <f t="shared" ref="U26:U41" si="15">+S26-T26</f>
        <v>0</v>
      </c>
      <c r="V26" s="162">
        <f t="shared" si="10"/>
        <v>28846.35</v>
      </c>
    </row>
    <row r="27" spans="1:22" x14ac:dyDescent="0.2">
      <c r="A27" s="214" t="s">
        <v>23</v>
      </c>
      <c r="B27" s="170">
        <v>1620748</v>
      </c>
      <c r="C27" s="144">
        <f t="shared" si="11"/>
        <v>0.70569999999999999</v>
      </c>
      <c r="D27" s="384">
        <v>4499.7700000000004</v>
      </c>
      <c r="E27" s="144">
        <f t="shared" si="12"/>
        <v>0.22509999999999999</v>
      </c>
      <c r="F27" s="386">
        <f>ROUND((C27*2/3)+(E27/3),4)+0.000014</f>
        <v>0.54551400000000005</v>
      </c>
      <c r="G27" s="162">
        <f t="shared" si="2"/>
        <v>602117.77</v>
      </c>
      <c r="H27" s="162">
        <f t="shared" si="3"/>
        <v>1332.2</v>
      </c>
      <c r="I27" s="162">
        <f t="shared" si="4"/>
        <v>600785.56999999995</v>
      </c>
      <c r="J27" s="153">
        <f t="shared" si="5"/>
        <v>0.43830000000000002</v>
      </c>
      <c r="K27" s="162">
        <f t="shared" si="6"/>
        <v>456438.84</v>
      </c>
      <c r="L27" s="345">
        <f t="shared" ref="L27:L41" si="16">IF((I27&gt;K27), I27-K27, 0)</f>
        <v>144346.73000000001</v>
      </c>
      <c r="M27" s="339">
        <f>L27/$L$42</f>
        <v>0.76955300000000004</v>
      </c>
      <c r="N27" s="346">
        <f t="shared" ref="N27:N41" si="17">IF((K27&gt;I27), K27-I27, 0)</f>
        <v>0</v>
      </c>
      <c r="O27" s="347">
        <f>$O$42*M27</f>
        <v>46128.76</v>
      </c>
      <c r="P27" s="144">
        <f t="shared" si="7"/>
        <v>0.54551400000000005</v>
      </c>
      <c r="Q27" s="144">
        <f t="shared" si="8"/>
        <v>0.70259400000000005</v>
      </c>
      <c r="R27" s="162">
        <f t="shared" si="9"/>
        <v>42115.09</v>
      </c>
      <c r="S27" s="162">
        <f>K27+R27-X42</f>
        <v>498553.93</v>
      </c>
      <c r="T27" s="332">
        <f t="shared" si="14"/>
        <v>502567.6</v>
      </c>
      <c r="U27" s="336">
        <f t="shared" si="15"/>
        <v>-4013.67</v>
      </c>
      <c r="V27" s="162">
        <f t="shared" si="10"/>
        <v>498553.93</v>
      </c>
    </row>
    <row r="28" spans="1:22" x14ac:dyDescent="0.2">
      <c r="A28" s="214" t="s">
        <v>24</v>
      </c>
      <c r="B28" s="170">
        <v>45603</v>
      </c>
      <c r="C28" s="144">
        <f t="shared" si="11"/>
        <v>1.9900000000000001E-2</v>
      </c>
      <c r="D28" s="384">
        <v>208</v>
      </c>
      <c r="E28" s="144">
        <f t="shared" si="12"/>
        <v>1.04E-2</v>
      </c>
      <c r="F28" s="386">
        <f>ROUND((C28*2/3)+(E28/3),4)+0.000014</f>
        <v>1.6714E-2</v>
      </c>
      <c r="G28" s="162">
        <f t="shared" si="2"/>
        <v>18448.28</v>
      </c>
      <c r="H28" s="162">
        <f t="shared" si="3"/>
        <v>41.4</v>
      </c>
      <c r="I28" s="162">
        <f t="shared" si="4"/>
        <v>18406.88</v>
      </c>
      <c r="J28" s="153">
        <f t="shared" si="5"/>
        <v>1.55E-2</v>
      </c>
      <c r="K28" s="162">
        <f t="shared" si="6"/>
        <v>16141.46</v>
      </c>
      <c r="L28" s="345">
        <f t="shared" si="16"/>
        <v>2265.42</v>
      </c>
      <c r="M28" s="339">
        <f>L28/$L$42</f>
        <v>1.2078E-2</v>
      </c>
      <c r="N28" s="346">
        <f t="shared" si="17"/>
        <v>0</v>
      </c>
      <c r="O28" s="347">
        <f>$O$42*M28</f>
        <v>723.98</v>
      </c>
      <c r="P28" s="144">
        <f t="shared" si="7"/>
        <v>1.6714E-2</v>
      </c>
      <c r="Q28" s="144">
        <f t="shared" si="8"/>
        <v>2.1527000000000001E-2</v>
      </c>
      <c r="R28" s="162">
        <f t="shared" si="9"/>
        <v>1290.3800000000001</v>
      </c>
      <c r="S28" s="162">
        <f t="shared" ref="S28:S41" si="18">K28+R28</f>
        <v>17431.84</v>
      </c>
      <c r="T28" s="332">
        <f t="shared" si="14"/>
        <v>16865.439999999999</v>
      </c>
      <c r="U28" s="336">
        <f t="shared" si="15"/>
        <v>566.4</v>
      </c>
      <c r="V28" s="162">
        <f t="shared" si="10"/>
        <v>17431.84</v>
      </c>
    </row>
    <row r="29" spans="1:22" x14ac:dyDescent="0.2">
      <c r="A29" s="214" t="s">
        <v>25</v>
      </c>
      <c r="B29" s="170">
        <v>45805</v>
      </c>
      <c r="C29" s="144">
        <f t="shared" si="11"/>
        <v>1.9900000000000001E-2</v>
      </c>
      <c r="D29" s="384">
        <v>1170.3599999999999</v>
      </c>
      <c r="E29" s="144">
        <f t="shared" si="12"/>
        <v>5.8599999999999999E-2</v>
      </c>
      <c r="F29" s="386">
        <f>ROUND((C29*2/3)+(E29/3),4)+0.000014</f>
        <v>3.2814000000000003E-2</v>
      </c>
      <c r="G29" s="162">
        <f t="shared" si="2"/>
        <v>36218.86</v>
      </c>
      <c r="H29" s="162">
        <f t="shared" si="3"/>
        <v>80.37</v>
      </c>
      <c r="I29" s="162">
        <f t="shared" si="4"/>
        <v>36138.49</v>
      </c>
      <c r="J29" s="153">
        <f t="shared" si="5"/>
        <v>6.5299999999999997E-2</v>
      </c>
      <c r="K29" s="162">
        <f t="shared" si="6"/>
        <v>68002.41</v>
      </c>
      <c r="L29" s="345">
        <f t="shared" si="16"/>
        <v>0</v>
      </c>
      <c r="M29" s="339"/>
      <c r="N29" s="346">
        <f t="shared" si="17"/>
        <v>31863.919999999998</v>
      </c>
      <c r="O29" s="347"/>
      <c r="P29" s="144">
        <f t="shared" si="7"/>
        <v>0</v>
      </c>
      <c r="Q29" s="144">
        <f t="shared" si="8"/>
        <v>0</v>
      </c>
      <c r="R29" s="162">
        <f t="shared" si="9"/>
        <v>0</v>
      </c>
      <c r="S29" s="162">
        <f t="shared" si="18"/>
        <v>68002.41</v>
      </c>
      <c r="T29" s="332">
        <f t="shared" si="14"/>
        <v>68002.41</v>
      </c>
      <c r="U29" s="336">
        <f t="shared" si="15"/>
        <v>0</v>
      </c>
      <c r="V29" s="162">
        <f t="shared" si="10"/>
        <v>68002.41</v>
      </c>
    </row>
    <row r="30" spans="1:22" x14ac:dyDescent="0.2">
      <c r="A30" s="155" t="s">
        <v>26</v>
      </c>
      <c r="B30" s="170">
        <v>1116</v>
      </c>
      <c r="C30" s="144">
        <f t="shared" si="11"/>
        <v>5.0000000000000001E-4</v>
      </c>
      <c r="D30" s="384">
        <v>469.33</v>
      </c>
      <c r="E30" s="144">
        <f t="shared" si="12"/>
        <v>2.35E-2</v>
      </c>
      <c r="F30" s="144">
        <f t="shared" si="13"/>
        <v>8.2000000000000007E-3</v>
      </c>
      <c r="G30" s="162">
        <f t="shared" si="2"/>
        <v>9050.85</v>
      </c>
      <c r="H30" s="162">
        <f t="shared" si="3"/>
        <v>19.48</v>
      </c>
      <c r="I30" s="162">
        <f t="shared" si="4"/>
        <v>9031.3700000000008</v>
      </c>
      <c r="J30" s="153">
        <f t="shared" si="5"/>
        <v>1.52E-2</v>
      </c>
      <c r="K30" s="162">
        <f t="shared" si="6"/>
        <v>15829.05</v>
      </c>
      <c r="L30" s="345">
        <f t="shared" si="16"/>
        <v>0</v>
      </c>
      <c r="M30" s="339"/>
      <c r="N30" s="346">
        <f t="shared" si="17"/>
        <v>6797.68</v>
      </c>
      <c r="O30" s="347"/>
      <c r="P30" s="144">
        <f t="shared" si="7"/>
        <v>0</v>
      </c>
      <c r="Q30" s="144">
        <f t="shared" si="8"/>
        <v>0</v>
      </c>
      <c r="R30" s="162">
        <f t="shared" si="9"/>
        <v>0</v>
      </c>
      <c r="S30" s="162">
        <f t="shared" si="18"/>
        <v>15829.05</v>
      </c>
      <c r="T30" s="332">
        <f t="shared" si="14"/>
        <v>15829.05</v>
      </c>
      <c r="U30" s="336">
        <f t="shared" si="15"/>
        <v>0</v>
      </c>
      <c r="V30" s="162">
        <f t="shared" si="10"/>
        <v>15829.05</v>
      </c>
    </row>
    <row r="31" spans="1:22" x14ac:dyDescent="0.2">
      <c r="A31" s="155" t="s">
        <v>27</v>
      </c>
      <c r="B31" s="170">
        <v>1420</v>
      </c>
      <c r="C31" s="144">
        <f t="shared" si="11"/>
        <v>5.9999999999999995E-4</v>
      </c>
      <c r="D31" s="384">
        <v>959.88</v>
      </c>
      <c r="E31" s="144">
        <f t="shared" si="12"/>
        <v>4.8000000000000001E-2</v>
      </c>
      <c r="F31" s="144">
        <f t="shared" si="13"/>
        <v>1.6400000000000001E-2</v>
      </c>
      <c r="G31" s="162">
        <f t="shared" si="2"/>
        <v>18101.7</v>
      </c>
      <c r="H31" s="162">
        <f t="shared" si="3"/>
        <v>38.97</v>
      </c>
      <c r="I31" s="162">
        <f t="shared" si="4"/>
        <v>18062.73</v>
      </c>
      <c r="J31" s="153">
        <f t="shared" si="5"/>
        <v>1.9400000000000001E-2</v>
      </c>
      <c r="K31" s="162">
        <f t="shared" si="6"/>
        <v>20202.86</v>
      </c>
      <c r="L31" s="345">
        <f t="shared" si="16"/>
        <v>0</v>
      </c>
      <c r="M31" s="339"/>
      <c r="N31" s="346">
        <f t="shared" si="17"/>
        <v>2140.13</v>
      </c>
      <c r="O31" s="347"/>
      <c r="P31" s="144">
        <f t="shared" si="7"/>
        <v>0</v>
      </c>
      <c r="Q31" s="144">
        <f t="shared" si="8"/>
        <v>0</v>
      </c>
      <c r="R31" s="162">
        <f t="shared" si="9"/>
        <v>0</v>
      </c>
      <c r="S31" s="162">
        <f t="shared" si="18"/>
        <v>20202.86</v>
      </c>
      <c r="T31" s="332">
        <f t="shared" si="14"/>
        <v>20202.86</v>
      </c>
      <c r="U31" s="336">
        <f t="shared" si="15"/>
        <v>0</v>
      </c>
      <c r="V31" s="162">
        <f t="shared" si="10"/>
        <v>20202.86</v>
      </c>
    </row>
    <row r="32" spans="1:22" x14ac:dyDescent="0.2">
      <c r="A32" s="155" t="s">
        <v>28</v>
      </c>
      <c r="B32" s="170">
        <v>16457</v>
      </c>
      <c r="C32" s="144">
        <f t="shared" si="11"/>
        <v>7.1999999999999998E-3</v>
      </c>
      <c r="D32" s="384">
        <v>1001.98</v>
      </c>
      <c r="E32" s="144">
        <f t="shared" si="12"/>
        <v>5.0099999999999999E-2</v>
      </c>
      <c r="F32" s="144">
        <f t="shared" si="13"/>
        <v>2.1499999999999998E-2</v>
      </c>
      <c r="G32" s="162">
        <f t="shared" si="2"/>
        <v>23730.89</v>
      </c>
      <c r="H32" s="162">
        <f t="shared" si="3"/>
        <v>51.14</v>
      </c>
      <c r="I32" s="162">
        <f t="shared" si="4"/>
        <v>23679.75</v>
      </c>
      <c r="J32" s="153">
        <f t="shared" si="5"/>
        <v>3.9199999999999999E-2</v>
      </c>
      <c r="K32" s="162">
        <f t="shared" si="6"/>
        <v>40822.269999999997</v>
      </c>
      <c r="L32" s="345">
        <f t="shared" si="16"/>
        <v>0</v>
      </c>
      <c r="M32" s="339"/>
      <c r="N32" s="346">
        <f t="shared" si="17"/>
        <v>17142.52</v>
      </c>
      <c r="O32" s="347"/>
      <c r="P32" s="144">
        <f t="shared" si="7"/>
        <v>0</v>
      </c>
      <c r="Q32" s="144">
        <f t="shared" si="8"/>
        <v>0</v>
      </c>
      <c r="R32" s="162">
        <f t="shared" si="9"/>
        <v>0</v>
      </c>
      <c r="S32" s="162">
        <f t="shared" si="18"/>
        <v>40822.269999999997</v>
      </c>
      <c r="T32" s="332">
        <f t="shared" si="14"/>
        <v>40822.269999999997</v>
      </c>
      <c r="U32" s="336">
        <f t="shared" si="15"/>
        <v>0</v>
      </c>
      <c r="V32" s="162">
        <f t="shared" si="10"/>
        <v>40822.269999999997</v>
      </c>
    </row>
    <row r="33" spans="1:24" x14ac:dyDescent="0.2">
      <c r="A33" s="214" t="s">
        <v>29</v>
      </c>
      <c r="B33" s="170">
        <v>5277</v>
      </c>
      <c r="C33" s="144">
        <f t="shared" si="11"/>
        <v>2.3E-3</v>
      </c>
      <c r="D33" s="384">
        <v>1148.6099999999999</v>
      </c>
      <c r="E33" s="144">
        <f t="shared" si="12"/>
        <v>5.7500000000000002E-2</v>
      </c>
      <c r="F33" s="386">
        <f>ROUND((C33*2/3)+(E33/3),4)+0.000014</f>
        <v>2.0714E-2</v>
      </c>
      <c r="G33" s="162">
        <f t="shared" si="2"/>
        <v>22863.33</v>
      </c>
      <c r="H33" s="162">
        <f t="shared" si="3"/>
        <v>51.14</v>
      </c>
      <c r="I33" s="162">
        <f t="shared" si="4"/>
        <v>22812.19</v>
      </c>
      <c r="J33" s="153">
        <f t="shared" si="5"/>
        <v>2.4799999999999999E-2</v>
      </c>
      <c r="K33" s="162">
        <f t="shared" si="6"/>
        <v>25826.34</v>
      </c>
      <c r="L33" s="345">
        <f t="shared" si="16"/>
        <v>0</v>
      </c>
      <c r="M33" s="339"/>
      <c r="N33" s="346">
        <f t="shared" si="17"/>
        <v>3014.15</v>
      </c>
      <c r="O33" s="347"/>
      <c r="P33" s="144">
        <f t="shared" si="7"/>
        <v>0</v>
      </c>
      <c r="Q33" s="144">
        <f t="shared" si="8"/>
        <v>0</v>
      </c>
      <c r="R33" s="162">
        <f t="shared" si="9"/>
        <v>0</v>
      </c>
      <c r="S33" s="162">
        <f t="shared" si="18"/>
        <v>25826.34</v>
      </c>
      <c r="T33" s="332">
        <f t="shared" si="14"/>
        <v>25826.34</v>
      </c>
      <c r="U33" s="336">
        <f t="shared" si="15"/>
        <v>0</v>
      </c>
      <c r="V33" s="162">
        <f t="shared" si="10"/>
        <v>25826.34</v>
      </c>
    </row>
    <row r="34" spans="1:24" x14ac:dyDescent="0.2">
      <c r="A34" s="155" t="s">
        <v>30</v>
      </c>
      <c r="B34" s="170">
        <v>3749</v>
      </c>
      <c r="C34" s="144">
        <f t="shared" si="11"/>
        <v>1.6000000000000001E-3</v>
      </c>
      <c r="D34" s="384">
        <v>1874.9</v>
      </c>
      <c r="E34" s="144">
        <f t="shared" si="12"/>
        <v>9.3799999999999994E-2</v>
      </c>
      <c r="F34" s="144">
        <f t="shared" si="13"/>
        <v>3.2300000000000002E-2</v>
      </c>
      <c r="G34" s="162">
        <f t="shared" si="2"/>
        <v>35651.519999999997</v>
      </c>
      <c r="H34" s="162">
        <f t="shared" si="3"/>
        <v>77.930000000000007</v>
      </c>
      <c r="I34" s="162">
        <f t="shared" si="4"/>
        <v>35573.589999999997</v>
      </c>
      <c r="J34" s="153">
        <f t="shared" si="5"/>
        <v>4.3200000000000002E-2</v>
      </c>
      <c r="K34" s="162">
        <f t="shared" si="6"/>
        <v>44987.81</v>
      </c>
      <c r="L34" s="345">
        <f t="shared" si="16"/>
        <v>0</v>
      </c>
      <c r="M34" s="339"/>
      <c r="N34" s="346">
        <f t="shared" si="17"/>
        <v>9414.2199999999993</v>
      </c>
      <c r="O34" s="347"/>
      <c r="P34" s="144">
        <f t="shared" si="7"/>
        <v>0</v>
      </c>
      <c r="Q34" s="144">
        <f t="shared" si="8"/>
        <v>0</v>
      </c>
      <c r="R34" s="162">
        <f t="shared" si="9"/>
        <v>0</v>
      </c>
      <c r="S34" s="162">
        <f t="shared" si="18"/>
        <v>44987.81</v>
      </c>
      <c r="T34" s="332">
        <f t="shared" si="14"/>
        <v>44987.81</v>
      </c>
      <c r="U34" s="336">
        <f t="shared" si="15"/>
        <v>0</v>
      </c>
      <c r="V34" s="162">
        <f t="shared" si="10"/>
        <v>44987.81</v>
      </c>
    </row>
    <row r="35" spans="1:24" x14ac:dyDescent="0.2">
      <c r="A35" s="155" t="s">
        <v>31</v>
      </c>
      <c r="B35" s="170">
        <v>41244</v>
      </c>
      <c r="C35" s="144">
        <f t="shared" si="11"/>
        <v>1.7999999999999999E-2</v>
      </c>
      <c r="D35" s="384">
        <v>571.22</v>
      </c>
      <c r="E35" s="144">
        <f t="shared" si="12"/>
        <v>2.86E-2</v>
      </c>
      <c r="F35" s="144">
        <f t="shared" si="13"/>
        <v>2.1499999999999998E-2</v>
      </c>
      <c r="G35" s="162">
        <f t="shared" si="2"/>
        <v>23730.89</v>
      </c>
      <c r="H35" s="162">
        <f t="shared" si="3"/>
        <v>51.14</v>
      </c>
      <c r="I35" s="162">
        <f t="shared" si="4"/>
        <v>23679.75</v>
      </c>
      <c r="J35" s="153">
        <f t="shared" si="5"/>
        <v>1.89E-2</v>
      </c>
      <c r="K35" s="162">
        <f t="shared" si="6"/>
        <v>19682.169999999998</v>
      </c>
      <c r="L35" s="345">
        <f t="shared" si="16"/>
        <v>3997.58</v>
      </c>
      <c r="M35" s="339">
        <f>L35/$L$42</f>
        <v>2.1312000000000001E-2</v>
      </c>
      <c r="N35" s="346">
        <f t="shared" si="17"/>
        <v>0</v>
      </c>
      <c r="O35" s="347">
        <f>$O$42*M35</f>
        <v>1277.49</v>
      </c>
      <c r="P35" s="144">
        <f t="shared" si="7"/>
        <v>2.1499999999999998E-2</v>
      </c>
      <c r="Q35" s="144">
        <f t="shared" si="8"/>
        <v>2.7691E-2</v>
      </c>
      <c r="R35" s="162">
        <f t="shared" si="9"/>
        <v>1659.86</v>
      </c>
      <c r="S35" s="162">
        <f t="shared" si="18"/>
        <v>21342.03</v>
      </c>
      <c r="T35" s="332">
        <f t="shared" si="14"/>
        <v>20959.66</v>
      </c>
      <c r="U35" s="336">
        <f t="shared" si="15"/>
        <v>382.37</v>
      </c>
      <c r="V35" s="162">
        <f t="shared" si="10"/>
        <v>21342.03</v>
      </c>
    </row>
    <row r="36" spans="1:24" x14ac:dyDescent="0.2">
      <c r="A36" s="214" t="s">
        <v>404</v>
      </c>
      <c r="B36" s="170">
        <v>4687</v>
      </c>
      <c r="C36" s="144">
        <f t="shared" si="11"/>
        <v>2E-3</v>
      </c>
      <c r="D36" s="384">
        <v>323.85000000000002</v>
      </c>
      <c r="E36" s="144">
        <f t="shared" si="12"/>
        <v>1.6199999999999999E-2</v>
      </c>
      <c r="F36" s="386">
        <f>ROUND((C36*2/3)+(E36/3),4)+0.000015</f>
        <v>6.7149999999999996E-3</v>
      </c>
      <c r="G36" s="162">
        <f t="shared" si="2"/>
        <v>7411.76</v>
      </c>
      <c r="H36" s="162">
        <f t="shared" si="3"/>
        <v>17.05</v>
      </c>
      <c r="I36" s="162">
        <f t="shared" si="4"/>
        <v>7394.71</v>
      </c>
      <c r="J36" s="153">
        <f t="shared" si="5"/>
        <v>1.4E-2</v>
      </c>
      <c r="K36" s="162">
        <f t="shared" si="6"/>
        <v>14579.38</v>
      </c>
      <c r="L36" s="345">
        <f t="shared" si="16"/>
        <v>0</v>
      </c>
      <c r="M36" s="339"/>
      <c r="N36" s="346">
        <f t="shared" si="17"/>
        <v>7184.67</v>
      </c>
      <c r="O36" s="347"/>
      <c r="P36" s="144">
        <f t="shared" si="7"/>
        <v>0</v>
      </c>
      <c r="Q36" s="144">
        <f t="shared" si="8"/>
        <v>0</v>
      </c>
      <c r="R36" s="162">
        <f t="shared" si="9"/>
        <v>0</v>
      </c>
      <c r="S36" s="162">
        <f t="shared" si="18"/>
        <v>14579.38</v>
      </c>
      <c r="T36" s="332">
        <f t="shared" si="14"/>
        <v>14579.38</v>
      </c>
      <c r="U36" s="336">
        <f t="shared" si="15"/>
        <v>0</v>
      </c>
      <c r="V36" s="162">
        <f t="shared" si="10"/>
        <v>14579.38</v>
      </c>
    </row>
    <row r="37" spans="1:24" x14ac:dyDescent="0.2">
      <c r="A37" s="214" t="s">
        <v>33</v>
      </c>
      <c r="B37" s="170">
        <v>36651</v>
      </c>
      <c r="C37" s="144">
        <f t="shared" si="11"/>
        <v>1.6E-2</v>
      </c>
      <c r="D37" s="384">
        <v>2037</v>
      </c>
      <c r="E37" s="144">
        <f t="shared" si="12"/>
        <v>0.1019</v>
      </c>
      <c r="F37" s="386">
        <f>ROUND((C37*2/3)+(E37/3),4)+0.000014</f>
        <v>4.4614000000000001E-2</v>
      </c>
      <c r="G37" s="162">
        <f t="shared" si="2"/>
        <v>49243.25</v>
      </c>
      <c r="H37" s="162">
        <f t="shared" si="3"/>
        <v>109.6</v>
      </c>
      <c r="I37" s="162">
        <f t="shared" si="4"/>
        <v>49133.65</v>
      </c>
      <c r="J37" s="153">
        <f t="shared" si="5"/>
        <v>6.7699999999999996E-2</v>
      </c>
      <c r="K37" s="162">
        <f t="shared" si="6"/>
        <v>70501.73</v>
      </c>
      <c r="L37" s="345">
        <f t="shared" si="16"/>
        <v>0</v>
      </c>
      <c r="M37" s="339"/>
      <c r="N37" s="346">
        <f t="shared" si="17"/>
        <v>21368.080000000002</v>
      </c>
      <c r="O37" s="347"/>
      <c r="P37" s="144">
        <f t="shared" si="7"/>
        <v>0</v>
      </c>
      <c r="Q37" s="144">
        <f t="shared" si="8"/>
        <v>0</v>
      </c>
      <c r="R37" s="162">
        <f t="shared" si="9"/>
        <v>0</v>
      </c>
      <c r="S37" s="162">
        <f t="shared" si="18"/>
        <v>70501.73</v>
      </c>
      <c r="T37" s="332">
        <f t="shared" si="14"/>
        <v>70501.73</v>
      </c>
      <c r="U37" s="336">
        <f t="shared" si="15"/>
        <v>0</v>
      </c>
      <c r="V37" s="162">
        <f t="shared" si="10"/>
        <v>70501.73</v>
      </c>
    </row>
    <row r="38" spans="1:24" x14ac:dyDescent="0.2">
      <c r="A38" s="155" t="s">
        <v>34</v>
      </c>
      <c r="B38" s="170">
        <v>6967</v>
      </c>
      <c r="C38" s="144">
        <f t="shared" si="11"/>
        <v>3.0000000000000001E-3</v>
      </c>
      <c r="D38" s="384">
        <v>1887</v>
      </c>
      <c r="E38" s="144">
        <f t="shared" si="12"/>
        <v>9.4399999999999998E-2</v>
      </c>
      <c r="F38" s="144">
        <f t="shared" si="13"/>
        <v>3.3500000000000002E-2</v>
      </c>
      <c r="G38" s="162">
        <f t="shared" si="2"/>
        <v>36976.04</v>
      </c>
      <c r="H38" s="162">
        <f t="shared" si="3"/>
        <v>80.37</v>
      </c>
      <c r="I38" s="162">
        <f t="shared" si="4"/>
        <v>36895.67</v>
      </c>
      <c r="J38" s="153">
        <f t="shared" si="5"/>
        <v>2.8400000000000002E-2</v>
      </c>
      <c r="K38" s="162">
        <f t="shared" si="6"/>
        <v>29575.32</v>
      </c>
      <c r="L38" s="345">
        <f t="shared" si="16"/>
        <v>7320.35</v>
      </c>
      <c r="M38" s="339">
        <f>L38/$L$42</f>
        <v>3.9026999999999999E-2</v>
      </c>
      <c r="N38" s="346">
        <f t="shared" si="17"/>
        <v>0</v>
      </c>
      <c r="O38" s="347">
        <f>$O$42*M38</f>
        <v>2339.37</v>
      </c>
      <c r="P38" s="144">
        <f t="shared" si="7"/>
        <v>3.3500000000000002E-2</v>
      </c>
      <c r="Q38" s="144">
        <f t="shared" si="8"/>
        <v>4.3145999999999997E-2</v>
      </c>
      <c r="R38" s="162">
        <f t="shared" si="9"/>
        <v>2586.27</v>
      </c>
      <c r="S38" s="162">
        <f t="shared" si="18"/>
        <v>32161.59</v>
      </c>
      <c r="T38" s="332">
        <f t="shared" si="14"/>
        <v>31914.69</v>
      </c>
      <c r="U38" s="336">
        <f t="shared" si="15"/>
        <v>246.9</v>
      </c>
      <c r="V38" s="162">
        <f t="shared" si="10"/>
        <v>32161.59</v>
      </c>
    </row>
    <row r="39" spans="1:24" x14ac:dyDescent="0.2">
      <c r="A39" s="214" t="s">
        <v>35</v>
      </c>
      <c r="B39" s="170">
        <v>3736</v>
      </c>
      <c r="C39" s="144">
        <f t="shared" si="11"/>
        <v>1.6000000000000001E-3</v>
      </c>
      <c r="D39" s="384">
        <v>49.39</v>
      </c>
      <c r="E39" s="144">
        <f t="shared" si="12"/>
        <v>2.5000000000000001E-3</v>
      </c>
      <c r="F39" s="386">
        <f>ROUND((C39*2/3)+(E39/3),4)+0.000015</f>
        <v>1.915E-3</v>
      </c>
      <c r="G39" s="162">
        <f t="shared" si="2"/>
        <v>2113.6999999999998</v>
      </c>
      <c r="H39" s="162">
        <f t="shared" si="3"/>
        <v>4.87</v>
      </c>
      <c r="I39" s="162">
        <f t="shared" si="4"/>
        <v>2108.83</v>
      </c>
      <c r="J39" s="153">
        <f t="shared" si="5"/>
        <v>2.2000000000000001E-3</v>
      </c>
      <c r="K39" s="162">
        <f t="shared" si="6"/>
        <v>2291.0500000000002</v>
      </c>
      <c r="L39" s="345">
        <f t="shared" si="16"/>
        <v>0</v>
      </c>
      <c r="M39" s="339"/>
      <c r="N39" s="346">
        <f t="shared" si="17"/>
        <v>182.22</v>
      </c>
      <c r="O39" s="347"/>
      <c r="P39" s="144">
        <f t="shared" si="7"/>
        <v>0</v>
      </c>
      <c r="Q39" s="144">
        <f t="shared" si="8"/>
        <v>0</v>
      </c>
      <c r="R39" s="162">
        <f t="shared" si="9"/>
        <v>0</v>
      </c>
      <c r="S39" s="162">
        <f t="shared" si="18"/>
        <v>2291.0500000000002</v>
      </c>
      <c r="T39" s="332">
        <f t="shared" si="14"/>
        <v>2291.0500000000002</v>
      </c>
      <c r="U39" s="336">
        <f t="shared" si="15"/>
        <v>0</v>
      </c>
      <c r="V39" s="162">
        <f t="shared" si="10"/>
        <v>2291.0500000000002</v>
      </c>
    </row>
    <row r="40" spans="1:24" x14ac:dyDescent="0.2">
      <c r="A40" s="155" t="s">
        <v>36</v>
      </c>
      <c r="B40" s="170">
        <v>373233</v>
      </c>
      <c r="C40" s="144">
        <f t="shared" si="11"/>
        <v>0.16250000000000001</v>
      </c>
      <c r="D40" s="384">
        <v>1842.02</v>
      </c>
      <c r="E40" s="144">
        <f t="shared" si="12"/>
        <v>9.2200000000000004E-2</v>
      </c>
      <c r="F40" s="144">
        <f t="shared" si="13"/>
        <v>0.1391</v>
      </c>
      <c r="G40" s="162">
        <f t="shared" si="2"/>
        <v>153533.32999999999</v>
      </c>
      <c r="H40" s="162">
        <f t="shared" si="3"/>
        <v>338.53</v>
      </c>
      <c r="I40" s="162">
        <f t="shared" si="4"/>
        <v>153194.79999999999</v>
      </c>
      <c r="J40" s="153">
        <f t="shared" si="5"/>
        <v>0.1232</v>
      </c>
      <c r="K40" s="162">
        <f t="shared" si="6"/>
        <v>128298.58</v>
      </c>
      <c r="L40" s="345">
        <f t="shared" si="16"/>
        <v>24896.22</v>
      </c>
      <c r="M40" s="339">
        <f>L40/$L$42</f>
        <v>0.13272900000000001</v>
      </c>
      <c r="N40" s="346">
        <f t="shared" si="17"/>
        <v>0</v>
      </c>
      <c r="O40" s="347">
        <f>$O$42*M40</f>
        <v>7956.08</v>
      </c>
      <c r="P40" s="144">
        <f t="shared" si="7"/>
        <v>0.1391</v>
      </c>
      <c r="Q40" s="144">
        <f t="shared" si="8"/>
        <v>0.17915400000000001</v>
      </c>
      <c r="R40" s="162">
        <f t="shared" si="9"/>
        <v>10738.9</v>
      </c>
      <c r="S40" s="162">
        <f t="shared" si="18"/>
        <v>139037.48000000001</v>
      </c>
      <c r="T40" s="332">
        <f t="shared" si="14"/>
        <v>136254.66</v>
      </c>
      <c r="U40" s="336">
        <f t="shared" si="15"/>
        <v>2782.82</v>
      </c>
      <c r="V40" s="162">
        <f t="shared" si="10"/>
        <v>139037.48000000001</v>
      </c>
    </row>
    <row r="41" spans="1:24" x14ac:dyDescent="0.2">
      <c r="A41" s="155" t="s">
        <v>37</v>
      </c>
      <c r="B41" s="170">
        <v>8842</v>
      </c>
      <c r="C41" s="144">
        <f t="shared" si="11"/>
        <v>3.8999999999999998E-3</v>
      </c>
      <c r="D41" s="384">
        <v>1108.27</v>
      </c>
      <c r="E41" s="144">
        <f t="shared" si="12"/>
        <v>5.5399999999999998E-2</v>
      </c>
      <c r="F41" s="144">
        <f t="shared" si="13"/>
        <v>2.1100000000000001E-2</v>
      </c>
      <c r="G41" s="151">
        <f t="shared" si="2"/>
        <v>23289.38</v>
      </c>
      <c r="H41" s="162">
        <f t="shared" si="3"/>
        <v>51.14</v>
      </c>
      <c r="I41" s="162">
        <f t="shared" si="4"/>
        <v>23238.240000000002</v>
      </c>
      <c r="J41" s="171">
        <f t="shared" si="5"/>
        <v>4.0300000000000002E-2</v>
      </c>
      <c r="K41" s="151">
        <f t="shared" si="6"/>
        <v>41967.8</v>
      </c>
      <c r="L41" s="345">
        <f t="shared" si="16"/>
        <v>0</v>
      </c>
      <c r="M41" s="348"/>
      <c r="N41" s="346">
        <f t="shared" si="17"/>
        <v>18729.560000000001</v>
      </c>
      <c r="O41" s="349"/>
      <c r="P41" s="144">
        <f t="shared" si="7"/>
        <v>0</v>
      </c>
      <c r="Q41" s="144">
        <f t="shared" si="8"/>
        <v>0</v>
      </c>
      <c r="R41" s="151">
        <f t="shared" si="9"/>
        <v>0</v>
      </c>
      <c r="S41" s="151">
        <f t="shared" si="18"/>
        <v>41967.8</v>
      </c>
      <c r="T41" s="332">
        <f t="shared" si="14"/>
        <v>41967.8</v>
      </c>
      <c r="U41" s="336">
        <f t="shared" si="15"/>
        <v>0</v>
      </c>
      <c r="V41" s="162">
        <f t="shared" si="10"/>
        <v>41967.8</v>
      </c>
      <c r="W41" s="154"/>
      <c r="X41" s="151"/>
    </row>
    <row r="42" spans="1:24" ht="13.5" thickBot="1" x14ac:dyDescent="0.25">
      <c r="A42" s="150" t="s">
        <v>403</v>
      </c>
      <c r="B42" s="173">
        <f t="shared" ref="B42:K42" si="19">SUM(B25:B41)</f>
        <v>2296563</v>
      </c>
      <c r="C42" s="174">
        <f t="shared" si="19"/>
        <v>0.99990000000000001</v>
      </c>
      <c r="D42" s="385">
        <f t="shared" si="19"/>
        <v>19987.27</v>
      </c>
      <c r="E42" s="175">
        <f t="shared" si="19"/>
        <v>1</v>
      </c>
      <c r="F42" s="175">
        <f t="shared" si="19"/>
        <v>1</v>
      </c>
      <c r="G42" s="164">
        <f t="shared" si="19"/>
        <v>1103762.26</v>
      </c>
      <c r="H42" s="176">
        <f t="shared" si="19"/>
        <v>2435.44</v>
      </c>
      <c r="I42" s="177">
        <f t="shared" si="19"/>
        <v>1101326.82</v>
      </c>
      <c r="J42" s="178">
        <f t="shared" si="19"/>
        <v>1</v>
      </c>
      <c r="K42" s="164">
        <f t="shared" si="19"/>
        <v>1041384.54</v>
      </c>
      <c r="L42" s="350">
        <f>SUM(L25:L41)</f>
        <v>187572.09</v>
      </c>
      <c r="M42" s="351">
        <f>SUM(M25:M41)</f>
        <v>1</v>
      </c>
      <c r="N42" s="352">
        <f>SUM(N25:N41)</f>
        <v>127629.81</v>
      </c>
      <c r="O42" s="353">
        <f>L42-N42</f>
        <v>59942.28</v>
      </c>
      <c r="P42" s="179">
        <f t="shared" ref="P42:U42" si="20">SUM(P25:P41)</f>
        <v>0.77642800000000001</v>
      </c>
      <c r="Q42" s="179">
        <f t="shared" si="20"/>
        <v>1</v>
      </c>
      <c r="R42" s="164">
        <f t="shared" si="20"/>
        <v>59942.29</v>
      </c>
      <c r="S42" s="164">
        <f t="shared" si="20"/>
        <v>1101326.83</v>
      </c>
      <c r="T42" s="335">
        <f t="shared" si="20"/>
        <v>1101326.82</v>
      </c>
      <c r="U42" s="335">
        <f t="shared" si="20"/>
        <v>0.01</v>
      </c>
      <c r="V42" s="162">
        <f t="shared" si="10"/>
        <v>1101326.83</v>
      </c>
      <c r="W42" s="182">
        <f>C4</f>
        <v>1101326.83</v>
      </c>
      <c r="X42" s="183">
        <f>V42-W42</f>
        <v>0</v>
      </c>
    </row>
    <row r="43" spans="1:24" ht="13.5" thickTop="1" x14ac:dyDescent="0.2">
      <c r="E43" s="154"/>
      <c r="F43" s="180"/>
      <c r="G43" s="154"/>
      <c r="H43" s="152"/>
      <c r="I43" s="152"/>
      <c r="J43" s="181"/>
      <c r="K43" s="151"/>
      <c r="L43" s="151"/>
      <c r="M43" s="151"/>
      <c r="N43" s="151"/>
      <c r="O43" s="151"/>
      <c r="P43" s="154"/>
      <c r="R43" s="154"/>
      <c r="S43" s="151"/>
      <c r="T43" s="172"/>
    </row>
    <row r="44" spans="1:24" x14ac:dyDescent="0.2">
      <c r="J44"/>
    </row>
    <row r="45" spans="1:24" x14ac:dyDescent="0.2">
      <c r="A45" t="s">
        <v>690</v>
      </c>
      <c r="J45"/>
    </row>
    <row r="46" spans="1:24" x14ac:dyDescent="0.2">
      <c r="A46" t="s">
        <v>692</v>
      </c>
      <c r="J46"/>
    </row>
    <row r="47" spans="1:24" x14ac:dyDescent="0.2">
      <c r="A47" t="s">
        <v>693</v>
      </c>
      <c r="J47"/>
    </row>
    <row r="48" spans="1:24" x14ac:dyDescent="0.2">
      <c r="A48" t="s">
        <v>691</v>
      </c>
      <c r="J48"/>
    </row>
    <row r="49" spans="1:10" x14ac:dyDescent="0.2">
      <c r="A49" t="s">
        <v>694</v>
      </c>
      <c r="J49"/>
    </row>
    <row r="50" spans="1:10" x14ac:dyDescent="0.2">
      <c r="J50"/>
    </row>
    <row r="51" spans="1:10" x14ac:dyDescent="0.2">
      <c r="J51"/>
    </row>
    <row r="52" spans="1:10" x14ac:dyDescent="0.2">
      <c r="J52"/>
    </row>
    <row r="53" spans="1:10" x14ac:dyDescent="0.2">
      <c r="J53"/>
    </row>
    <row r="54" spans="1:10" x14ac:dyDescent="0.2">
      <c r="J54"/>
    </row>
    <row r="55" spans="1:10" x14ac:dyDescent="0.2">
      <c r="J55"/>
    </row>
    <row r="56" spans="1:10" x14ac:dyDescent="0.2">
      <c r="J56"/>
    </row>
    <row r="57" spans="1:10" x14ac:dyDescent="0.2">
      <c r="J57"/>
    </row>
    <row r="58" spans="1:10" x14ac:dyDescent="0.2">
      <c r="J58"/>
    </row>
    <row r="59" spans="1:10" x14ac:dyDescent="0.2">
      <c r="J59"/>
    </row>
    <row r="60" spans="1:10" x14ac:dyDescent="0.2">
      <c r="J60"/>
    </row>
    <row r="61" spans="1:10" x14ac:dyDescent="0.2">
      <c r="J61"/>
    </row>
    <row r="62" spans="1:10" x14ac:dyDescent="0.2">
      <c r="J62"/>
    </row>
    <row r="63" spans="1:10" x14ac:dyDescent="0.2">
      <c r="J63"/>
    </row>
    <row r="64" spans="1:10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  <row r="72" spans="10:10" x14ac:dyDescent="0.2">
      <c r="J72"/>
    </row>
    <row r="73" spans="10:10" x14ac:dyDescent="0.2">
      <c r="J73"/>
    </row>
    <row r="74" spans="10:10" x14ac:dyDescent="0.2">
      <c r="J74"/>
    </row>
    <row r="75" spans="10:10" x14ac:dyDescent="0.2">
      <c r="J75"/>
    </row>
    <row r="76" spans="10:10" x14ac:dyDescent="0.2">
      <c r="J76"/>
    </row>
    <row r="77" spans="10:10" x14ac:dyDescent="0.2">
      <c r="J77"/>
    </row>
    <row r="78" spans="10:10" x14ac:dyDescent="0.2">
      <c r="J78"/>
    </row>
    <row r="79" spans="10:10" x14ac:dyDescent="0.2">
      <c r="J79"/>
    </row>
    <row r="80" spans="10:10" x14ac:dyDescent="0.2">
      <c r="J80"/>
    </row>
    <row r="81" spans="10:10" x14ac:dyDescent="0.2">
      <c r="J81"/>
    </row>
    <row r="82" spans="10:10" x14ac:dyDescent="0.2">
      <c r="J82"/>
    </row>
    <row r="83" spans="10:10" x14ac:dyDescent="0.2">
      <c r="J83"/>
    </row>
    <row r="84" spans="10:10" x14ac:dyDescent="0.2">
      <c r="J84"/>
    </row>
    <row r="85" spans="10:10" x14ac:dyDescent="0.2">
      <c r="J85"/>
    </row>
    <row r="86" spans="10:10" x14ac:dyDescent="0.2">
      <c r="J86"/>
    </row>
    <row r="87" spans="10:10" x14ac:dyDescent="0.2">
      <c r="J87"/>
    </row>
    <row r="88" spans="10:10" x14ac:dyDescent="0.2">
      <c r="J88"/>
    </row>
    <row r="89" spans="10:10" x14ac:dyDescent="0.2">
      <c r="J89"/>
    </row>
    <row r="90" spans="10:10" x14ac:dyDescent="0.2">
      <c r="J90"/>
    </row>
    <row r="91" spans="10:10" x14ac:dyDescent="0.2">
      <c r="J91"/>
    </row>
    <row r="92" spans="10:10" x14ac:dyDescent="0.2">
      <c r="J92"/>
    </row>
    <row r="93" spans="10:10" x14ac:dyDescent="0.2">
      <c r="J93"/>
    </row>
    <row r="94" spans="10:10" x14ac:dyDescent="0.2">
      <c r="J94"/>
    </row>
    <row r="95" spans="10:10" x14ac:dyDescent="0.2">
      <c r="J95"/>
    </row>
    <row r="96" spans="10:10" x14ac:dyDescent="0.2">
      <c r="J96"/>
    </row>
    <row r="97" spans="10:10" x14ac:dyDescent="0.2">
      <c r="J97"/>
    </row>
    <row r="98" spans="10:10" x14ac:dyDescent="0.2">
      <c r="J98"/>
    </row>
    <row r="99" spans="10:10" x14ac:dyDescent="0.2">
      <c r="J99"/>
    </row>
    <row r="100" spans="10:10" x14ac:dyDescent="0.2">
      <c r="J100"/>
    </row>
    <row r="101" spans="10:10" x14ac:dyDescent="0.2">
      <c r="J101"/>
    </row>
    <row r="102" spans="10:10" x14ac:dyDescent="0.2">
      <c r="J102"/>
    </row>
    <row r="103" spans="10:10" x14ac:dyDescent="0.2">
      <c r="J103"/>
    </row>
    <row r="104" spans="10:10" x14ac:dyDescent="0.2">
      <c r="J104"/>
    </row>
    <row r="105" spans="10:10" x14ac:dyDescent="0.2">
      <c r="J105"/>
    </row>
    <row r="106" spans="10:10" x14ac:dyDescent="0.2">
      <c r="J106"/>
    </row>
    <row r="107" spans="10:10" x14ac:dyDescent="0.2">
      <c r="J107"/>
    </row>
    <row r="108" spans="10:10" x14ac:dyDescent="0.2">
      <c r="J108"/>
    </row>
    <row r="109" spans="10:10" x14ac:dyDescent="0.2">
      <c r="J109"/>
    </row>
    <row r="110" spans="10:10" x14ac:dyDescent="0.2">
      <c r="J110"/>
    </row>
    <row r="111" spans="10:10" x14ac:dyDescent="0.2">
      <c r="J111"/>
    </row>
    <row r="112" spans="10:10" x14ac:dyDescent="0.2">
      <c r="J112"/>
    </row>
    <row r="113" spans="10:10" x14ac:dyDescent="0.2">
      <c r="J113"/>
    </row>
    <row r="114" spans="10:10" x14ac:dyDescent="0.2">
      <c r="J114"/>
    </row>
    <row r="115" spans="10:10" x14ac:dyDescent="0.2">
      <c r="J115"/>
    </row>
    <row r="116" spans="10:10" x14ac:dyDescent="0.2">
      <c r="J116"/>
    </row>
    <row r="117" spans="10:10" x14ac:dyDescent="0.2">
      <c r="J117"/>
    </row>
    <row r="118" spans="10:10" x14ac:dyDescent="0.2">
      <c r="J118"/>
    </row>
    <row r="119" spans="10:10" x14ac:dyDescent="0.2">
      <c r="J119"/>
    </row>
    <row r="120" spans="10:10" x14ac:dyDescent="0.2">
      <c r="J120"/>
    </row>
    <row r="121" spans="10:10" x14ac:dyDescent="0.2">
      <c r="J121"/>
    </row>
    <row r="122" spans="10:10" x14ac:dyDescent="0.2">
      <c r="J122"/>
    </row>
    <row r="123" spans="10:10" x14ac:dyDescent="0.2">
      <c r="J123"/>
    </row>
    <row r="124" spans="10:10" x14ac:dyDescent="0.2">
      <c r="J124"/>
    </row>
    <row r="125" spans="10:10" x14ac:dyDescent="0.2">
      <c r="J125"/>
    </row>
    <row r="126" spans="10:10" x14ac:dyDescent="0.2">
      <c r="J126"/>
    </row>
    <row r="127" spans="10:10" x14ac:dyDescent="0.2">
      <c r="J127"/>
    </row>
    <row r="128" spans="10:10" x14ac:dyDescent="0.2">
      <c r="J128"/>
    </row>
    <row r="129" spans="10:10" x14ac:dyDescent="0.2">
      <c r="J129"/>
    </row>
    <row r="130" spans="10:10" x14ac:dyDescent="0.2">
      <c r="J130"/>
    </row>
    <row r="131" spans="10:10" x14ac:dyDescent="0.2">
      <c r="J131"/>
    </row>
    <row r="132" spans="10:10" x14ac:dyDescent="0.2">
      <c r="J132"/>
    </row>
    <row r="133" spans="10:10" x14ac:dyDescent="0.2">
      <c r="J133"/>
    </row>
    <row r="134" spans="10:10" x14ac:dyDescent="0.2">
      <c r="J134"/>
    </row>
    <row r="135" spans="10:10" x14ac:dyDescent="0.2">
      <c r="J135"/>
    </row>
    <row r="136" spans="10:10" x14ac:dyDescent="0.2">
      <c r="J136"/>
    </row>
    <row r="137" spans="10:10" x14ac:dyDescent="0.2">
      <c r="J137"/>
    </row>
    <row r="138" spans="10:10" x14ac:dyDescent="0.2">
      <c r="J138"/>
    </row>
    <row r="139" spans="10:10" x14ac:dyDescent="0.2">
      <c r="J139"/>
    </row>
    <row r="140" spans="10:10" x14ac:dyDescent="0.2">
      <c r="J140"/>
    </row>
    <row r="141" spans="10:10" x14ac:dyDescent="0.2">
      <c r="J141"/>
    </row>
    <row r="142" spans="10:10" x14ac:dyDescent="0.2">
      <c r="J142"/>
    </row>
    <row r="143" spans="10:10" x14ac:dyDescent="0.2">
      <c r="J143"/>
    </row>
    <row r="144" spans="10:10" x14ac:dyDescent="0.2">
      <c r="J144"/>
    </row>
    <row r="145" spans="10:10" x14ac:dyDescent="0.2">
      <c r="J145"/>
    </row>
    <row r="146" spans="10:10" x14ac:dyDescent="0.2">
      <c r="J146"/>
    </row>
    <row r="147" spans="10:10" x14ac:dyDescent="0.2">
      <c r="J147"/>
    </row>
    <row r="148" spans="10:10" x14ac:dyDescent="0.2">
      <c r="J148"/>
    </row>
    <row r="149" spans="10:10" x14ac:dyDescent="0.2">
      <c r="J149"/>
    </row>
    <row r="150" spans="10:10" x14ac:dyDescent="0.2">
      <c r="J150"/>
    </row>
    <row r="151" spans="10:10" x14ac:dyDescent="0.2">
      <c r="J151"/>
    </row>
    <row r="152" spans="10:10" x14ac:dyDescent="0.2">
      <c r="J152"/>
    </row>
    <row r="153" spans="10:10" x14ac:dyDescent="0.2">
      <c r="J153"/>
    </row>
    <row r="154" spans="10:10" x14ac:dyDescent="0.2">
      <c r="J154"/>
    </row>
    <row r="155" spans="10:10" x14ac:dyDescent="0.2">
      <c r="J155"/>
    </row>
    <row r="156" spans="10:10" x14ac:dyDescent="0.2">
      <c r="J156"/>
    </row>
    <row r="157" spans="10:10" x14ac:dyDescent="0.2">
      <c r="J157"/>
    </row>
    <row r="158" spans="10:10" x14ac:dyDescent="0.2">
      <c r="J158"/>
    </row>
    <row r="159" spans="10:10" x14ac:dyDescent="0.2">
      <c r="J159"/>
    </row>
    <row r="160" spans="10:10" x14ac:dyDescent="0.2">
      <c r="J160"/>
    </row>
    <row r="161" spans="10:10" x14ac:dyDescent="0.2">
      <c r="J161"/>
    </row>
    <row r="162" spans="10:10" x14ac:dyDescent="0.2">
      <c r="J162"/>
    </row>
    <row r="163" spans="10:10" x14ac:dyDescent="0.2">
      <c r="J163"/>
    </row>
    <row r="164" spans="10:10" x14ac:dyDescent="0.2">
      <c r="J164"/>
    </row>
    <row r="165" spans="10:10" x14ac:dyDescent="0.2">
      <c r="J165"/>
    </row>
    <row r="166" spans="10:10" x14ac:dyDescent="0.2">
      <c r="J166"/>
    </row>
    <row r="167" spans="10:10" x14ac:dyDescent="0.2">
      <c r="J167"/>
    </row>
    <row r="168" spans="10:10" x14ac:dyDescent="0.2">
      <c r="J168"/>
    </row>
    <row r="169" spans="10:10" x14ac:dyDescent="0.2">
      <c r="J169"/>
    </row>
    <row r="170" spans="10:10" x14ac:dyDescent="0.2">
      <c r="J170"/>
    </row>
    <row r="171" spans="10:10" x14ac:dyDescent="0.2">
      <c r="J171"/>
    </row>
    <row r="172" spans="10:10" x14ac:dyDescent="0.2">
      <c r="J172"/>
    </row>
    <row r="173" spans="10:10" x14ac:dyDescent="0.2">
      <c r="J173"/>
    </row>
    <row r="174" spans="10:10" x14ac:dyDescent="0.2">
      <c r="J174"/>
    </row>
    <row r="175" spans="10:10" x14ac:dyDescent="0.2">
      <c r="J175"/>
    </row>
    <row r="176" spans="10:10" x14ac:dyDescent="0.2">
      <c r="J176"/>
    </row>
    <row r="177" spans="10:10" x14ac:dyDescent="0.2">
      <c r="J177"/>
    </row>
    <row r="178" spans="10:10" x14ac:dyDescent="0.2">
      <c r="J178"/>
    </row>
    <row r="179" spans="10:10" x14ac:dyDescent="0.2">
      <c r="J179"/>
    </row>
    <row r="180" spans="10:10" x14ac:dyDescent="0.2">
      <c r="J180"/>
    </row>
    <row r="181" spans="10:10" x14ac:dyDescent="0.2">
      <c r="J181"/>
    </row>
    <row r="182" spans="10:10" x14ac:dyDescent="0.2">
      <c r="J182"/>
    </row>
    <row r="183" spans="10:10" x14ac:dyDescent="0.2">
      <c r="J183"/>
    </row>
    <row r="184" spans="10:10" x14ac:dyDescent="0.2">
      <c r="J184"/>
    </row>
    <row r="185" spans="10:10" x14ac:dyDescent="0.2">
      <c r="J185"/>
    </row>
    <row r="186" spans="10:10" x14ac:dyDescent="0.2">
      <c r="J186"/>
    </row>
    <row r="187" spans="10:10" x14ac:dyDescent="0.2">
      <c r="J187"/>
    </row>
    <row r="188" spans="10:10" x14ac:dyDescent="0.2">
      <c r="J188"/>
    </row>
    <row r="189" spans="10:10" x14ac:dyDescent="0.2">
      <c r="J189"/>
    </row>
    <row r="190" spans="10:10" x14ac:dyDescent="0.2">
      <c r="J190"/>
    </row>
    <row r="191" spans="10:10" x14ac:dyDescent="0.2">
      <c r="J191"/>
    </row>
    <row r="192" spans="10:10" x14ac:dyDescent="0.2">
      <c r="J192"/>
    </row>
    <row r="193" spans="10:10" x14ac:dyDescent="0.2">
      <c r="J193"/>
    </row>
    <row r="194" spans="10:10" x14ac:dyDescent="0.2">
      <c r="J194"/>
    </row>
    <row r="195" spans="10:10" x14ac:dyDescent="0.2">
      <c r="J195"/>
    </row>
    <row r="196" spans="10:10" x14ac:dyDescent="0.2">
      <c r="J196"/>
    </row>
    <row r="197" spans="10:10" x14ac:dyDescent="0.2">
      <c r="J197"/>
    </row>
    <row r="198" spans="10:10" x14ac:dyDescent="0.2">
      <c r="J198"/>
    </row>
    <row r="199" spans="10:10" x14ac:dyDescent="0.2">
      <c r="J199"/>
    </row>
    <row r="200" spans="10:10" x14ac:dyDescent="0.2">
      <c r="J200"/>
    </row>
    <row r="201" spans="10:10" x14ac:dyDescent="0.2">
      <c r="J201"/>
    </row>
    <row r="202" spans="10:10" x14ac:dyDescent="0.2">
      <c r="J202"/>
    </row>
    <row r="203" spans="10:10" x14ac:dyDescent="0.2">
      <c r="J203"/>
    </row>
    <row r="204" spans="10:10" x14ac:dyDescent="0.2">
      <c r="J204"/>
    </row>
    <row r="205" spans="10:10" x14ac:dyDescent="0.2">
      <c r="J205"/>
    </row>
    <row r="206" spans="10:10" x14ac:dyDescent="0.2">
      <c r="J206"/>
    </row>
    <row r="207" spans="10:10" x14ac:dyDescent="0.2">
      <c r="J207"/>
    </row>
    <row r="208" spans="10:10" x14ac:dyDescent="0.2">
      <c r="J208"/>
    </row>
    <row r="209" spans="10:10" x14ac:dyDescent="0.2">
      <c r="J209"/>
    </row>
    <row r="210" spans="10:10" x14ac:dyDescent="0.2">
      <c r="J210"/>
    </row>
    <row r="211" spans="10:10" x14ac:dyDescent="0.2">
      <c r="J211"/>
    </row>
    <row r="212" spans="10:10" x14ac:dyDescent="0.2">
      <c r="J212"/>
    </row>
    <row r="213" spans="10:10" x14ac:dyDescent="0.2">
      <c r="J213"/>
    </row>
    <row r="214" spans="10:10" x14ac:dyDescent="0.2">
      <c r="J214"/>
    </row>
    <row r="215" spans="10:10" x14ac:dyDescent="0.2">
      <c r="J215"/>
    </row>
    <row r="216" spans="10:10" x14ac:dyDescent="0.2">
      <c r="J216"/>
    </row>
    <row r="217" spans="10:10" x14ac:dyDescent="0.2">
      <c r="J217"/>
    </row>
    <row r="218" spans="10:10" x14ac:dyDescent="0.2">
      <c r="J218"/>
    </row>
    <row r="219" spans="10:10" x14ac:dyDescent="0.2">
      <c r="J219"/>
    </row>
    <row r="220" spans="10:10" x14ac:dyDescent="0.2">
      <c r="J220"/>
    </row>
    <row r="221" spans="10:10" x14ac:dyDescent="0.2">
      <c r="J221"/>
    </row>
    <row r="222" spans="10:10" x14ac:dyDescent="0.2">
      <c r="J222"/>
    </row>
    <row r="223" spans="10:10" x14ac:dyDescent="0.2">
      <c r="J223"/>
    </row>
    <row r="224" spans="10:10" x14ac:dyDescent="0.2">
      <c r="J224"/>
    </row>
    <row r="225" spans="10:10" x14ac:dyDescent="0.2">
      <c r="J225"/>
    </row>
    <row r="226" spans="10:10" x14ac:dyDescent="0.2">
      <c r="J226"/>
    </row>
    <row r="227" spans="10:10" x14ac:dyDescent="0.2">
      <c r="J227"/>
    </row>
    <row r="228" spans="10:10" x14ac:dyDescent="0.2">
      <c r="J228"/>
    </row>
    <row r="229" spans="10:10" x14ac:dyDescent="0.2">
      <c r="J229"/>
    </row>
    <row r="230" spans="10:10" x14ac:dyDescent="0.2">
      <c r="J230"/>
    </row>
    <row r="231" spans="10:10" x14ac:dyDescent="0.2">
      <c r="J231"/>
    </row>
    <row r="232" spans="10:10" x14ac:dyDescent="0.2">
      <c r="J232"/>
    </row>
    <row r="233" spans="10:10" x14ac:dyDescent="0.2">
      <c r="J233"/>
    </row>
    <row r="234" spans="10:10" x14ac:dyDescent="0.2">
      <c r="J234"/>
    </row>
    <row r="235" spans="10:10" x14ac:dyDescent="0.2">
      <c r="J235"/>
    </row>
    <row r="236" spans="10:10" x14ac:dyDescent="0.2">
      <c r="J236"/>
    </row>
    <row r="237" spans="10:10" x14ac:dyDescent="0.2">
      <c r="J237"/>
    </row>
    <row r="238" spans="10:10" x14ac:dyDescent="0.2">
      <c r="J238"/>
    </row>
    <row r="239" spans="10:10" x14ac:dyDescent="0.2">
      <c r="J239"/>
    </row>
    <row r="240" spans="10:10" x14ac:dyDescent="0.2">
      <c r="J240"/>
    </row>
    <row r="241" spans="10:10" x14ac:dyDescent="0.2">
      <c r="J241"/>
    </row>
    <row r="242" spans="10:10" x14ac:dyDescent="0.2">
      <c r="J242"/>
    </row>
    <row r="243" spans="10:10" x14ac:dyDescent="0.2">
      <c r="J243"/>
    </row>
    <row r="244" spans="10:10" x14ac:dyDescent="0.2">
      <c r="J244"/>
    </row>
    <row r="245" spans="10:10" x14ac:dyDescent="0.2">
      <c r="J245"/>
    </row>
    <row r="246" spans="10:10" x14ac:dyDescent="0.2">
      <c r="J246"/>
    </row>
    <row r="247" spans="10:10" x14ac:dyDescent="0.2">
      <c r="J247"/>
    </row>
    <row r="248" spans="10:10" x14ac:dyDescent="0.2">
      <c r="J248"/>
    </row>
    <row r="249" spans="10:10" x14ac:dyDescent="0.2">
      <c r="J249"/>
    </row>
    <row r="250" spans="10:10" x14ac:dyDescent="0.2">
      <c r="J250"/>
    </row>
    <row r="251" spans="10:10" x14ac:dyDescent="0.2">
      <c r="J251"/>
    </row>
    <row r="252" spans="10:10" x14ac:dyDescent="0.2">
      <c r="J252"/>
    </row>
    <row r="253" spans="10:10" x14ac:dyDescent="0.2">
      <c r="J253"/>
    </row>
    <row r="254" spans="10:10" x14ac:dyDescent="0.2">
      <c r="J254"/>
    </row>
    <row r="255" spans="10:10" x14ac:dyDescent="0.2">
      <c r="J255"/>
    </row>
    <row r="256" spans="10:10" x14ac:dyDescent="0.2">
      <c r="J256"/>
    </row>
    <row r="257" spans="10:10" x14ac:dyDescent="0.2">
      <c r="J257"/>
    </row>
    <row r="258" spans="10:10" x14ac:dyDescent="0.2">
      <c r="J258"/>
    </row>
    <row r="259" spans="10:10" x14ac:dyDescent="0.2">
      <c r="J259"/>
    </row>
    <row r="260" spans="10:10" x14ac:dyDescent="0.2">
      <c r="J260"/>
    </row>
    <row r="261" spans="10:10" x14ac:dyDescent="0.2">
      <c r="J261"/>
    </row>
    <row r="262" spans="10:10" x14ac:dyDescent="0.2">
      <c r="J262"/>
    </row>
    <row r="263" spans="10:10" x14ac:dyDescent="0.2">
      <c r="J263"/>
    </row>
    <row r="264" spans="10:10" x14ac:dyDescent="0.2">
      <c r="J264"/>
    </row>
    <row r="265" spans="10:10" x14ac:dyDescent="0.2">
      <c r="J265"/>
    </row>
    <row r="266" spans="10:10" x14ac:dyDescent="0.2">
      <c r="J266"/>
    </row>
    <row r="267" spans="10:10" x14ac:dyDescent="0.2">
      <c r="J267"/>
    </row>
    <row r="268" spans="10:10" x14ac:dyDescent="0.2">
      <c r="J268"/>
    </row>
    <row r="269" spans="10:10" x14ac:dyDescent="0.2">
      <c r="J269"/>
    </row>
    <row r="270" spans="10:10" x14ac:dyDescent="0.2">
      <c r="J270"/>
    </row>
    <row r="271" spans="10:10" x14ac:dyDescent="0.2">
      <c r="J271"/>
    </row>
    <row r="272" spans="10:10" x14ac:dyDescent="0.2">
      <c r="J272"/>
    </row>
    <row r="273" spans="10:10" x14ac:dyDescent="0.2">
      <c r="J273"/>
    </row>
    <row r="274" spans="10:10" x14ac:dyDescent="0.2">
      <c r="J274"/>
    </row>
    <row r="275" spans="10:10" x14ac:dyDescent="0.2">
      <c r="J275"/>
    </row>
    <row r="276" spans="10:10" x14ac:dyDescent="0.2">
      <c r="J276"/>
    </row>
    <row r="277" spans="10:10" x14ac:dyDescent="0.2">
      <c r="J277"/>
    </row>
    <row r="278" spans="10:10" x14ac:dyDescent="0.2">
      <c r="J278"/>
    </row>
    <row r="279" spans="10:10" x14ac:dyDescent="0.2">
      <c r="J279"/>
    </row>
    <row r="280" spans="10:10" x14ac:dyDescent="0.2">
      <c r="J280"/>
    </row>
    <row r="281" spans="10:10" x14ac:dyDescent="0.2">
      <c r="J281"/>
    </row>
    <row r="282" spans="10:10" x14ac:dyDescent="0.2">
      <c r="J282"/>
    </row>
    <row r="283" spans="10:10" x14ac:dyDescent="0.2">
      <c r="J283"/>
    </row>
    <row r="284" spans="10:10" x14ac:dyDescent="0.2">
      <c r="J284"/>
    </row>
    <row r="285" spans="10:10" x14ac:dyDescent="0.2">
      <c r="J285"/>
    </row>
    <row r="286" spans="10:10" x14ac:dyDescent="0.2">
      <c r="J286"/>
    </row>
    <row r="287" spans="10:10" x14ac:dyDescent="0.2">
      <c r="J287"/>
    </row>
    <row r="288" spans="10:10" x14ac:dyDescent="0.2">
      <c r="J288"/>
    </row>
    <row r="289" spans="10:10" x14ac:dyDescent="0.2">
      <c r="J289"/>
    </row>
    <row r="290" spans="10:10" x14ac:dyDescent="0.2">
      <c r="J290"/>
    </row>
    <row r="291" spans="10:10" x14ac:dyDescent="0.2">
      <c r="J291"/>
    </row>
    <row r="292" spans="10:10" x14ac:dyDescent="0.2">
      <c r="J292"/>
    </row>
    <row r="293" spans="10:10" x14ac:dyDescent="0.2">
      <c r="J293"/>
    </row>
    <row r="294" spans="10:10" x14ac:dyDescent="0.2">
      <c r="J294"/>
    </row>
    <row r="295" spans="10:10" x14ac:dyDescent="0.2">
      <c r="J295"/>
    </row>
    <row r="296" spans="10:10" x14ac:dyDescent="0.2">
      <c r="J296"/>
    </row>
    <row r="297" spans="10:10" x14ac:dyDescent="0.2">
      <c r="J297"/>
    </row>
    <row r="298" spans="10:10" x14ac:dyDescent="0.2">
      <c r="J298"/>
    </row>
    <row r="299" spans="10:10" x14ac:dyDescent="0.2">
      <c r="J299"/>
    </row>
    <row r="300" spans="10:10" x14ac:dyDescent="0.2">
      <c r="J300"/>
    </row>
    <row r="301" spans="10:10" x14ac:dyDescent="0.2">
      <c r="J301"/>
    </row>
    <row r="302" spans="10:10" x14ac:dyDescent="0.2">
      <c r="J302"/>
    </row>
    <row r="303" spans="10:10" x14ac:dyDescent="0.2">
      <c r="J303"/>
    </row>
    <row r="304" spans="10:10" x14ac:dyDescent="0.2">
      <c r="J304"/>
    </row>
    <row r="305" spans="10:10" x14ac:dyDescent="0.2">
      <c r="J305"/>
    </row>
    <row r="306" spans="10:10" x14ac:dyDescent="0.2">
      <c r="J306"/>
    </row>
    <row r="307" spans="10:10" x14ac:dyDescent="0.2">
      <c r="J307"/>
    </row>
    <row r="308" spans="10:10" x14ac:dyDescent="0.2">
      <c r="J308"/>
    </row>
    <row r="309" spans="10:10" x14ac:dyDescent="0.2">
      <c r="J309"/>
    </row>
    <row r="310" spans="10:10" x14ac:dyDescent="0.2">
      <c r="J310"/>
    </row>
    <row r="311" spans="10:10" x14ac:dyDescent="0.2">
      <c r="J311"/>
    </row>
    <row r="312" spans="10:10" x14ac:dyDescent="0.2">
      <c r="J312"/>
    </row>
    <row r="313" spans="10:10" x14ac:dyDescent="0.2">
      <c r="J313"/>
    </row>
    <row r="314" spans="10:10" x14ac:dyDescent="0.2">
      <c r="J314"/>
    </row>
    <row r="315" spans="10:10" x14ac:dyDescent="0.2">
      <c r="J315"/>
    </row>
    <row r="316" spans="10:10" x14ac:dyDescent="0.2">
      <c r="J316"/>
    </row>
    <row r="317" spans="10:10" x14ac:dyDescent="0.2">
      <c r="J317"/>
    </row>
    <row r="318" spans="10:10" x14ac:dyDescent="0.2">
      <c r="J318"/>
    </row>
    <row r="319" spans="10:10" x14ac:dyDescent="0.2">
      <c r="J319"/>
    </row>
    <row r="320" spans="10:10" x14ac:dyDescent="0.2">
      <c r="J320"/>
    </row>
    <row r="321" spans="10:10" x14ac:dyDescent="0.2">
      <c r="J321"/>
    </row>
    <row r="322" spans="10:10" x14ac:dyDescent="0.2">
      <c r="J322"/>
    </row>
    <row r="323" spans="10:10" x14ac:dyDescent="0.2">
      <c r="J323"/>
    </row>
    <row r="324" spans="10:10" x14ac:dyDescent="0.2">
      <c r="J324"/>
    </row>
    <row r="325" spans="10:10" x14ac:dyDescent="0.2">
      <c r="J325"/>
    </row>
    <row r="326" spans="10:10" x14ac:dyDescent="0.2">
      <c r="J326"/>
    </row>
    <row r="327" spans="10:10" x14ac:dyDescent="0.2">
      <c r="J327"/>
    </row>
    <row r="328" spans="10:10" x14ac:dyDescent="0.2">
      <c r="J328"/>
    </row>
    <row r="329" spans="10:10" x14ac:dyDescent="0.2">
      <c r="J329"/>
    </row>
    <row r="330" spans="10:10" x14ac:dyDescent="0.2">
      <c r="J330"/>
    </row>
    <row r="331" spans="10:10" x14ac:dyDescent="0.2">
      <c r="J331"/>
    </row>
    <row r="332" spans="10:10" x14ac:dyDescent="0.2">
      <c r="J332"/>
    </row>
    <row r="333" spans="10:10" x14ac:dyDescent="0.2">
      <c r="J333"/>
    </row>
    <row r="334" spans="10:10" x14ac:dyDescent="0.2">
      <c r="J334"/>
    </row>
    <row r="335" spans="10:10" x14ac:dyDescent="0.2">
      <c r="J335"/>
    </row>
    <row r="336" spans="10:10" x14ac:dyDescent="0.2">
      <c r="J336"/>
    </row>
    <row r="337" spans="10:10" x14ac:dyDescent="0.2">
      <c r="J337"/>
    </row>
    <row r="338" spans="10:10" x14ac:dyDescent="0.2">
      <c r="J338"/>
    </row>
    <row r="339" spans="10:10" x14ac:dyDescent="0.2">
      <c r="J339"/>
    </row>
    <row r="340" spans="10:10" x14ac:dyDescent="0.2">
      <c r="J340"/>
    </row>
    <row r="341" spans="10:10" x14ac:dyDescent="0.2">
      <c r="J341"/>
    </row>
    <row r="342" spans="10:10" x14ac:dyDescent="0.2">
      <c r="J342"/>
    </row>
    <row r="343" spans="10:10" x14ac:dyDescent="0.2">
      <c r="J343"/>
    </row>
    <row r="344" spans="10:10" x14ac:dyDescent="0.2">
      <c r="J344"/>
    </row>
    <row r="345" spans="10:10" x14ac:dyDescent="0.2">
      <c r="J345"/>
    </row>
    <row r="346" spans="10:10" x14ac:dyDescent="0.2">
      <c r="J346"/>
    </row>
    <row r="347" spans="10:10" x14ac:dyDescent="0.2">
      <c r="J347"/>
    </row>
    <row r="348" spans="10:10" x14ac:dyDescent="0.2">
      <c r="J348"/>
    </row>
    <row r="349" spans="10:10" x14ac:dyDescent="0.2">
      <c r="J349"/>
    </row>
    <row r="350" spans="10:10" x14ac:dyDescent="0.2">
      <c r="J350"/>
    </row>
    <row r="351" spans="10:10" x14ac:dyDescent="0.2">
      <c r="J351"/>
    </row>
    <row r="352" spans="10:10" x14ac:dyDescent="0.2">
      <c r="J352"/>
    </row>
    <row r="353" spans="10:10" x14ac:dyDescent="0.2">
      <c r="J353"/>
    </row>
    <row r="354" spans="10:10" x14ac:dyDescent="0.2">
      <c r="J354"/>
    </row>
    <row r="355" spans="10:10" x14ac:dyDescent="0.2">
      <c r="J355"/>
    </row>
    <row r="356" spans="10:10" x14ac:dyDescent="0.2">
      <c r="J356"/>
    </row>
    <row r="357" spans="10:10" x14ac:dyDescent="0.2">
      <c r="J357"/>
    </row>
    <row r="358" spans="10:10" x14ac:dyDescent="0.2">
      <c r="J358"/>
    </row>
    <row r="359" spans="10:10" x14ac:dyDescent="0.2">
      <c r="J359"/>
    </row>
    <row r="360" spans="10:10" x14ac:dyDescent="0.2">
      <c r="J360"/>
    </row>
    <row r="361" spans="10:10" x14ac:dyDescent="0.2">
      <c r="J361"/>
    </row>
    <row r="362" spans="10:10" x14ac:dyDescent="0.2">
      <c r="J362"/>
    </row>
    <row r="363" spans="10:10" x14ac:dyDescent="0.2">
      <c r="J363"/>
    </row>
    <row r="364" spans="10:10" x14ac:dyDescent="0.2">
      <c r="J364"/>
    </row>
    <row r="365" spans="10:10" x14ac:dyDescent="0.2">
      <c r="J365"/>
    </row>
    <row r="366" spans="10:10" x14ac:dyDescent="0.2">
      <c r="J366"/>
    </row>
    <row r="367" spans="10:10" x14ac:dyDescent="0.2">
      <c r="J367"/>
    </row>
    <row r="368" spans="10:10" x14ac:dyDescent="0.2">
      <c r="J368"/>
    </row>
    <row r="369" spans="10:10" x14ac:dyDescent="0.2">
      <c r="J369"/>
    </row>
    <row r="370" spans="10:10" x14ac:dyDescent="0.2">
      <c r="J370"/>
    </row>
    <row r="371" spans="10:10" x14ac:dyDescent="0.2">
      <c r="J371"/>
    </row>
    <row r="372" spans="10:10" x14ac:dyDescent="0.2">
      <c r="J372"/>
    </row>
    <row r="373" spans="10:10" x14ac:dyDescent="0.2">
      <c r="J373"/>
    </row>
    <row r="374" spans="10:10" x14ac:dyDescent="0.2">
      <c r="J374"/>
    </row>
    <row r="375" spans="10:10" x14ac:dyDescent="0.2">
      <c r="J375"/>
    </row>
    <row r="376" spans="10:10" x14ac:dyDescent="0.2">
      <c r="J376"/>
    </row>
    <row r="377" spans="10:10" x14ac:dyDescent="0.2">
      <c r="J377"/>
    </row>
    <row r="378" spans="10:10" x14ac:dyDescent="0.2">
      <c r="J378"/>
    </row>
    <row r="379" spans="10:10" x14ac:dyDescent="0.2">
      <c r="J379"/>
    </row>
    <row r="380" spans="10:10" x14ac:dyDescent="0.2">
      <c r="J380"/>
    </row>
    <row r="381" spans="10:10" x14ac:dyDescent="0.2">
      <c r="J381"/>
    </row>
    <row r="382" spans="10:10" x14ac:dyDescent="0.2">
      <c r="J382"/>
    </row>
    <row r="383" spans="10:10" x14ac:dyDescent="0.2">
      <c r="J383"/>
    </row>
    <row r="384" spans="10:10" x14ac:dyDescent="0.2">
      <c r="J384"/>
    </row>
    <row r="385" spans="10:10" x14ac:dyDescent="0.2">
      <c r="J385"/>
    </row>
    <row r="386" spans="10:10" x14ac:dyDescent="0.2">
      <c r="J386"/>
    </row>
    <row r="387" spans="10:10" x14ac:dyDescent="0.2">
      <c r="J387"/>
    </row>
    <row r="388" spans="10:10" x14ac:dyDescent="0.2">
      <c r="J388"/>
    </row>
    <row r="389" spans="10:10" x14ac:dyDescent="0.2">
      <c r="J389"/>
    </row>
    <row r="390" spans="10:10" x14ac:dyDescent="0.2">
      <c r="J390"/>
    </row>
    <row r="391" spans="10:10" x14ac:dyDescent="0.2">
      <c r="J391"/>
    </row>
    <row r="392" spans="10:10" x14ac:dyDescent="0.2">
      <c r="J392"/>
    </row>
    <row r="393" spans="10:10" x14ac:dyDescent="0.2">
      <c r="J393"/>
    </row>
    <row r="394" spans="10:10" x14ac:dyDescent="0.2">
      <c r="J394"/>
    </row>
    <row r="395" spans="10:10" x14ac:dyDescent="0.2">
      <c r="J395"/>
    </row>
    <row r="396" spans="10:10" x14ac:dyDescent="0.2">
      <c r="J396"/>
    </row>
    <row r="397" spans="10:10" x14ac:dyDescent="0.2">
      <c r="J397"/>
    </row>
    <row r="398" spans="10:10" x14ac:dyDescent="0.2">
      <c r="J398"/>
    </row>
    <row r="399" spans="10:10" x14ac:dyDescent="0.2">
      <c r="J399"/>
    </row>
    <row r="400" spans="10:10" x14ac:dyDescent="0.2">
      <c r="J400"/>
    </row>
    <row r="401" spans="10:10" x14ac:dyDescent="0.2">
      <c r="J401"/>
    </row>
    <row r="402" spans="10:10" x14ac:dyDescent="0.2">
      <c r="J402"/>
    </row>
    <row r="403" spans="10:10" x14ac:dyDescent="0.2">
      <c r="J403"/>
    </row>
    <row r="404" spans="10:10" x14ac:dyDescent="0.2">
      <c r="J404"/>
    </row>
    <row r="405" spans="10:10" x14ac:dyDescent="0.2">
      <c r="J405"/>
    </row>
    <row r="406" spans="10:10" x14ac:dyDescent="0.2">
      <c r="J406"/>
    </row>
    <row r="407" spans="10:10" x14ac:dyDescent="0.2">
      <c r="J407"/>
    </row>
    <row r="408" spans="10:10" x14ac:dyDescent="0.2">
      <c r="J408"/>
    </row>
    <row r="409" spans="10:10" x14ac:dyDescent="0.2">
      <c r="J409"/>
    </row>
    <row r="410" spans="10:10" x14ac:dyDescent="0.2">
      <c r="J410"/>
    </row>
    <row r="411" spans="10:10" x14ac:dyDescent="0.2">
      <c r="J411"/>
    </row>
    <row r="412" spans="10:10" x14ac:dyDescent="0.2">
      <c r="J412"/>
    </row>
    <row r="413" spans="10:10" x14ac:dyDescent="0.2">
      <c r="J413"/>
    </row>
    <row r="414" spans="10:10" x14ac:dyDescent="0.2">
      <c r="J414"/>
    </row>
    <row r="415" spans="10:10" x14ac:dyDescent="0.2">
      <c r="J415"/>
    </row>
    <row r="416" spans="10:10" x14ac:dyDescent="0.2">
      <c r="J416"/>
    </row>
    <row r="417" spans="10:10" x14ac:dyDescent="0.2">
      <c r="J417"/>
    </row>
    <row r="418" spans="10:10" x14ac:dyDescent="0.2">
      <c r="J418"/>
    </row>
    <row r="419" spans="10:10" x14ac:dyDescent="0.2">
      <c r="J419"/>
    </row>
    <row r="420" spans="10:10" x14ac:dyDescent="0.2">
      <c r="J420"/>
    </row>
    <row r="421" spans="10:10" x14ac:dyDescent="0.2">
      <c r="J421"/>
    </row>
    <row r="422" spans="10:10" x14ac:dyDescent="0.2">
      <c r="J422"/>
    </row>
    <row r="423" spans="10:10" x14ac:dyDescent="0.2">
      <c r="J423"/>
    </row>
    <row r="424" spans="10:10" x14ac:dyDescent="0.2">
      <c r="J424"/>
    </row>
    <row r="425" spans="10:10" x14ac:dyDescent="0.2">
      <c r="J425"/>
    </row>
    <row r="426" spans="10:10" x14ac:dyDescent="0.2">
      <c r="J426"/>
    </row>
    <row r="427" spans="10:10" x14ac:dyDescent="0.2">
      <c r="J427"/>
    </row>
    <row r="428" spans="10:10" x14ac:dyDescent="0.2">
      <c r="J428"/>
    </row>
    <row r="429" spans="10:10" x14ac:dyDescent="0.2">
      <c r="J429"/>
    </row>
    <row r="430" spans="10:10" x14ac:dyDescent="0.2">
      <c r="J430"/>
    </row>
    <row r="431" spans="10:10" x14ac:dyDescent="0.2">
      <c r="J431"/>
    </row>
    <row r="432" spans="10:10" x14ac:dyDescent="0.2">
      <c r="J432"/>
    </row>
    <row r="433" spans="10:10" x14ac:dyDescent="0.2">
      <c r="J433"/>
    </row>
    <row r="434" spans="10:10" x14ac:dyDescent="0.2">
      <c r="J434"/>
    </row>
    <row r="435" spans="10:10" x14ac:dyDescent="0.2">
      <c r="J435"/>
    </row>
    <row r="436" spans="10:10" x14ac:dyDescent="0.2">
      <c r="J436"/>
    </row>
    <row r="437" spans="10:10" x14ac:dyDescent="0.2">
      <c r="J437"/>
    </row>
    <row r="438" spans="10:10" x14ac:dyDescent="0.2">
      <c r="J438"/>
    </row>
    <row r="439" spans="10:10" x14ac:dyDescent="0.2">
      <c r="J439"/>
    </row>
    <row r="440" spans="10:10" x14ac:dyDescent="0.2">
      <c r="J440"/>
    </row>
    <row r="441" spans="10:10" x14ac:dyDescent="0.2">
      <c r="J441"/>
    </row>
    <row r="442" spans="10:10" x14ac:dyDescent="0.2">
      <c r="J442"/>
    </row>
    <row r="443" spans="10:10" x14ac:dyDescent="0.2">
      <c r="J443"/>
    </row>
    <row r="444" spans="10:10" x14ac:dyDescent="0.2">
      <c r="J444"/>
    </row>
    <row r="445" spans="10:10" x14ac:dyDescent="0.2">
      <c r="J445"/>
    </row>
    <row r="446" spans="10:10" x14ac:dyDescent="0.2">
      <c r="J446"/>
    </row>
    <row r="447" spans="10:10" x14ac:dyDescent="0.2">
      <c r="J447"/>
    </row>
    <row r="448" spans="10:10" x14ac:dyDescent="0.2">
      <c r="J448"/>
    </row>
    <row r="449" spans="10:10" x14ac:dyDescent="0.2">
      <c r="J449"/>
    </row>
    <row r="450" spans="10:10" x14ac:dyDescent="0.2">
      <c r="J450"/>
    </row>
    <row r="451" spans="10:10" x14ac:dyDescent="0.2">
      <c r="J451"/>
    </row>
    <row r="452" spans="10:10" x14ac:dyDescent="0.2">
      <c r="J452"/>
    </row>
    <row r="453" spans="10:10" x14ac:dyDescent="0.2">
      <c r="J453"/>
    </row>
    <row r="454" spans="10:10" x14ac:dyDescent="0.2">
      <c r="J454"/>
    </row>
    <row r="455" spans="10:10" x14ac:dyDescent="0.2">
      <c r="J455"/>
    </row>
    <row r="456" spans="10:10" x14ac:dyDescent="0.2">
      <c r="J456"/>
    </row>
    <row r="457" spans="10:10" x14ac:dyDescent="0.2">
      <c r="J457"/>
    </row>
    <row r="458" spans="10:10" x14ac:dyDescent="0.2">
      <c r="J458"/>
    </row>
    <row r="459" spans="10:10" x14ac:dyDescent="0.2">
      <c r="J459"/>
    </row>
    <row r="460" spans="10:10" x14ac:dyDescent="0.2">
      <c r="J460"/>
    </row>
    <row r="461" spans="10:10" x14ac:dyDescent="0.2">
      <c r="J461"/>
    </row>
    <row r="462" spans="10:10" x14ac:dyDescent="0.2">
      <c r="J462"/>
    </row>
    <row r="463" spans="10:10" x14ac:dyDescent="0.2">
      <c r="J463"/>
    </row>
    <row r="464" spans="10:10" x14ac:dyDescent="0.2">
      <c r="J464"/>
    </row>
    <row r="465" spans="10:10" x14ac:dyDescent="0.2">
      <c r="J465"/>
    </row>
    <row r="466" spans="10:10" x14ac:dyDescent="0.2">
      <c r="J466"/>
    </row>
    <row r="467" spans="10:10" x14ac:dyDescent="0.2">
      <c r="J467"/>
    </row>
    <row r="468" spans="10:10" x14ac:dyDescent="0.2">
      <c r="J468"/>
    </row>
    <row r="469" spans="10:10" x14ac:dyDescent="0.2">
      <c r="J469"/>
    </row>
    <row r="470" spans="10:10" x14ac:dyDescent="0.2">
      <c r="J470"/>
    </row>
    <row r="471" spans="10:10" x14ac:dyDescent="0.2">
      <c r="J471"/>
    </row>
    <row r="472" spans="10:10" x14ac:dyDescent="0.2">
      <c r="J472"/>
    </row>
    <row r="473" spans="10:10" x14ac:dyDescent="0.2">
      <c r="J473"/>
    </row>
    <row r="474" spans="10:10" x14ac:dyDescent="0.2">
      <c r="J474"/>
    </row>
    <row r="475" spans="10:10" x14ac:dyDescent="0.2">
      <c r="J475"/>
    </row>
    <row r="476" spans="10:10" x14ac:dyDescent="0.2">
      <c r="J476"/>
    </row>
    <row r="477" spans="10:10" x14ac:dyDescent="0.2">
      <c r="J477"/>
    </row>
    <row r="478" spans="10:10" x14ac:dyDescent="0.2">
      <c r="J478"/>
    </row>
    <row r="479" spans="10:10" x14ac:dyDescent="0.2">
      <c r="J479"/>
    </row>
    <row r="480" spans="10:10" x14ac:dyDescent="0.2">
      <c r="J480"/>
    </row>
    <row r="481" spans="10:10" x14ac:dyDescent="0.2">
      <c r="J481"/>
    </row>
    <row r="482" spans="10:10" x14ac:dyDescent="0.2">
      <c r="J482"/>
    </row>
    <row r="483" spans="10:10" x14ac:dyDescent="0.2">
      <c r="J483"/>
    </row>
    <row r="484" spans="10:10" x14ac:dyDescent="0.2">
      <c r="J484"/>
    </row>
    <row r="485" spans="10:10" x14ac:dyDescent="0.2">
      <c r="J485"/>
    </row>
    <row r="486" spans="10:10" x14ac:dyDescent="0.2">
      <c r="J486"/>
    </row>
    <row r="487" spans="10:10" x14ac:dyDescent="0.2">
      <c r="J487"/>
    </row>
    <row r="488" spans="10:10" x14ac:dyDescent="0.2">
      <c r="J488"/>
    </row>
    <row r="489" spans="10:10" x14ac:dyDescent="0.2">
      <c r="J489"/>
    </row>
    <row r="490" spans="10:10" x14ac:dyDescent="0.2">
      <c r="J490"/>
    </row>
    <row r="491" spans="10:10" x14ac:dyDescent="0.2">
      <c r="J491"/>
    </row>
    <row r="492" spans="10:10" x14ac:dyDescent="0.2">
      <c r="J492"/>
    </row>
    <row r="493" spans="10:10" x14ac:dyDescent="0.2">
      <c r="J493"/>
    </row>
    <row r="494" spans="10:10" x14ac:dyDescent="0.2">
      <c r="J494"/>
    </row>
    <row r="495" spans="10:10" x14ac:dyDescent="0.2">
      <c r="J495"/>
    </row>
    <row r="496" spans="10:10" x14ac:dyDescent="0.2">
      <c r="J496"/>
    </row>
    <row r="497" spans="10:10" x14ac:dyDescent="0.2">
      <c r="J497"/>
    </row>
    <row r="498" spans="10:10" x14ac:dyDescent="0.2">
      <c r="J498"/>
    </row>
    <row r="499" spans="10:10" x14ac:dyDescent="0.2">
      <c r="J499"/>
    </row>
    <row r="500" spans="10:10" x14ac:dyDescent="0.2">
      <c r="J500"/>
    </row>
    <row r="501" spans="10:10" x14ac:dyDescent="0.2">
      <c r="J501"/>
    </row>
    <row r="502" spans="10:10" x14ac:dyDescent="0.2">
      <c r="J502"/>
    </row>
    <row r="503" spans="10:10" x14ac:dyDescent="0.2">
      <c r="J503"/>
    </row>
    <row r="504" spans="10:10" x14ac:dyDescent="0.2">
      <c r="J504"/>
    </row>
    <row r="505" spans="10:10" x14ac:dyDescent="0.2">
      <c r="J505"/>
    </row>
    <row r="506" spans="10:10" x14ac:dyDescent="0.2">
      <c r="J506"/>
    </row>
    <row r="507" spans="10:10" x14ac:dyDescent="0.2">
      <c r="J507"/>
    </row>
    <row r="508" spans="10:10" x14ac:dyDescent="0.2">
      <c r="J508"/>
    </row>
    <row r="509" spans="10:10" x14ac:dyDescent="0.2">
      <c r="J509"/>
    </row>
    <row r="510" spans="10:10" x14ac:dyDescent="0.2">
      <c r="J510"/>
    </row>
    <row r="511" spans="10:10" x14ac:dyDescent="0.2">
      <c r="J511"/>
    </row>
    <row r="512" spans="10:10" x14ac:dyDescent="0.2">
      <c r="J512"/>
    </row>
    <row r="513" spans="10:10" x14ac:dyDescent="0.2">
      <c r="J513"/>
    </row>
    <row r="514" spans="10:10" x14ac:dyDescent="0.2">
      <c r="J514"/>
    </row>
    <row r="515" spans="10:10" x14ac:dyDescent="0.2">
      <c r="J515"/>
    </row>
    <row r="516" spans="10:10" x14ac:dyDescent="0.2">
      <c r="J516"/>
    </row>
    <row r="517" spans="10:10" x14ac:dyDescent="0.2">
      <c r="J517"/>
    </row>
    <row r="518" spans="10:10" x14ac:dyDescent="0.2">
      <c r="J518"/>
    </row>
    <row r="519" spans="10:10" x14ac:dyDescent="0.2">
      <c r="J519"/>
    </row>
    <row r="520" spans="10:10" x14ac:dyDescent="0.2">
      <c r="J520"/>
    </row>
    <row r="521" spans="10:10" x14ac:dyDescent="0.2">
      <c r="J521"/>
    </row>
    <row r="522" spans="10:10" x14ac:dyDescent="0.2">
      <c r="J522"/>
    </row>
    <row r="523" spans="10:10" x14ac:dyDescent="0.2">
      <c r="J523"/>
    </row>
    <row r="524" spans="10:10" x14ac:dyDescent="0.2">
      <c r="J524"/>
    </row>
    <row r="525" spans="10:10" x14ac:dyDescent="0.2">
      <c r="J525"/>
    </row>
    <row r="526" spans="10:10" x14ac:dyDescent="0.2">
      <c r="J526"/>
    </row>
    <row r="527" spans="10:10" x14ac:dyDescent="0.2">
      <c r="J527"/>
    </row>
    <row r="528" spans="10:10" x14ac:dyDescent="0.2">
      <c r="J528"/>
    </row>
    <row r="529" spans="10:10" x14ac:dyDescent="0.2">
      <c r="J529"/>
    </row>
    <row r="530" spans="10:10" x14ac:dyDescent="0.2">
      <c r="J530"/>
    </row>
    <row r="531" spans="10:10" x14ac:dyDescent="0.2">
      <c r="J531"/>
    </row>
    <row r="532" spans="10:10" x14ac:dyDescent="0.2">
      <c r="J532"/>
    </row>
    <row r="533" spans="10:10" x14ac:dyDescent="0.2">
      <c r="J533"/>
    </row>
    <row r="534" spans="10:10" x14ac:dyDescent="0.2">
      <c r="J534"/>
    </row>
    <row r="535" spans="10:10" x14ac:dyDescent="0.2">
      <c r="J535"/>
    </row>
    <row r="536" spans="10:10" x14ac:dyDescent="0.2">
      <c r="J536"/>
    </row>
    <row r="537" spans="10:10" x14ac:dyDescent="0.2">
      <c r="J537"/>
    </row>
    <row r="538" spans="10:10" x14ac:dyDescent="0.2">
      <c r="J538"/>
    </row>
    <row r="539" spans="10:10" x14ac:dyDescent="0.2">
      <c r="J539"/>
    </row>
    <row r="540" spans="10:10" x14ac:dyDescent="0.2">
      <c r="J540"/>
    </row>
    <row r="541" spans="10:10" x14ac:dyDescent="0.2">
      <c r="J541"/>
    </row>
    <row r="542" spans="10:10" x14ac:dyDescent="0.2">
      <c r="J542"/>
    </row>
    <row r="543" spans="10:10" x14ac:dyDescent="0.2">
      <c r="J543"/>
    </row>
    <row r="544" spans="10:10" x14ac:dyDescent="0.2">
      <c r="J544"/>
    </row>
    <row r="545" spans="10:10" x14ac:dyDescent="0.2">
      <c r="J545"/>
    </row>
    <row r="546" spans="10:10" x14ac:dyDescent="0.2">
      <c r="J546"/>
    </row>
    <row r="547" spans="10:10" x14ac:dyDescent="0.2">
      <c r="J547"/>
    </row>
    <row r="548" spans="10:10" x14ac:dyDescent="0.2">
      <c r="J548"/>
    </row>
    <row r="549" spans="10:10" x14ac:dyDescent="0.2">
      <c r="J549"/>
    </row>
    <row r="550" spans="10:10" x14ac:dyDescent="0.2">
      <c r="J550"/>
    </row>
    <row r="551" spans="10:10" x14ac:dyDescent="0.2">
      <c r="J551"/>
    </row>
    <row r="552" spans="10:10" x14ac:dyDescent="0.2">
      <c r="J552"/>
    </row>
    <row r="553" spans="10:10" x14ac:dyDescent="0.2">
      <c r="J553"/>
    </row>
    <row r="554" spans="10:10" x14ac:dyDescent="0.2">
      <c r="J554"/>
    </row>
    <row r="555" spans="10:10" x14ac:dyDescent="0.2">
      <c r="J555"/>
    </row>
    <row r="556" spans="10:10" x14ac:dyDescent="0.2">
      <c r="J556"/>
    </row>
    <row r="557" spans="10:10" x14ac:dyDescent="0.2">
      <c r="J557"/>
    </row>
    <row r="558" spans="10:10" x14ac:dyDescent="0.2">
      <c r="J558"/>
    </row>
    <row r="559" spans="10:10" x14ac:dyDescent="0.2">
      <c r="J559"/>
    </row>
    <row r="560" spans="10:10" x14ac:dyDescent="0.2">
      <c r="J560"/>
    </row>
    <row r="561" spans="10:10" x14ac:dyDescent="0.2">
      <c r="J561"/>
    </row>
    <row r="562" spans="10:10" x14ac:dyDescent="0.2">
      <c r="J562"/>
    </row>
    <row r="563" spans="10:10" x14ac:dyDescent="0.2">
      <c r="J563"/>
    </row>
    <row r="564" spans="10:10" x14ac:dyDescent="0.2">
      <c r="J564"/>
    </row>
    <row r="565" spans="10:10" x14ac:dyDescent="0.2">
      <c r="J565"/>
    </row>
    <row r="566" spans="10:10" x14ac:dyDescent="0.2">
      <c r="J566"/>
    </row>
    <row r="567" spans="10:10" x14ac:dyDescent="0.2">
      <c r="J567"/>
    </row>
    <row r="568" spans="10:10" x14ac:dyDescent="0.2">
      <c r="J568"/>
    </row>
    <row r="569" spans="10:10" x14ac:dyDescent="0.2">
      <c r="J569"/>
    </row>
    <row r="570" spans="10:10" x14ac:dyDescent="0.2">
      <c r="J570"/>
    </row>
    <row r="571" spans="10:10" x14ac:dyDescent="0.2">
      <c r="J571"/>
    </row>
    <row r="572" spans="10:10" x14ac:dyDescent="0.2">
      <c r="J572"/>
    </row>
    <row r="573" spans="10:10" x14ac:dyDescent="0.2">
      <c r="J573"/>
    </row>
    <row r="574" spans="10:10" x14ac:dyDescent="0.2">
      <c r="J574"/>
    </row>
    <row r="575" spans="10:10" x14ac:dyDescent="0.2">
      <c r="J575"/>
    </row>
    <row r="576" spans="10:10" x14ac:dyDescent="0.2">
      <c r="J576"/>
    </row>
    <row r="577" spans="10:10" x14ac:dyDescent="0.2">
      <c r="J577"/>
    </row>
    <row r="578" spans="10:10" x14ac:dyDescent="0.2">
      <c r="J578"/>
    </row>
    <row r="579" spans="10:10" x14ac:dyDescent="0.2">
      <c r="J579"/>
    </row>
    <row r="580" spans="10:10" x14ac:dyDescent="0.2">
      <c r="J580"/>
    </row>
    <row r="581" spans="10:10" x14ac:dyDescent="0.2">
      <c r="J581"/>
    </row>
    <row r="582" spans="10:10" x14ac:dyDescent="0.2">
      <c r="J582"/>
    </row>
    <row r="583" spans="10:10" x14ac:dyDescent="0.2">
      <c r="J583"/>
    </row>
    <row r="584" spans="10:10" x14ac:dyDescent="0.2">
      <c r="J584"/>
    </row>
    <row r="585" spans="10:10" x14ac:dyDescent="0.2">
      <c r="J585"/>
    </row>
    <row r="586" spans="10:10" x14ac:dyDescent="0.2">
      <c r="J586"/>
    </row>
    <row r="587" spans="10:10" x14ac:dyDescent="0.2">
      <c r="J587"/>
    </row>
    <row r="588" spans="10:10" x14ac:dyDescent="0.2">
      <c r="J588"/>
    </row>
    <row r="589" spans="10:10" x14ac:dyDescent="0.2">
      <c r="J589"/>
    </row>
    <row r="590" spans="10:10" x14ac:dyDescent="0.2">
      <c r="J590"/>
    </row>
    <row r="591" spans="10:10" x14ac:dyDescent="0.2">
      <c r="J591"/>
    </row>
    <row r="592" spans="10:10" x14ac:dyDescent="0.2">
      <c r="J592"/>
    </row>
    <row r="593" spans="10:10" x14ac:dyDescent="0.2">
      <c r="J593"/>
    </row>
    <row r="594" spans="10:10" x14ac:dyDescent="0.2">
      <c r="J594"/>
    </row>
    <row r="595" spans="10:10" x14ac:dyDescent="0.2">
      <c r="J595"/>
    </row>
    <row r="596" spans="10:10" x14ac:dyDescent="0.2">
      <c r="J596"/>
    </row>
    <row r="597" spans="10:10" x14ac:dyDescent="0.2">
      <c r="J597"/>
    </row>
    <row r="598" spans="10:10" x14ac:dyDescent="0.2">
      <c r="J598"/>
    </row>
    <row r="599" spans="10:10" x14ac:dyDescent="0.2">
      <c r="J599"/>
    </row>
    <row r="600" spans="10:10" x14ac:dyDescent="0.2">
      <c r="J600"/>
    </row>
    <row r="601" spans="10:10" x14ac:dyDescent="0.2">
      <c r="J601"/>
    </row>
    <row r="602" spans="10:10" x14ac:dyDescent="0.2">
      <c r="J602"/>
    </row>
    <row r="603" spans="10:10" x14ac:dyDescent="0.2">
      <c r="J603"/>
    </row>
    <row r="604" spans="10:10" x14ac:dyDescent="0.2">
      <c r="J604"/>
    </row>
    <row r="605" spans="10:10" x14ac:dyDescent="0.2">
      <c r="J605"/>
    </row>
    <row r="606" spans="10:10" x14ac:dyDescent="0.2">
      <c r="J606"/>
    </row>
    <row r="607" spans="10:10" x14ac:dyDescent="0.2">
      <c r="J607"/>
    </row>
    <row r="608" spans="10:10" x14ac:dyDescent="0.2">
      <c r="J608"/>
    </row>
    <row r="609" spans="10:10" x14ac:dyDescent="0.2">
      <c r="J609"/>
    </row>
    <row r="610" spans="10:10" x14ac:dyDescent="0.2">
      <c r="J610"/>
    </row>
    <row r="611" spans="10:10" x14ac:dyDescent="0.2">
      <c r="J611"/>
    </row>
    <row r="612" spans="10:10" x14ac:dyDescent="0.2">
      <c r="J612"/>
    </row>
    <row r="613" spans="10:10" x14ac:dyDescent="0.2">
      <c r="J613"/>
    </row>
    <row r="614" spans="10:10" x14ac:dyDescent="0.2">
      <c r="J614"/>
    </row>
    <row r="615" spans="10:10" x14ac:dyDescent="0.2">
      <c r="J615"/>
    </row>
    <row r="616" spans="10:10" x14ac:dyDescent="0.2">
      <c r="J616"/>
    </row>
    <row r="617" spans="10:10" x14ac:dyDescent="0.2">
      <c r="J617"/>
    </row>
    <row r="618" spans="10:10" x14ac:dyDescent="0.2">
      <c r="J618"/>
    </row>
    <row r="619" spans="10:10" x14ac:dyDescent="0.2">
      <c r="J619"/>
    </row>
    <row r="620" spans="10:10" x14ac:dyDescent="0.2">
      <c r="J620"/>
    </row>
    <row r="621" spans="10:10" x14ac:dyDescent="0.2">
      <c r="J621"/>
    </row>
    <row r="622" spans="10:10" x14ac:dyDescent="0.2">
      <c r="J622"/>
    </row>
    <row r="623" spans="10:10" x14ac:dyDescent="0.2">
      <c r="J623"/>
    </row>
    <row r="624" spans="10:10" x14ac:dyDescent="0.2">
      <c r="J624"/>
    </row>
    <row r="625" spans="10:10" x14ac:dyDescent="0.2">
      <c r="J625"/>
    </row>
    <row r="626" spans="10:10" x14ac:dyDescent="0.2">
      <c r="J626"/>
    </row>
    <row r="627" spans="10:10" x14ac:dyDescent="0.2">
      <c r="J627"/>
    </row>
    <row r="628" spans="10:10" x14ac:dyDescent="0.2">
      <c r="J628"/>
    </row>
    <row r="629" spans="10:10" x14ac:dyDescent="0.2">
      <c r="J629"/>
    </row>
    <row r="630" spans="10:10" x14ac:dyDescent="0.2">
      <c r="J630"/>
    </row>
    <row r="631" spans="10:10" x14ac:dyDescent="0.2">
      <c r="J631"/>
    </row>
    <row r="632" spans="10:10" x14ac:dyDescent="0.2">
      <c r="J632"/>
    </row>
    <row r="633" spans="10:10" x14ac:dyDescent="0.2">
      <c r="J633"/>
    </row>
    <row r="634" spans="10:10" x14ac:dyDescent="0.2">
      <c r="J634"/>
    </row>
    <row r="635" spans="10:10" x14ac:dyDescent="0.2">
      <c r="J635"/>
    </row>
    <row r="636" spans="10:10" x14ac:dyDescent="0.2">
      <c r="J636"/>
    </row>
    <row r="637" spans="10:10" x14ac:dyDescent="0.2">
      <c r="J637"/>
    </row>
    <row r="638" spans="10:10" x14ac:dyDescent="0.2">
      <c r="J638"/>
    </row>
    <row r="639" spans="10:10" x14ac:dyDescent="0.2">
      <c r="J639"/>
    </row>
    <row r="640" spans="10:10" x14ac:dyDescent="0.2">
      <c r="J640"/>
    </row>
    <row r="641" spans="10:10" x14ac:dyDescent="0.2">
      <c r="J641"/>
    </row>
    <row r="642" spans="10:10" x14ac:dyDescent="0.2">
      <c r="J642"/>
    </row>
    <row r="643" spans="10:10" x14ac:dyDescent="0.2">
      <c r="J643"/>
    </row>
    <row r="644" spans="10:10" x14ac:dyDescent="0.2">
      <c r="J644"/>
    </row>
    <row r="645" spans="10:10" x14ac:dyDescent="0.2">
      <c r="J645"/>
    </row>
    <row r="646" spans="10:10" x14ac:dyDescent="0.2">
      <c r="J646"/>
    </row>
    <row r="647" spans="10:10" x14ac:dyDescent="0.2">
      <c r="J647"/>
    </row>
    <row r="648" spans="10:10" x14ac:dyDescent="0.2">
      <c r="J648"/>
    </row>
    <row r="649" spans="10:10" x14ac:dyDescent="0.2">
      <c r="J649"/>
    </row>
    <row r="650" spans="10:10" x14ac:dyDescent="0.2">
      <c r="J650"/>
    </row>
    <row r="651" spans="10:10" x14ac:dyDescent="0.2">
      <c r="J651"/>
    </row>
    <row r="652" spans="10:10" x14ac:dyDescent="0.2">
      <c r="J652"/>
    </row>
    <row r="653" spans="10:10" x14ac:dyDescent="0.2">
      <c r="J653"/>
    </row>
    <row r="654" spans="10:10" x14ac:dyDescent="0.2">
      <c r="J654"/>
    </row>
    <row r="655" spans="10:10" x14ac:dyDescent="0.2">
      <c r="J655"/>
    </row>
    <row r="656" spans="10:10" x14ac:dyDescent="0.2">
      <c r="J656"/>
    </row>
    <row r="657" spans="10:10" x14ac:dyDescent="0.2">
      <c r="J657"/>
    </row>
    <row r="658" spans="10:10" x14ac:dyDescent="0.2">
      <c r="J658"/>
    </row>
    <row r="659" spans="10:10" x14ac:dyDescent="0.2">
      <c r="J659"/>
    </row>
    <row r="660" spans="10:10" x14ac:dyDescent="0.2">
      <c r="J660"/>
    </row>
    <row r="661" spans="10:10" x14ac:dyDescent="0.2">
      <c r="J661"/>
    </row>
    <row r="662" spans="10:10" x14ac:dyDescent="0.2">
      <c r="J662"/>
    </row>
    <row r="663" spans="10:10" x14ac:dyDescent="0.2">
      <c r="J663"/>
    </row>
    <row r="664" spans="10:10" x14ac:dyDescent="0.2">
      <c r="J664"/>
    </row>
    <row r="665" spans="10:10" x14ac:dyDescent="0.2">
      <c r="J665"/>
    </row>
    <row r="666" spans="10:10" x14ac:dyDescent="0.2">
      <c r="J666"/>
    </row>
    <row r="667" spans="10:10" x14ac:dyDescent="0.2">
      <c r="J667"/>
    </row>
    <row r="668" spans="10:10" x14ac:dyDescent="0.2">
      <c r="J668"/>
    </row>
    <row r="669" spans="10:10" x14ac:dyDescent="0.2">
      <c r="J669"/>
    </row>
    <row r="670" spans="10:10" x14ac:dyDescent="0.2">
      <c r="J670"/>
    </row>
    <row r="671" spans="10:10" x14ac:dyDescent="0.2">
      <c r="J671"/>
    </row>
    <row r="672" spans="10:10" x14ac:dyDescent="0.2">
      <c r="J672"/>
    </row>
    <row r="673" spans="10:10" x14ac:dyDescent="0.2">
      <c r="J673"/>
    </row>
    <row r="674" spans="10:10" x14ac:dyDescent="0.2">
      <c r="J674"/>
    </row>
    <row r="675" spans="10:10" x14ac:dyDescent="0.2">
      <c r="J675"/>
    </row>
    <row r="676" spans="10:10" x14ac:dyDescent="0.2">
      <c r="J676"/>
    </row>
    <row r="677" spans="10:10" x14ac:dyDescent="0.2">
      <c r="J677"/>
    </row>
    <row r="678" spans="10:10" x14ac:dyDescent="0.2">
      <c r="J678"/>
    </row>
    <row r="679" spans="10:10" x14ac:dyDescent="0.2">
      <c r="J679"/>
    </row>
    <row r="680" spans="10:10" x14ac:dyDescent="0.2">
      <c r="J680"/>
    </row>
    <row r="681" spans="10:10" x14ac:dyDescent="0.2">
      <c r="J681"/>
    </row>
    <row r="682" spans="10:10" x14ac:dyDescent="0.2">
      <c r="J682"/>
    </row>
    <row r="683" spans="10:10" x14ac:dyDescent="0.2">
      <c r="J683"/>
    </row>
    <row r="684" spans="10:10" x14ac:dyDescent="0.2">
      <c r="J684"/>
    </row>
    <row r="685" spans="10:10" x14ac:dyDescent="0.2">
      <c r="J685"/>
    </row>
    <row r="686" spans="10:10" x14ac:dyDescent="0.2">
      <c r="J686"/>
    </row>
    <row r="687" spans="10:10" x14ac:dyDescent="0.2">
      <c r="J687"/>
    </row>
    <row r="688" spans="10:10" x14ac:dyDescent="0.2">
      <c r="J688"/>
    </row>
    <row r="689" spans="10:10" x14ac:dyDescent="0.2">
      <c r="J689"/>
    </row>
    <row r="690" spans="10:10" x14ac:dyDescent="0.2">
      <c r="J690"/>
    </row>
    <row r="691" spans="10:10" x14ac:dyDescent="0.2">
      <c r="J691"/>
    </row>
    <row r="692" spans="10:10" x14ac:dyDescent="0.2">
      <c r="J692"/>
    </row>
    <row r="693" spans="10:10" x14ac:dyDescent="0.2">
      <c r="J693"/>
    </row>
    <row r="694" spans="10:10" x14ac:dyDescent="0.2">
      <c r="J694"/>
    </row>
    <row r="695" spans="10:10" x14ac:dyDescent="0.2">
      <c r="J695"/>
    </row>
    <row r="696" spans="10:10" x14ac:dyDescent="0.2">
      <c r="J696"/>
    </row>
    <row r="697" spans="10:10" x14ac:dyDescent="0.2">
      <c r="J697"/>
    </row>
    <row r="698" spans="10:10" x14ac:dyDescent="0.2">
      <c r="J698"/>
    </row>
    <row r="699" spans="10:10" x14ac:dyDescent="0.2">
      <c r="J699"/>
    </row>
    <row r="700" spans="10:10" x14ac:dyDescent="0.2">
      <c r="J700"/>
    </row>
    <row r="701" spans="10:10" x14ac:dyDescent="0.2">
      <c r="J701"/>
    </row>
    <row r="702" spans="10:10" x14ac:dyDescent="0.2">
      <c r="J702"/>
    </row>
    <row r="703" spans="10:10" x14ac:dyDescent="0.2">
      <c r="J703"/>
    </row>
    <row r="704" spans="10:10" x14ac:dyDescent="0.2">
      <c r="J704"/>
    </row>
    <row r="705" spans="10:10" x14ac:dyDescent="0.2">
      <c r="J705"/>
    </row>
    <row r="706" spans="10:10" x14ac:dyDescent="0.2">
      <c r="J706"/>
    </row>
    <row r="707" spans="10:10" x14ac:dyDescent="0.2">
      <c r="J707"/>
    </row>
    <row r="708" spans="10:10" x14ac:dyDescent="0.2">
      <c r="J708"/>
    </row>
    <row r="709" spans="10:10" x14ac:dyDescent="0.2">
      <c r="J709"/>
    </row>
    <row r="710" spans="10:10" x14ac:dyDescent="0.2">
      <c r="J710"/>
    </row>
    <row r="711" spans="10:10" x14ac:dyDescent="0.2">
      <c r="J711"/>
    </row>
    <row r="712" spans="10:10" x14ac:dyDescent="0.2">
      <c r="J712"/>
    </row>
    <row r="713" spans="10:10" x14ac:dyDescent="0.2">
      <c r="J713"/>
    </row>
    <row r="714" spans="10:10" x14ac:dyDescent="0.2">
      <c r="J714"/>
    </row>
    <row r="715" spans="10:10" x14ac:dyDescent="0.2">
      <c r="J715"/>
    </row>
    <row r="716" spans="10:10" x14ac:dyDescent="0.2">
      <c r="J716"/>
    </row>
    <row r="717" spans="10:10" x14ac:dyDescent="0.2">
      <c r="J717"/>
    </row>
    <row r="718" spans="10:10" x14ac:dyDescent="0.2">
      <c r="J718"/>
    </row>
    <row r="719" spans="10:10" x14ac:dyDescent="0.2">
      <c r="J719"/>
    </row>
    <row r="720" spans="10:10" x14ac:dyDescent="0.2">
      <c r="J720"/>
    </row>
    <row r="721" spans="10:10" x14ac:dyDescent="0.2">
      <c r="J721"/>
    </row>
    <row r="722" spans="10:10" x14ac:dyDescent="0.2">
      <c r="J722"/>
    </row>
    <row r="723" spans="10:10" x14ac:dyDescent="0.2">
      <c r="J723"/>
    </row>
    <row r="724" spans="10:10" x14ac:dyDescent="0.2">
      <c r="J724"/>
    </row>
    <row r="725" spans="10:10" x14ac:dyDescent="0.2">
      <c r="J725"/>
    </row>
    <row r="726" spans="10:10" x14ac:dyDescent="0.2">
      <c r="J726"/>
    </row>
    <row r="727" spans="10:10" x14ac:dyDescent="0.2">
      <c r="J727"/>
    </row>
    <row r="728" spans="10:10" x14ac:dyDescent="0.2">
      <c r="J728"/>
    </row>
    <row r="729" spans="10:10" x14ac:dyDescent="0.2">
      <c r="J729"/>
    </row>
    <row r="730" spans="10:10" x14ac:dyDescent="0.2">
      <c r="J730"/>
    </row>
    <row r="731" spans="10:10" x14ac:dyDescent="0.2">
      <c r="J731"/>
    </row>
    <row r="732" spans="10:10" x14ac:dyDescent="0.2">
      <c r="J732"/>
    </row>
    <row r="733" spans="10:10" x14ac:dyDescent="0.2">
      <c r="J733"/>
    </row>
    <row r="734" spans="10:10" x14ac:dyDescent="0.2">
      <c r="J734"/>
    </row>
    <row r="735" spans="10:10" x14ac:dyDescent="0.2">
      <c r="J735"/>
    </row>
    <row r="736" spans="10:10" x14ac:dyDescent="0.2">
      <c r="J736"/>
    </row>
    <row r="737" spans="10:10" x14ac:dyDescent="0.2">
      <c r="J737"/>
    </row>
    <row r="738" spans="10:10" x14ac:dyDescent="0.2">
      <c r="J738"/>
    </row>
    <row r="739" spans="10:10" x14ac:dyDescent="0.2">
      <c r="J739"/>
    </row>
    <row r="740" spans="10:10" x14ac:dyDescent="0.2">
      <c r="J740"/>
    </row>
    <row r="741" spans="10:10" x14ac:dyDescent="0.2">
      <c r="J741"/>
    </row>
    <row r="742" spans="10:10" x14ac:dyDescent="0.2">
      <c r="J742"/>
    </row>
    <row r="743" spans="10:10" x14ac:dyDescent="0.2">
      <c r="J743"/>
    </row>
    <row r="744" spans="10:10" x14ac:dyDescent="0.2">
      <c r="J744"/>
    </row>
    <row r="745" spans="10:10" x14ac:dyDescent="0.2">
      <c r="J745"/>
    </row>
    <row r="746" spans="10:10" x14ac:dyDescent="0.2">
      <c r="J746"/>
    </row>
    <row r="747" spans="10:10" x14ac:dyDescent="0.2">
      <c r="J747"/>
    </row>
    <row r="748" spans="10:10" x14ac:dyDescent="0.2">
      <c r="J748"/>
    </row>
    <row r="749" spans="10:10" x14ac:dyDescent="0.2">
      <c r="J749"/>
    </row>
    <row r="750" spans="10:10" x14ac:dyDescent="0.2">
      <c r="J750"/>
    </row>
    <row r="751" spans="10:10" x14ac:dyDescent="0.2">
      <c r="J751"/>
    </row>
    <row r="752" spans="10:10" x14ac:dyDescent="0.2">
      <c r="J752"/>
    </row>
    <row r="753" spans="10:10" x14ac:dyDescent="0.2">
      <c r="J753"/>
    </row>
    <row r="754" spans="10:10" x14ac:dyDescent="0.2">
      <c r="J754"/>
    </row>
    <row r="755" spans="10:10" x14ac:dyDescent="0.2">
      <c r="J755"/>
    </row>
    <row r="756" spans="10:10" x14ac:dyDescent="0.2">
      <c r="J756"/>
    </row>
    <row r="757" spans="10:10" x14ac:dyDescent="0.2">
      <c r="J757"/>
    </row>
    <row r="758" spans="10:10" x14ac:dyDescent="0.2">
      <c r="J758"/>
    </row>
    <row r="759" spans="10:10" x14ac:dyDescent="0.2">
      <c r="J759"/>
    </row>
    <row r="760" spans="10:10" x14ac:dyDescent="0.2">
      <c r="J760"/>
    </row>
    <row r="761" spans="10:10" x14ac:dyDescent="0.2">
      <c r="J761"/>
    </row>
    <row r="762" spans="10:10" x14ac:dyDescent="0.2">
      <c r="J762"/>
    </row>
    <row r="763" spans="10:10" x14ac:dyDescent="0.2">
      <c r="J763"/>
    </row>
    <row r="764" spans="10:10" x14ac:dyDescent="0.2">
      <c r="J764"/>
    </row>
    <row r="765" spans="10:10" x14ac:dyDescent="0.2">
      <c r="J765"/>
    </row>
    <row r="766" spans="10:10" x14ac:dyDescent="0.2">
      <c r="J766"/>
    </row>
    <row r="767" spans="10:10" x14ac:dyDescent="0.2">
      <c r="J767"/>
    </row>
    <row r="768" spans="10:10" x14ac:dyDescent="0.2">
      <c r="J768"/>
    </row>
    <row r="769" spans="10:10" x14ac:dyDescent="0.2">
      <c r="J769"/>
    </row>
    <row r="770" spans="10:10" x14ac:dyDescent="0.2">
      <c r="J770"/>
    </row>
    <row r="771" spans="10:10" x14ac:dyDescent="0.2">
      <c r="J771"/>
    </row>
    <row r="772" spans="10:10" x14ac:dyDescent="0.2">
      <c r="J772"/>
    </row>
    <row r="773" spans="10:10" x14ac:dyDescent="0.2">
      <c r="J773"/>
    </row>
    <row r="774" spans="10:10" x14ac:dyDescent="0.2">
      <c r="J774"/>
    </row>
    <row r="775" spans="10:10" x14ac:dyDescent="0.2">
      <c r="J775"/>
    </row>
    <row r="776" spans="10:10" x14ac:dyDescent="0.2">
      <c r="J776"/>
    </row>
    <row r="777" spans="10:10" x14ac:dyDescent="0.2">
      <c r="J777"/>
    </row>
    <row r="778" spans="10:10" x14ac:dyDescent="0.2">
      <c r="J778"/>
    </row>
    <row r="779" spans="10:10" x14ac:dyDescent="0.2">
      <c r="J779"/>
    </row>
    <row r="780" spans="10:10" x14ac:dyDescent="0.2">
      <c r="J780"/>
    </row>
    <row r="781" spans="10:10" x14ac:dyDescent="0.2">
      <c r="J781"/>
    </row>
    <row r="782" spans="10:10" x14ac:dyDescent="0.2">
      <c r="J782"/>
    </row>
    <row r="783" spans="10:10" x14ac:dyDescent="0.2">
      <c r="J783"/>
    </row>
    <row r="784" spans="10:10" x14ac:dyDescent="0.2">
      <c r="J784"/>
    </row>
    <row r="785" spans="10:10" x14ac:dyDescent="0.2">
      <c r="J785"/>
    </row>
    <row r="786" spans="10:10" x14ac:dyDescent="0.2">
      <c r="J786"/>
    </row>
    <row r="787" spans="10:10" x14ac:dyDescent="0.2">
      <c r="J787"/>
    </row>
    <row r="788" spans="10:10" x14ac:dyDescent="0.2">
      <c r="J788"/>
    </row>
    <row r="789" spans="10:10" x14ac:dyDescent="0.2">
      <c r="J789"/>
    </row>
    <row r="790" spans="10:10" x14ac:dyDescent="0.2">
      <c r="J790"/>
    </row>
    <row r="791" spans="10:10" x14ac:dyDescent="0.2">
      <c r="J791"/>
    </row>
    <row r="792" spans="10:10" x14ac:dyDescent="0.2">
      <c r="J792"/>
    </row>
    <row r="793" spans="10:10" x14ac:dyDescent="0.2">
      <c r="J793"/>
    </row>
    <row r="794" spans="10:10" x14ac:dyDescent="0.2">
      <c r="J794"/>
    </row>
    <row r="795" spans="10:10" x14ac:dyDescent="0.2">
      <c r="J795"/>
    </row>
    <row r="796" spans="10:10" x14ac:dyDescent="0.2">
      <c r="J796"/>
    </row>
    <row r="797" spans="10:10" x14ac:dyDescent="0.2">
      <c r="J797"/>
    </row>
    <row r="798" spans="10:10" x14ac:dyDescent="0.2">
      <c r="J798"/>
    </row>
    <row r="799" spans="10:10" x14ac:dyDescent="0.2">
      <c r="J799"/>
    </row>
    <row r="800" spans="10:10" x14ac:dyDescent="0.2">
      <c r="J800"/>
    </row>
    <row r="801" spans="10:10" x14ac:dyDescent="0.2">
      <c r="J801"/>
    </row>
    <row r="802" spans="10:10" x14ac:dyDescent="0.2">
      <c r="J802"/>
    </row>
    <row r="803" spans="10:10" x14ac:dyDescent="0.2">
      <c r="J803"/>
    </row>
    <row r="804" spans="10:10" x14ac:dyDescent="0.2">
      <c r="J804"/>
    </row>
    <row r="805" spans="10:10" x14ac:dyDescent="0.2">
      <c r="J805"/>
    </row>
    <row r="806" spans="10:10" x14ac:dyDescent="0.2">
      <c r="J806"/>
    </row>
    <row r="807" spans="10:10" x14ac:dyDescent="0.2">
      <c r="J807"/>
    </row>
    <row r="808" spans="10:10" x14ac:dyDescent="0.2">
      <c r="J808"/>
    </row>
    <row r="809" spans="10:10" x14ac:dyDescent="0.2">
      <c r="J809"/>
    </row>
    <row r="810" spans="10:10" x14ac:dyDescent="0.2">
      <c r="J810"/>
    </row>
    <row r="811" spans="10:10" x14ac:dyDescent="0.2">
      <c r="J811"/>
    </row>
    <row r="812" spans="10:10" x14ac:dyDescent="0.2">
      <c r="J812"/>
    </row>
    <row r="813" spans="10:10" x14ac:dyDescent="0.2">
      <c r="J813"/>
    </row>
    <row r="814" spans="10:10" x14ac:dyDescent="0.2">
      <c r="J814"/>
    </row>
    <row r="815" spans="10:10" x14ac:dyDescent="0.2">
      <c r="J815"/>
    </row>
    <row r="816" spans="10:10" x14ac:dyDescent="0.2">
      <c r="J816"/>
    </row>
    <row r="817" spans="10:10" x14ac:dyDescent="0.2">
      <c r="J817"/>
    </row>
    <row r="818" spans="10:10" x14ac:dyDescent="0.2">
      <c r="J818"/>
    </row>
    <row r="819" spans="10:10" x14ac:dyDescent="0.2">
      <c r="J819"/>
    </row>
    <row r="820" spans="10:10" x14ac:dyDescent="0.2">
      <c r="J820"/>
    </row>
    <row r="821" spans="10:10" x14ac:dyDescent="0.2">
      <c r="J821"/>
    </row>
    <row r="822" spans="10:10" x14ac:dyDescent="0.2">
      <c r="J822"/>
    </row>
    <row r="823" spans="10:10" x14ac:dyDescent="0.2">
      <c r="J823"/>
    </row>
    <row r="824" spans="10:10" x14ac:dyDescent="0.2">
      <c r="J824"/>
    </row>
    <row r="825" spans="10:10" x14ac:dyDescent="0.2">
      <c r="J825"/>
    </row>
    <row r="826" spans="10:10" x14ac:dyDescent="0.2">
      <c r="J826"/>
    </row>
    <row r="827" spans="10:10" x14ac:dyDescent="0.2">
      <c r="J827"/>
    </row>
    <row r="828" spans="10:10" x14ac:dyDescent="0.2">
      <c r="J828"/>
    </row>
    <row r="829" spans="10:10" x14ac:dyDescent="0.2">
      <c r="J829"/>
    </row>
    <row r="830" spans="10:10" x14ac:dyDescent="0.2">
      <c r="J830"/>
    </row>
    <row r="831" spans="10:10" x14ac:dyDescent="0.2">
      <c r="J831"/>
    </row>
    <row r="832" spans="10:10" x14ac:dyDescent="0.2">
      <c r="J832"/>
    </row>
    <row r="833" spans="10:10" x14ac:dyDescent="0.2">
      <c r="J833"/>
    </row>
    <row r="834" spans="10:10" x14ac:dyDescent="0.2">
      <c r="J834"/>
    </row>
    <row r="835" spans="10:10" x14ac:dyDescent="0.2">
      <c r="J835"/>
    </row>
    <row r="836" spans="10:10" x14ac:dyDescent="0.2">
      <c r="J836"/>
    </row>
    <row r="837" spans="10:10" x14ac:dyDescent="0.2">
      <c r="J837"/>
    </row>
    <row r="838" spans="10:10" x14ac:dyDescent="0.2">
      <c r="J838"/>
    </row>
    <row r="839" spans="10:10" x14ac:dyDescent="0.2">
      <c r="J839"/>
    </row>
    <row r="840" spans="10:10" x14ac:dyDescent="0.2">
      <c r="J840"/>
    </row>
    <row r="841" spans="10:10" x14ac:dyDescent="0.2">
      <c r="J841"/>
    </row>
    <row r="842" spans="10:10" x14ac:dyDescent="0.2">
      <c r="J842"/>
    </row>
    <row r="843" spans="10:10" x14ac:dyDescent="0.2">
      <c r="J843"/>
    </row>
    <row r="844" spans="10:10" x14ac:dyDescent="0.2">
      <c r="J844"/>
    </row>
    <row r="845" spans="10:10" x14ac:dyDescent="0.2">
      <c r="J845"/>
    </row>
    <row r="846" spans="10:10" x14ac:dyDescent="0.2">
      <c r="J846"/>
    </row>
    <row r="847" spans="10:10" x14ac:dyDescent="0.2">
      <c r="J847"/>
    </row>
    <row r="848" spans="10:10" x14ac:dyDescent="0.2">
      <c r="J848"/>
    </row>
    <row r="849" spans="10:10" x14ac:dyDescent="0.2">
      <c r="J849"/>
    </row>
    <row r="850" spans="10:10" x14ac:dyDescent="0.2">
      <c r="J850"/>
    </row>
    <row r="851" spans="10:10" x14ac:dyDescent="0.2">
      <c r="J851"/>
    </row>
    <row r="852" spans="10:10" x14ac:dyDescent="0.2">
      <c r="J852"/>
    </row>
    <row r="853" spans="10:10" x14ac:dyDescent="0.2">
      <c r="J853"/>
    </row>
    <row r="854" spans="10:10" x14ac:dyDescent="0.2">
      <c r="J854"/>
    </row>
    <row r="855" spans="10:10" x14ac:dyDescent="0.2">
      <c r="J855"/>
    </row>
    <row r="856" spans="10:10" x14ac:dyDescent="0.2">
      <c r="J856"/>
    </row>
    <row r="857" spans="10:10" x14ac:dyDescent="0.2">
      <c r="J857"/>
    </row>
    <row r="858" spans="10:10" x14ac:dyDescent="0.2">
      <c r="J858"/>
    </row>
    <row r="859" spans="10:10" x14ac:dyDescent="0.2">
      <c r="J859"/>
    </row>
    <row r="860" spans="10:10" x14ac:dyDescent="0.2">
      <c r="J860"/>
    </row>
    <row r="861" spans="10:10" x14ac:dyDescent="0.2">
      <c r="J861"/>
    </row>
    <row r="862" spans="10:10" x14ac:dyDescent="0.2">
      <c r="J862"/>
    </row>
    <row r="863" spans="10:10" x14ac:dyDescent="0.2">
      <c r="J863"/>
    </row>
    <row r="864" spans="10:10" x14ac:dyDescent="0.2">
      <c r="J864"/>
    </row>
    <row r="865" spans="10:10" x14ac:dyDescent="0.2">
      <c r="J865"/>
    </row>
    <row r="866" spans="10:10" x14ac:dyDescent="0.2">
      <c r="J866"/>
    </row>
    <row r="867" spans="10:10" x14ac:dyDescent="0.2">
      <c r="J867"/>
    </row>
    <row r="868" spans="10:10" x14ac:dyDescent="0.2">
      <c r="J868"/>
    </row>
    <row r="869" spans="10:10" x14ac:dyDescent="0.2">
      <c r="J869"/>
    </row>
    <row r="870" spans="10:10" x14ac:dyDescent="0.2">
      <c r="J870"/>
    </row>
    <row r="871" spans="10:10" x14ac:dyDescent="0.2">
      <c r="J871"/>
    </row>
    <row r="872" spans="10:10" x14ac:dyDescent="0.2">
      <c r="J872"/>
    </row>
    <row r="873" spans="10:10" x14ac:dyDescent="0.2">
      <c r="J873"/>
    </row>
    <row r="874" spans="10:10" x14ac:dyDescent="0.2">
      <c r="J874"/>
    </row>
    <row r="875" spans="10:10" x14ac:dyDescent="0.2">
      <c r="J875"/>
    </row>
    <row r="876" spans="10:10" x14ac:dyDescent="0.2">
      <c r="J876"/>
    </row>
    <row r="877" spans="10:10" x14ac:dyDescent="0.2">
      <c r="J877"/>
    </row>
    <row r="878" spans="10:10" x14ac:dyDescent="0.2">
      <c r="J878"/>
    </row>
    <row r="879" spans="10:10" x14ac:dyDescent="0.2">
      <c r="J879"/>
    </row>
    <row r="880" spans="10:10" x14ac:dyDescent="0.2">
      <c r="J880"/>
    </row>
    <row r="881" spans="10:10" x14ac:dyDescent="0.2">
      <c r="J881"/>
    </row>
    <row r="882" spans="10:10" x14ac:dyDescent="0.2">
      <c r="J882"/>
    </row>
    <row r="883" spans="10:10" x14ac:dyDescent="0.2">
      <c r="J883"/>
    </row>
    <row r="884" spans="10:10" x14ac:dyDescent="0.2">
      <c r="J884"/>
    </row>
    <row r="885" spans="10:10" x14ac:dyDescent="0.2">
      <c r="J885"/>
    </row>
    <row r="886" spans="10:10" x14ac:dyDescent="0.2">
      <c r="J886"/>
    </row>
    <row r="887" spans="10:10" x14ac:dyDescent="0.2">
      <c r="J887"/>
    </row>
    <row r="888" spans="10:10" x14ac:dyDescent="0.2">
      <c r="J888"/>
    </row>
    <row r="889" spans="10:10" x14ac:dyDescent="0.2">
      <c r="J889"/>
    </row>
    <row r="890" spans="10:10" x14ac:dyDescent="0.2">
      <c r="J890"/>
    </row>
    <row r="891" spans="10:10" x14ac:dyDescent="0.2">
      <c r="J891"/>
    </row>
    <row r="892" spans="10:10" x14ac:dyDescent="0.2">
      <c r="J892"/>
    </row>
    <row r="893" spans="10:10" x14ac:dyDescent="0.2">
      <c r="J893"/>
    </row>
    <row r="894" spans="10:10" x14ac:dyDescent="0.2">
      <c r="J894"/>
    </row>
    <row r="895" spans="10:10" x14ac:dyDescent="0.2">
      <c r="J895"/>
    </row>
    <row r="896" spans="10:10" x14ac:dyDescent="0.2">
      <c r="J896"/>
    </row>
    <row r="897" spans="10:10" x14ac:dyDescent="0.2">
      <c r="J897"/>
    </row>
    <row r="898" spans="10:10" x14ac:dyDescent="0.2">
      <c r="J898"/>
    </row>
    <row r="899" spans="10:10" x14ac:dyDescent="0.2">
      <c r="J899"/>
    </row>
    <row r="900" spans="10:10" x14ac:dyDescent="0.2">
      <c r="J900"/>
    </row>
    <row r="901" spans="10:10" x14ac:dyDescent="0.2">
      <c r="J901"/>
    </row>
    <row r="902" spans="10:10" x14ac:dyDescent="0.2">
      <c r="J902"/>
    </row>
    <row r="903" spans="10:10" x14ac:dyDescent="0.2">
      <c r="J903"/>
    </row>
    <row r="904" spans="10:10" x14ac:dyDescent="0.2">
      <c r="J904"/>
    </row>
    <row r="905" spans="10:10" x14ac:dyDescent="0.2">
      <c r="J905"/>
    </row>
    <row r="906" spans="10:10" x14ac:dyDescent="0.2">
      <c r="J906"/>
    </row>
    <row r="907" spans="10:10" x14ac:dyDescent="0.2">
      <c r="J907"/>
    </row>
    <row r="908" spans="10:10" x14ac:dyDescent="0.2">
      <c r="J908"/>
    </row>
    <row r="909" spans="10:10" x14ac:dyDescent="0.2">
      <c r="J909"/>
    </row>
    <row r="910" spans="10:10" x14ac:dyDescent="0.2">
      <c r="J910"/>
    </row>
    <row r="911" spans="10:10" x14ac:dyDescent="0.2">
      <c r="J911"/>
    </row>
    <row r="912" spans="10:10" x14ac:dyDescent="0.2">
      <c r="J912"/>
    </row>
    <row r="913" spans="10:10" x14ac:dyDescent="0.2">
      <c r="J913"/>
    </row>
    <row r="914" spans="10:10" x14ac:dyDescent="0.2">
      <c r="J914"/>
    </row>
    <row r="915" spans="10:10" x14ac:dyDescent="0.2">
      <c r="J915"/>
    </row>
    <row r="916" spans="10:10" x14ac:dyDescent="0.2">
      <c r="J916"/>
    </row>
    <row r="917" spans="10:10" x14ac:dyDescent="0.2">
      <c r="J917"/>
    </row>
    <row r="918" spans="10:10" x14ac:dyDescent="0.2">
      <c r="J918"/>
    </row>
    <row r="919" spans="10:10" x14ac:dyDescent="0.2">
      <c r="J919"/>
    </row>
    <row r="920" spans="10:10" x14ac:dyDescent="0.2">
      <c r="J920"/>
    </row>
    <row r="921" spans="10:10" x14ac:dyDescent="0.2">
      <c r="J921"/>
    </row>
    <row r="922" spans="10:10" x14ac:dyDescent="0.2">
      <c r="J922"/>
    </row>
    <row r="923" spans="10:10" x14ac:dyDescent="0.2">
      <c r="J923"/>
    </row>
    <row r="924" spans="10:10" x14ac:dyDescent="0.2">
      <c r="J924"/>
    </row>
    <row r="925" spans="10:10" x14ac:dyDescent="0.2">
      <c r="J925"/>
    </row>
    <row r="926" spans="10:10" x14ac:dyDescent="0.2">
      <c r="J926"/>
    </row>
    <row r="927" spans="10:10" x14ac:dyDescent="0.2">
      <c r="J927"/>
    </row>
    <row r="928" spans="10:10" x14ac:dyDescent="0.2">
      <c r="J928"/>
    </row>
    <row r="929" spans="10:10" x14ac:dyDescent="0.2">
      <c r="J929"/>
    </row>
    <row r="930" spans="10:10" x14ac:dyDescent="0.2">
      <c r="J930"/>
    </row>
    <row r="931" spans="10:10" x14ac:dyDescent="0.2">
      <c r="J931"/>
    </row>
    <row r="932" spans="10:10" x14ac:dyDescent="0.2">
      <c r="J932"/>
    </row>
    <row r="933" spans="10:10" x14ac:dyDescent="0.2">
      <c r="J933"/>
    </row>
    <row r="934" spans="10:10" x14ac:dyDescent="0.2">
      <c r="J934"/>
    </row>
    <row r="935" spans="10:10" x14ac:dyDescent="0.2">
      <c r="J935"/>
    </row>
    <row r="936" spans="10:10" x14ac:dyDescent="0.2">
      <c r="J936"/>
    </row>
    <row r="937" spans="10:10" x14ac:dyDescent="0.2">
      <c r="J937"/>
    </row>
    <row r="938" spans="10:10" x14ac:dyDescent="0.2">
      <c r="J938"/>
    </row>
    <row r="939" spans="10:10" x14ac:dyDescent="0.2">
      <c r="J939"/>
    </row>
    <row r="940" spans="10:10" x14ac:dyDescent="0.2">
      <c r="J940"/>
    </row>
    <row r="941" spans="10:10" x14ac:dyDescent="0.2">
      <c r="J941"/>
    </row>
    <row r="942" spans="10:10" x14ac:dyDescent="0.2">
      <c r="J942"/>
    </row>
    <row r="943" spans="10:10" x14ac:dyDescent="0.2">
      <c r="J943"/>
    </row>
    <row r="944" spans="10:10" x14ac:dyDescent="0.2">
      <c r="J944"/>
    </row>
    <row r="945" spans="10:10" x14ac:dyDescent="0.2">
      <c r="J945"/>
    </row>
    <row r="946" spans="10:10" x14ac:dyDescent="0.2">
      <c r="J946"/>
    </row>
    <row r="947" spans="10:10" x14ac:dyDescent="0.2">
      <c r="J947"/>
    </row>
    <row r="948" spans="10:10" x14ac:dyDescent="0.2">
      <c r="J948"/>
    </row>
    <row r="949" spans="10:10" x14ac:dyDescent="0.2">
      <c r="J949"/>
    </row>
    <row r="950" spans="10:10" x14ac:dyDescent="0.2">
      <c r="J950"/>
    </row>
    <row r="951" spans="10:10" x14ac:dyDescent="0.2">
      <c r="J951"/>
    </row>
    <row r="952" spans="10:10" x14ac:dyDescent="0.2">
      <c r="J952"/>
    </row>
    <row r="953" spans="10:10" x14ac:dyDescent="0.2">
      <c r="J953"/>
    </row>
    <row r="954" spans="10:10" x14ac:dyDescent="0.2">
      <c r="J954"/>
    </row>
    <row r="955" spans="10:10" x14ac:dyDescent="0.2">
      <c r="J955"/>
    </row>
    <row r="956" spans="10:10" x14ac:dyDescent="0.2">
      <c r="J956"/>
    </row>
    <row r="957" spans="10:10" x14ac:dyDescent="0.2">
      <c r="J957"/>
    </row>
    <row r="958" spans="10:10" x14ac:dyDescent="0.2">
      <c r="J958"/>
    </row>
    <row r="959" spans="10:10" x14ac:dyDescent="0.2">
      <c r="J959"/>
    </row>
    <row r="960" spans="10:10" x14ac:dyDescent="0.2">
      <c r="J960"/>
    </row>
    <row r="961" spans="10:10" x14ac:dyDescent="0.2">
      <c r="J961"/>
    </row>
    <row r="962" spans="10:10" x14ac:dyDescent="0.2">
      <c r="J962"/>
    </row>
    <row r="963" spans="10:10" x14ac:dyDescent="0.2">
      <c r="J963"/>
    </row>
    <row r="964" spans="10:10" x14ac:dyDescent="0.2">
      <c r="J964"/>
    </row>
    <row r="965" spans="10:10" x14ac:dyDescent="0.2">
      <c r="J965"/>
    </row>
    <row r="966" spans="10:10" x14ac:dyDescent="0.2">
      <c r="J966"/>
    </row>
    <row r="967" spans="10:10" x14ac:dyDescent="0.2">
      <c r="J967"/>
    </row>
    <row r="968" spans="10:10" x14ac:dyDescent="0.2">
      <c r="J968"/>
    </row>
    <row r="969" spans="10:10" x14ac:dyDescent="0.2">
      <c r="J969"/>
    </row>
    <row r="970" spans="10:10" x14ac:dyDescent="0.2">
      <c r="J970"/>
    </row>
    <row r="971" spans="10:10" x14ac:dyDescent="0.2">
      <c r="J971"/>
    </row>
    <row r="972" spans="10:10" x14ac:dyDescent="0.2">
      <c r="J972"/>
    </row>
    <row r="973" spans="10:10" x14ac:dyDescent="0.2">
      <c r="J973"/>
    </row>
    <row r="974" spans="10:10" x14ac:dyDescent="0.2">
      <c r="J974"/>
    </row>
    <row r="975" spans="10:10" x14ac:dyDescent="0.2">
      <c r="J975"/>
    </row>
    <row r="976" spans="10:10" x14ac:dyDescent="0.2">
      <c r="J976"/>
    </row>
    <row r="977" spans="10:10" x14ac:dyDescent="0.2">
      <c r="J977"/>
    </row>
    <row r="978" spans="10:10" x14ac:dyDescent="0.2">
      <c r="J978"/>
    </row>
    <row r="979" spans="10:10" x14ac:dyDescent="0.2">
      <c r="J979"/>
    </row>
    <row r="980" spans="10:10" x14ac:dyDescent="0.2">
      <c r="J980"/>
    </row>
    <row r="981" spans="10:10" x14ac:dyDescent="0.2">
      <c r="J981"/>
    </row>
    <row r="982" spans="10:10" x14ac:dyDescent="0.2">
      <c r="J982"/>
    </row>
    <row r="983" spans="10:10" x14ac:dyDescent="0.2">
      <c r="J983"/>
    </row>
    <row r="984" spans="10:10" x14ac:dyDescent="0.2">
      <c r="J984"/>
    </row>
    <row r="985" spans="10:10" x14ac:dyDescent="0.2">
      <c r="J985"/>
    </row>
    <row r="986" spans="10:10" x14ac:dyDescent="0.2">
      <c r="J986"/>
    </row>
    <row r="987" spans="10:10" x14ac:dyDescent="0.2">
      <c r="J987"/>
    </row>
    <row r="988" spans="10:10" x14ac:dyDescent="0.2">
      <c r="J988"/>
    </row>
    <row r="989" spans="10:10" x14ac:dyDescent="0.2">
      <c r="J989"/>
    </row>
    <row r="990" spans="10:10" x14ac:dyDescent="0.2">
      <c r="J990"/>
    </row>
    <row r="991" spans="10:10" x14ac:dyDescent="0.2">
      <c r="J991"/>
    </row>
    <row r="992" spans="10:10" x14ac:dyDescent="0.2">
      <c r="J992"/>
    </row>
    <row r="993" spans="10:10" x14ac:dyDescent="0.2">
      <c r="J993"/>
    </row>
    <row r="994" spans="10:10" x14ac:dyDescent="0.2">
      <c r="J994"/>
    </row>
    <row r="995" spans="10:10" x14ac:dyDescent="0.2">
      <c r="J995"/>
    </row>
    <row r="996" spans="10:10" x14ac:dyDescent="0.2">
      <c r="J996"/>
    </row>
    <row r="997" spans="10:10" x14ac:dyDescent="0.2">
      <c r="J997"/>
    </row>
    <row r="998" spans="10:10" x14ac:dyDescent="0.2">
      <c r="J998"/>
    </row>
    <row r="999" spans="10:10" x14ac:dyDescent="0.2">
      <c r="J999"/>
    </row>
    <row r="1000" spans="10:10" x14ac:dyDescent="0.2">
      <c r="J1000"/>
    </row>
    <row r="1001" spans="10:10" x14ac:dyDescent="0.2">
      <c r="J1001"/>
    </row>
    <row r="1002" spans="10:10" x14ac:dyDescent="0.2">
      <c r="J1002"/>
    </row>
    <row r="1003" spans="10:10" x14ac:dyDescent="0.2">
      <c r="J1003"/>
    </row>
    <row r="1004" spans="10:10" x14ac:dyDescent="0.2">
      <c r="J1004"/>
    </row>
    <row r="1005" spans="10:10" x14ac:dyDescent="0.2">
      <c r="J1005"/>
    </row>
    <row r="1006" spans="10:10" x14ac:dyDescent="0.2">
      <c r="J1006"/>
    </row>
    <row r="1007" spans="10:10" x14ac:dyDescent="0.2">
      <c r="J1007"/>
    </row>
    <row r="1008" spans="10:10" x14ac:dyDescent="0.2">
      <c r="J1008"/>
    </row>
    <row r="1009" spans="10:10" x14ac:dyDescent="0.2">
      <c r="J1009"/>
    </row>
    <row r="1010" spans="10:10" x14ac:dyDescent="0.2">
      <c r="J1010"/>
    </row>
    <row r="1011" spans="10:10" x14ac:dyDescent="0.2">
      <c r="J1011"/>
    </row>
    <row r="1012" spans="10:10" x14ac:dyDescent="0.2">
      <c r="J1012"/>
    </row>
    <row r="1013" spans="10:10" x14ac:dyDescent="0.2">
      <c r="J1013"/>
    </row>
    <row r="1014" spans="10:10" x14ac:dyDescent="0.2">
      <c r="J1014"/>
    </row>
    <row r="1015" spans="10:10" x14ac:dyDescent="0.2">
      <c r="J1015"/>
    </row>
    <row r="1016" spans="10:10" x14ac:dyDescent="0.2">
      <c r="J1016"/>
    </row>
    <row r="1017" spans="10:10" x14ac:dyDescent="0.2">
      <c r="J1017"/>
    </row>
    <row r="1018" spans="10:10" x14ac:dyDescent="0.2">
      <c r="J1018"/>
    </row>
    <row r="1019" spans="10:10" x14ac:dyDescent="0.2">
      <c r="J1019"/>
    </row>
    <row r="1020" spans="10:10" x14ac:dyDescent="0.2">
      <c r="J1020"/>
    </row>
    <row r="1021" spans="10:10" x14ac:dyDescent="0.2">
      <c r="J1021"/>
    </row>
    <row r="1022" spans="10:10" x14ac:dyDescent="0.2">
      <c r="J1022"/>
    </row>
    <row r="1023" spans="10:10" x14ac:dyDescent="0.2">
      <c r="J1023"/>
    </row>
    <row r="1024" spans="10:10" x14ac:dyDescent="0.2">
      <c r="J1024"/>
    </row>
    <row r="1025" spans="10:10" x14ac:dyDescent="0.2">
      <c r="J1025"/>
    </row>
    <row r="1026" spans="10:10" x14ac:dyDescent="0.2">
      <c r="J1026"/>
    </row>
    <row r="1027" spans="10:10" x14ac:dyDescent="0.2">
      <c r="J1027"/>
    </row>
    <row r="1028" spans="10:10" x14ac:dyDescent="0.2">
      <c r="J1028"/>
    </row>
    <row r="1029" spans="10:10" x14ac:dyDescent="0.2">
      <c r="J1029"/>
    </row>
    <row r="1030" spans="10:10" x14ac:dyDescent="0.2">
      <c r="J1030"/>
    </row>
    <row r="1031" spans="10:10" x14ac:dyDescent="0.2">
      <c r="J1031"/>
    </row>
    <row r="1032" spans="10:10" x14ac:dyDescent="0.2">
      <c r="J1032"/>
    </row>
    <row r="1033" spans="10:10" x14ac:dyDescent="0.2">
      <c r="J1033"/>
    </row>
    <row r="1034" spans="10:10" x14ac:dyDescent="0.2">
      <c r="J1034"/>
    </row>
    <row r="1035" spans="10:10" x14ac:dyDescent="0.2">
      <c r="J1035"/>
    </row>
    <row r="1036" spans="10:10" x14ac:dyDescent="0.2">
      <c r="J1036"/>
    </row>
    <row r="1037" spans="10:10" x14ac:dyDescent="0.2">
      <c r="J1037"/>
    </row>
    <row r="1038" spans="10:10" x14ac:dyDescent="0.2">
      <c r="J1038"/>
    </row>
    <row r="1039" spans="10:10" x14ac:dyDescent="0.2">
      <c r="J1039"/>
    </row>
    <row r="1040" spans="10:10" x14ac:dyDescent="0.2">
      <c r="J1040"/>
    </row>
    <row r="1041" spans="10:10" x14ac:dyDescent="0.2">
      <c r="J1041"/>
    </row>
    <row r="1042" spans="10:10" x14ac:dyDescent="0.2">
      <c r="J1042"/>
    </row>
    <row r="1043" spans="10:10" x14ac:dyDescent="0.2">
      <c r="J1043"/>
    </row>
    <row r="1044" spans="10:10" x14ac:dyDescent="0.2">
      <c r="J1044"/>
    </row>
    <row r="1045" spans="10:10" x14ac:dyDescent="0.2">
      <c r="J1045"/>
    </row>
    <row r="1046" spans="10:10" x14ac:dyDescent="0.2">
      <c r="J1046"/>
    </row>
    <row r="1047" spans="10:10" x14ac:dyDescent="0.2">
      <c r="J1047"/>
    </row>
    <row r="1048" spans="10:10" x14ac:dyDescent="0.2">
      <c r="J1048"/>
    </row>
    <row r="1049" spans="10:10" x14ac:dyDescent="0.2">
      <c r="J1049"/>
    </row>
    <row r="1050" spans="10:10" x14ac:dyDescent="0.2">
      <c r="J1050"/>
    </row>
    <row r="1051" spans="10:10" x14ac:dyDescent="0.2">
      <c r="J1051"/>
    </row>
    <row r="1052" spans="10:10" x14ac:dyDescent="0.2">
      <c r="J1052"/>
    </row>
    <row r="1053" spans="10:10" x14ac:dyDescent="0.2">
      <c r="J1053"/>
    </row>
    <row r="1054" spans="10:10" x14ac:dyDescent="0.2">
      <c r="J1054"/>
    </row>
    <row r="1055" spans="10:10" x14ac:dyDescent="0.2">
      <c r="J1055"/>
    </row>
    <row r="1056" spans="10:10" x14ac:dyDescent="0.2">
      <c r="J1056"/>
    </row>
    <row r="1057" spans="10:10" x14ac:dyDescent="0.2">
      <c r="J1057"/>
    </row>
    <row r="1058" spans="10:10" x14ac:dyDescent="0.2">
      <c r="J1058"/>
    </row>
    <row r="1059" spans="10:10" x14ac:dyDescent="0.2">
      <c r="J1059"/>
    </row>
    <row r="1060" spans="10:10" x14ac:dyDescent="0.2">
      <c r="J1060"/>
    </row>
    <row r="1061" spans="10:10" x14ac:dyDescent="0.2">
      <c r="J1061"/>
    </row>
    <row r="1062" spans="10:10" x14ac:dyDescent="0.2">
      <c r="J1062"/>
    </row>
    <row r="1063" spans="10:10" x14ac:dyDescent="0.2">
      <c r="J1063"/>
    </row>
    <row r="1064" spans="10:10" x14ac:dyDescent="0.2">
      <c r="J1064"/>
    </row>
    <row r="1065" spans="10:10" x14ac:dyDescent="0.2">
      <c r="J1065"/>
    </row>
    <row r="1066" spans="10:10" x14ac:dyDescent="0.2">
      <c r="J1066"/>
    </row>
    <row r="1067" spans="10:10" x14ac:dyDescent="0.2">
      <c r="J1067"/>
    </row>
    <row r="1068" spans="10:10" x14ac:dyDescent="0.2">
      <c r="J1068"/>
    </row>
    <row r="1069" spans="10:10" x14ac:dyDescent="0.2">
      <c r="J1069"/>
    </row>
    <row r="1070" spans="10:10" x14ac:dyDescent="0.2">
      <c r="J1070"/>
    </row>
    <row r="1071" spans="10:10" x14ac:dyDescent="0.2">
      <c r="J1071"/>
    </row>
    <row r="1072" spans="10:10" x14ac:dyDescent="0.2">
      <c r="J1072"/>
    </row>
    <row r="1073" spans="10:10" x14ac:dyDescent="0.2">
      <c r="J1073"/>
    </row>
    <row r="1074" spans="10:10" x14ac:dyDescent="0.2">
      <c r="J1074"/>
    </row>
    <row r="1075" spans="10:10" x14ac:dyDescent="0.2">
      <c r="J1075"/>
    </row>
    <row r="1076" spans="10:10" x14ac:dyDescent="0.2">
      <c r="J1076"/>
    </row>
    <row r="1077" spans="10:10" x14ac:dyDescent="0.2">
      <c r="J1077"/>
    </row>
    <row r="1078" spans="10:10" x14ac:dyDescent="0.2">
      <c r="J1078"/>
    </row>
    <row r="1079" spans="10:10" x14ac:dyDescent="0.2">
      <c r="J1079"/>
    </row>
    <row r="1080" spans="10:10" x14ac:dyDescent="0.2">
      <c r="J1080"/>
    </row>
    <row r="1081" spans="10:10" x14ac:dyDescent="0.2">
      <c r="J1081"/>
    </row>
    <row r="1082" spans="10:10" x14ac:dyDescent="0.2">
      <c r="J1082"/>
    </row>
    <row r="1083" spans="10:10" x14ac:dyDescent="0.2">
      <c r="J1083"/>
    </row>
    <row r="1084" spans="10:10" x14ac:dyDescent="0.2">
      <c r="J1084"/>
    </row>
    <row r="1085" spans="10:10" x14ac:dyDescent="0.2">
      <c r="J1085"/>
    </row>
    <row r="1086" spans="10:10" x14ac:dyDescent="0.2">
      <c r="J1086"/>
    </row>
    <row r="1087" spans="10:10" x14ac:dyDescent="0.2">
      <c r="J1087"/>
    </row>
    <row r="1088" spans="10:10" x14ac:dyDescent="0.2">
      <c r="J1088"/>
    </row>
    <row r="1089" spans="10:10" x14ac:dyDescent="0.2">
      <c r="J1089"/>
    </row>
  </sheetData>
  <mergeCells count="5">
    <mergeCell ref="L23:O23"/>
    <mergeCell ref="E2:F2"/>
    <mergeCell ref="E1:F1"/>
    <mergeCell ref="A23:B23"/>
    <mergeCell ref="A22:C22"/>
  </mergeCells>
  <phoneticPr fontId="0" type="noConversion"/>
  <pageMargins left="0.27" right="0.2" top="0.39" bottom="0.43" header="0.27" footer="0.22"/>
  <pageSetup scale="65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Z1056"/>
  <sheetViews>
    <sheetView topLeftCell="A68" zoomScaleNormal="100" workbookViewId="0">
      <selection activeCell="A71" sqref="A71"/>
    </sheetView>
  </sheetViews>
  <sheetFormatPr defaultRowHeight="12.75" x14ac:dyDescent="0.2"/>
  <cols>
    <col min="1" max="1" width="14.140625" customWidth="1"/>
    <col min="2" max="2" width="15" bestFit="1" customWidth="1"/>
    <col min="3" max="4" width="15" customWidth="1"/>
    <col min="5" max="5" width="12.7109375" customWidth="1"/>
    <col min="6" max="6" width="15" customWidth="1"/>
    <col min="7" max="7" width="13.28515625" customWidth="1"/>
    <col min="8" max="8" width="13.5703125" customWidth="1"/>
    <col min="9" max="9" width="14.85546875" customWidth="1"/>
    <col min="10" max="10" width="12.5703125" customWidth="1"/>
    <col min="11" max="11" width="14" bestFit="1" customWidth="1"/>
    <col min="12" max="12" width="14.28515625" style="155" customWidth="1"/>
    <col min="13" max="13" width="14.42578125" bestFit="1" customWidth="1"/>
    <col min="14" max="14" width="11.28515625" customWidth="1"/>
    <col min="15" max="15" width="13.28515625" customWidth="1"/>
    <col min="16" max="16" width="14.140625" customWidth="1"/>
    <col min="17" max="17" width="13.140625" customWidth="1"/>
    <col min="18" max="18" width="12.85546875" bestFit="1" customWidth="1"/>
    <col min="19" max="19" width="12.85546875" customWidth="1"/>
    <col min="20" max="20" width="15" customWidth="1"/>
    <col min="21" max="21" width="13.28515625" customWidth="1"/>
    <col min="22" max="24" width="12.85546875" bestFit="1" customWidth="1"/>
    <col min="25" max="25" width="11.28515625" bestFit="1" customWidth="1"/>
    <col min="26" max="26" width="12.85546875" bestFit="1" customWidth="1"/>
  </cols>
  <sheetData>
    <row r="1" spans="1:22" ht="37.5" hidden="1" customHeight="1" x14ac:dyDescent="0.2">
      <c r="A1" s="191" t="s">
        <v>413</v>
      </c>
      <c r="B1" s="148"/>
      <c r="C1" s="148"/>
      <c r="D1" s="149"/>
      <c r="E1" s="211" t="s">
        <v>698</v>
      </c>
      <c r="F1" s="211"/>
      <c r="G1" s="142"/>
      <c r="H1" s="142"/>
      <c r="I1" s="142"/>
      <c r="L1" s="150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25.5" hidden="1" customHeight="1" x14ac:dyDescent="0.2">
      <c r="A2" s="155" t="s">
        <v>637</v>
      </c>
      <c r="C2" s="156">
        <v>1957802.76</v>
      </c>
      <c r="E2" s="210" t="s">
        <v>414</v>
      </c>
      <c r="F2" s="210"/>
      <c r="G2" s="159">
        <f>IF(C4&lt;0,0,IF(C4&lt;C2,B3,0))</f>
        <v>0</v>
      </c>
      <c r="L2"/>
    </row>
    <row r="3" spans="1:22" ht="25.5" hidden="1" x14ac:dyDescent="0.2">
      <c r="A3" s="155" t="s">
        <v>697</v>
      </c>
      <c r="B3" s="388">
        <f>'s3, s3b, s3d'!$J$9</f>
        <v>2075070.23</v>
      </c>
      <c r="E3" s="160" t="s">
        <v>401</v>
      </c>
      <c r="F3" s="161" t="s">
        <v>634</v>
      </c>
      <c r="G3" s="161" t="s">
        <v>699</v>
      </c>
      <c r="H3" s="161" t="s">
        <v>402</v>
      </c>
      <c r="I3" s="161" t="s">
        <v>403</v>
      </c>
      <c r="L3"/>
    </row>
    <row r="4" spans="1:22" ht="25.5" hidden="1" x14ac:dyDescent="0.2">
      <c r="A4" s="157" t="s">
        <v>400</v>
      </c>
      <c r="B4" s="151">
        <f>'s3, s3b, s3d'!E85</f>
        <v>4578.67</v>
      </c>
      <c r="C4" s="158">
        <f>B3-B4</f>
        <v>2070491.56</v>
      </c>
      <c r="E4" s="155" t="s">
        <v>21</v>
      </c>
      <c r="F4" s="153">
        <v>1.67E-2</v>
      </c>
      <c r="G4" s="162">
        <f t="shared" ref="G4:G20" si="0">$G$2*F4</f>
        <v>0</v>
      </c>
      <c r="H4" s="151">
        <f>'s3, s3b, s3d'!E68</f>
        <v>91.57</v>
      </c>
      <c r="I4" s="162">
        <f t="shared" ref="I4:I20" si="1">G4-H4</f>
        <v>-91.57</v>
      </c>
      <c r="L4"/>
    </row>
    <row r="5" spans="1:22" hidden="1" x14ac:dyDescent="0.2">
      <c r="E5" s="155" t="s">
        <v>22</v>
      </c>
      <c r="F5" s="153">
        <v>2.7699999999999999E-2</v>
      </c>
      <c r="G5" s="162">
        <f t="shared" si="0"/>
        <v>0</v>
      </c>
      <c r="H5" s="151">
        <f>'s3, s3b, s3d'!E69</f>
        <v>77.84</v>
      </c>
      <c r="I5" s="162">
        <f t="shared" si="1"/>
        <v>-77.84</v>
      </c>
      <c r="L5"/>
    </row>
    <row r="6" spans="1:22" hidden="1" x14ac:dyDescent="0.2">
      <c r="E6" s="155" t="s">
        <v>23</v>
      </c>
      <c r="F6" s="153">
        <v>0.43830000000000002</v>
      </c>
      <c r="G6" s="162">
        <f t="shared" si="0"/>
        <v>0</v>
      </c>
      <c r="H6" s="151">
        <f>'s3, s3b, s3d'!E70</f>
        <v>2504.5300000000002</v>
      </c>
      <c r="I6" s="162">
        <f>(G6-H6)+J21</f>
        <v>-2504.5300000000002</v>
      </c>
      <c r="L6"/>
    </row>
    <row r="7" spans="1:22" hidden="1" x14ac:dyDescent="0.2">
      <c r="E7" s="155" t="s">
        <v>24</v>
      </c>
      <c r="F7" s="153">
        <v>1.55E-2</v>
      </c>
      <c r="G7" s="162">
        <f t="shared" si="0"/>
        <v>0</v>
      </c>
      <c r="H7" s="151">
        <f>'s3, s3b, s3d'!E71</f>
        <v>77.84</v>
      </c>
      <c r="I7" s="162">
        <f t="shared" si="1"/>
        <v>-77.84</v>
      </c>
      <c r="L7"/>
    </row>
    <row r="8" spans="1:22" hidden="1" x14ac:dyDescent="0.2">
      <c r="E8" s="155" t="s">
        <v>25</v>
      </c>
      <c r="F8" s="153">
        <v>6.5299999999999997E-2</v>
      </c>
      <c r="G8" s="162">
        <f t="shared" si="0"/>
        <v>0</v>
      </c>
      <c r="H8" s="151">
        <f>'s3, s3b, s3d'!E72</f>
        <v>151.1</v>
      </c>
      <c r="I8" s="162">
        <f t="shared" si="1"/>
        <v>-151.1</v>
      </c>
      <c r="L8"/>
    </row>
    <row r="9" spans="1:22" hidden="1" x14ac:dyDescent="0.2">
      <c r="E9" s="155" t="s">
        <v>26</v>
      </c>
      <c r="F9" s="153">
        <v>1.52E-2</v>
      </c>
      <c r="G9" s="162">
        <f t="shared" si="0"/>
        <v>0</v>
      </c>
      <c r="H9" s="151">
        <f>'s3, s3b, s3d'!E73</f>
        <v>36.630000000000003</v>
      </c>
      <c r="I9" s="162">
        <f t="shared" si="1"/>
        <v>-36.630000000000003</v>
      </c>
      <c r="L9"/>
    </row>
    <row r="10" spans="1:22" hidden="1" x14ac:dyDescent="0.2">
      <c r="E10" s="155" t="s">
        <v>27</v>
      </c>
      <c r="F10" s="153">
        <v>1.9400000000000001E-2</v>
      </c>
      <c r="G10" s="162">
        <f t="shared" si="0"/>
        <v>0</v>
      </c>
      <c r="H10" s="151">
        <f>'s3, s3b, s3d'!E74</f>
        <v>73.260000000000005</v>
      </c>
      <c r="I10" s="162">
        <f t="shared" si="1"/>
        <v>-73.260000000000005</v>
      </c>
      <c r="L10"/>
    </row>
    <row r="11" spans="1:22" hidden="1" x14ac:dyDescent="0.2">
      <c r="E11" s="155" t="s">
        <v>28</v>
      </c>
      <c r="F11" s="153">
        <v>3.9199999999999999E-2</v>
      </c>
      <c r="G11" s="162">
        <f t="shared" si="0"/>
        <v>0</v>
      </c>
      <c r="H11" s="151">
        <f>'s3, s3b, s3d'!E75</f>
        <v>96.15</v>
      </c>
      <c r="I11" s="162">
        <f t="shared" si="1"/>
        <v>-96.15</v>
      </c>
      <c r="L11"/>
    </row>
    <row r="12" spans="1:22" hidden="1" x14ac:dyDescent="0.2">
      <c r="E12" s="155" t="s">
        <v>29</v>
      </c>
      <c r="F12" s="153">
        <v>2.4799999999999999E-2</v>
      </c>
      <c r="G12" s="162">
        <f t="shared" si="0"/>
        <v>0</v>
      </c>
      <c r="H12" s="151">
        <f>'s3, s3b, s3d'!E76</f>
        <v>96.15</v>
      </c>
      <c r="I12" s="162">
        <f t="shared" si="1"/>
        <v>-96.15</v>
      </c>
      <c r="L12"/>
    </row>
    <row r="13" spans="1:22" hidden="1" x14ac:dyDescent="0.2">
      <c r="E13" s="155" t="s">
        <v>30</v>
      </c>
      <c r="F13" s="153">
        <v>4.3200000000000002E-2</v>
      </c>
      <c r="G13" s="162">
        <f t="shared" si="0"/>
        <v>0</v>
      </c>
      <c r="H13" s="151">
        <f>'s3, s3b, s3d'!E77</f>
        <v>146.52000000000001</v>
      </c>
      <c r="I13" s="162">
        <f t="shared" si="1"/>
        <v>-146.52000000000001</v>
      </c>
      <c r="L13"/>
    </row>
    <row r="14" spans="1:22" hidden="1" x14ac:dyDescent="0.2">
      <c r="E14" s="155" t="s">
        <v>31</v>
      </c>
      <c r="F14" s="153">
        <v>1.89E-2</v>
      </c>
      <c r="G14" s="162">
        <f t="shared" si="0"/>
        <v>0</v>
      </c>
      <c r="H14" s="151">
        <f>'s3, s3b, s3d'!E78</f>
        <v>96.15</v>
      </c>
      <c r="I14" s="162">
        <f t="shared" si="1"/>
        <v>-96.15</v>
      </c>
      <c r="L14"/>
    </row>
    <row r="15" spans="1:22" hidden="1" x14ac:dyDescent="0.2">
      <c r="E15" s="155" t="s">
        <v>404</v>
      </c>
      <c r="F15" s="153">
        <v>1.4E-2</v>
      </c>
      <c r="G15" s="162">
        <f t="shared" si="0"/>
        <v>0</v>
      </c>
      <c r="H15" s="151">
        <f>'s3, s3b, s3d'!E79</f>
        <v>32.049999999999997</v>
      </c>
      <c r="I15" s="162">
        <f t="shared" si="1"/>
        <v>-32.049999999999997</v>
      </c>
      <c r="L15"/>
    </row>
    <row r="16" spans="1:22" hidden="1" x14ac:dyDescent="0.2">
      <c r="E16" s="155" t="s">
        <v>33</v>
      </c>
      <c r="F16" s="153">
        <v>6.7699999999999996E-2</v>
      </c>
      <c r="G16" s="162">
        <f t="shared" si="0"/>
        <v>0</v>
      </c>
      <c r="H16" s="151">
        <f>'s3, s3b, s3d'!E80</f>
        <v>206.04</v>
      </c>
      <c r="I16" s="162">
        <f t="shared" si="1"/>
        <v>-206.04</v>
      </c>
      <c r="L16"/>
    </row>
    <row r="17" spans="1:24" hidden="1" x14ac:dyDescent="0.2">
      <c r="E17" s="155" t="s">
        <v>34</v>
      </c>
      <c r="F17" s="153">
        <v>2.8400000000000002E-2</v>
      </c>
      <c r="G17" s="162">
        <f t="shared" si="0"/>
        <v>0</v>
      </c>
      <c r="H17" s="151">
        <f>'s3, s3b, s3d'!E81</f>
        <v>151.1</v>
      </c>
      <c r="I17" s="162">
        <f t="shared" si="1"/>
        <v>-151.1</v>
      </c>
      <c r="L17"/>
    </row>
    <row r="18" spans="1:24" hidden="1" x14ac:dyDescent="0.2">
      <c r="E18" s="155" t="s">
        <v>35</v>
      </c>
      <c r="F18" s="153">
        <v>2.2000000000000001E-3</v>
      </c>
      <c r="G18" s="162">
        <f t="shared" si="0"/>
        <v>0</v>
      </c>
      <c r="H18" s="151">
        <f>'s3, s3b, s3d'!E82</f>
        <v>9.16</v>
      </c>
      <c r="I18" s="162">
        <f t="shared" si="1"/>
        <v>-9.16</v>
      </c>
      <c r="L18"/>
    </row>
    <row r="19" spans="1:24" hidden="1" x14ac:dyDescent="0.2">
      <c r="E19" s="155" t="s">
        <v>36</v>
      </c>
      <c r="F19" s="153">
        <v>0.1232</v>
      </c>
      <c r="G19" s="162">
        <f t="shared" si="0"/>
        <v>0</v>
      </c>
      <c r="H19" s="151">
        <f>'s3, s3b, s3d'!E83</f>
        <v>636.42999999999995</v>
      </c>
      <c r="I19" s="162">
        <f t="shared" si="1"/>
        <v>-636.42999999999995</v>
      </c>
      <c r="L19"/>
    </row>
    <row r="20" spans="1:24" hidden="1" x14ac:dyDescent="0.2">
      <c r="E20" s="155" t="s">
        <v>37</v>
      </c>
      <c r="F20" s="153">
        <v>4.0300000000000002E-2</v>
      </c>
      <c r="G20" s="162">
        <f t="shared" si="0"/>
        <v>0</v>
      </c>
      <c r="H20" s="151">
        <f>'s3, s3b, s3d'!E84</f>
        <v>96.15</v>
      </c>
      <c r="I20" s="162">
        <f t="shared" si="1"/>
        <v>-96.15</v>
      </c>
      <c r="L20"/>
    </row>
    <row r="21" spans="1:24" ht="13.5" hidden="1" thickBot="1" x14ac:dyDescent="0.25">
      <c r="E21" s="150" t="s">
        <v>250</v>
      </c>
      <c r="F21" s="163">
        <f>SUM(F4:F20)</f>
        <v>1</v>
      </c>
      <c r="G21" s="164">
        <f>SUM(G4:G20)</f>
        <v>0</v>
      </c>
      <c r="H21" s="165">
        <f>SUM(H4:H20)</f>
        <v>4578.67</v>
      </c>
      <c r="I21" s="164">
        <f>SUM(I4:I20)</f>
        <v>-4578.67</v>
      </c>
      <c r="J21" s="162">
        <f>G2-G21</f>
        <v>0</v>
      </c>
      <c r="L21"/>
    </row>
    <row r="22" spans="1:24" ht="28.5" hidden="1" customHeight="1" thickTop="1" thickBot="1" x14ac:dyDescent="0.25">
      <c r="A22" s="415" t="s">
        <v>700</v>
      </c>
      <c r="B22" s="415"/>
      <c r="C22" s="415"/>
      <c r="D22" s="415"/>
      <c r="E22" s="415"/>
      <c r="G22" s="150"/>
      <c r="H22" s="166"/>
      <c r="I22" s="192"/>
      <c r="J22" s="193"/>
      <c r="K22" s="192"/>
      <c r="L22"/>
    </row>
    <row r="23" spans="1:24" ht="40.5" hidden="1" customHeight="1" thickBot="1" x14ac:dyDescent="0.25">
      <c r="A23" s="413" t="s">
        <v>415</v>
      </c>
      <c r="B23" s="413"/>
      <c r="C23" s="151">
        <f>IF(C4&gt;C2,B3,0)</f>
        <v>2075070.23</v>
      </c>
      <c r="D23" s="151"/>
      <c r="E23" s="151"/>
      <c r="F23" s="151"/>
      <c r="L23"/>
      <c r="N23" s="410" t="s">
        <v>657</v>
      </c>
      <c r="O23" s="411"/>
      <c r="P23" s="411"/>
      <c r="Q23" s="412"/>
      <c r="R23" s="150" t="s">
        <v>702</v>
      </c>
    </row>
    <row r="24" spans="1:24" ht="89.25" hidden="1" x14ac:dyDescent="0.2">
      <c r="A24" s="167" t="s">
        <v>405</v>
      </c>
      <c r="B24" s="167" t="s">
        <v>406</v>
      </c>
      <c r="C24" s="167" t="s">
        <v>407</v>
      </c>
      <c r="D24" s="167" t="s">
        <v>638</v>
      </c>
      <c r="E24" s="167" t="s">
        <v>639</v>
      </c>
      <c r="F24" s="167" t="s">
        <v>408</v>
      </c>
      <c r="G24" s="167" t="s">
        <v>409</v>
      </c>
      <c r="H24" s="167" t="s">
        <v>695</v>
      </c>
      <c r="I24" s="168" t="s">
        <v>696</v>
      </c>
      <c r="J24" s="167" t="s">
        <v>410</v>
      </c>
      <c r="K24" s="167" t="s">
        <v>411</v>
      </c>
      <c r="L24" s="167" t="s">
        <v>635</v>
      </c>
      <c r="M24" s="321" t="s">
        <v>636</v>
      </c>
      <c r="N24" s="320" t="s">
        <v>658</v>
      </c>
      <c r="O24" s="320" t="s">
        <v>659</v>
      </c>
      <c r="P24" s="320" t="s">
        <v>660</v>
      </c>
      <c r="Q24" s="320" t="s">
        <v>661</v>
      </c>
      <c r="R24" s="167" t="s">
        <v>701</v>
      </c>
      <c r="S24" s="168" t="s">
        <v>416</v>
      </c>
      <c r="T24" s="169">
        <f>IF(C4-C2&gt;0,C4-C2,0)</f>
        <v>112688.8</v>
      </c>
      <c r="U24" s="167" t="s">
        <v>114</v>
      </c>
      <c r="V24" s="330" t="s">
        <v>662</v>
      </c>
      <c r="W24" s="331" t="s">
        <v>663</v>
      </c>
    </row>
    <row r="25" spans="1:24" hidden="1" x14ac:dyDescent="0.2">
      <c r="A25" s="155" t="s">
        <v>21</v>
      </c>
      <c r="B25" s="170">
        <f>+s3b!B25</f>
        <v>55220</v>
      </c>
      <c r="C25" s="144">
        <f>ROUND(B25/$B$60,4)</f>
        <v>2.4E-2</v>
      </c>
      <c r="D25" s="389">
        <v>55220</v>
      </c>
      <c r="E25" s="390">
        <f>D25/$B$25</f>
        <v>1</v>
      </c>
      <c r="F25" s="384">
        <f>+s3b!D25</f>
        <v>248.51</v>
      </c>
      <c r="G25" s="144">
        <f>ROUND(F25/$F$60,4)</f>
        <v>1.24E-2</v>
      </c>
      <c r="H25" s="144">
        <f>ROUND((C25*2/3)+(G25/3),4)</f>
        <v>2.01E-2</v>
      </c>
      <c r="I25" s="162">
        <f>$C$23*H25</f>
        <v>41708.910000000003</v>
      </c>
      <c r="J25" s="162">
        <f>H4</f>
        <v>91.57</v>
      </c>
      <c r="K25" s="162">
        <f>I25-J25</f>
        <v>41617.339999999997</v>
      </c>
      <c r="L25" s="153">
        <f>F4</f>
        <v>1.67E-2</v>
      </c>
      <c r="M25" s="162">
        <f>$C$2*L25</f>
        <v>32695.31</v>
      </c>
      <c r="N25" s="322">
        <f>IF(K25&gt;M25, K25-M25,0)</f>
        <v>8922.0300000000007</v>
      </c>
      <c r="O25" s="323">
        <f>IF(N25&gt;0,ROUND((N25/$N$60),7),0)</f>
        <v>2.5301000000000001E-2</v>
      </c>
      <c r="P25" s="324">
        <f>IF(M25&gt;K25, M25-K25,0)</f>
        <v>0</v>
      </c>
      <c r="Q25" s="325">
        <f>O25*$Q$60</f>
        <v>2851.14</v>
      </c>
      <c r="R25" s="144">
        <f>IF(K25-M25&lt;=0,0,H25)</f>
        <v>2.01E-2</v>
      </c>
      <c r="S25" s="144">
        <f>IF(R25=0,0,R25/$R$60)</f>
        <v>2.5888000000000001E-2</v>
      </c>
      <c r="T25" s="162">
        <f>S25*$T$24</f>
        <v>2917.29</v>
      </c>
      <c r="U25" s="162">
        <f>M25+T25</f>
        <v>35612.6</v>
      </c>
      <c r="V25" s="332">
        <f>M25+Q25</f>
        <v>35546.449999999997</v>
      </c>
      <c r="W25" s="336">
        <f>+U25-V25</f>
        <v>66.150000000000006</v>
      </c>
      <c r="X25" s="162">
        <f>M25+T25</f>
        <v>35612.6</v>
      </c>
    </row>
    <row r="26" spans="1:24" hidden="1" x14ac:dyDescent="0.2">
      <c r="A26" s="155" t="s">
        <v>22</v>
      </c>
      <c r="B26" s="170">
        <f>+s3b!B26</f>
        <v>25808</v>
      </c>
      <c r="C26" s="144">
        <f>ROUND(B26/$B$60,4)</f>
        <v>1.12E-2</v>
      </c>
      <c r="D26" s="389">
        <v>17507</v>
      </c>
      <c r="E26" s="390">
        <f>+D26/$B$26</f>
        <v>0.67835599999999996</v>
      </c>
      <c r="F26" s="384">
        <f>+s3b!D26</f>
        <v>587.17999999999995</v>
      </c>
      <c r="G26" s="144">
        <f>ROUND(F26/$F$60,4)</f>
        <v>2.9399999999999999E-2</v>
      </c>
      <c r="H26" s="144">
        <f>ROUND((C26*2/3)+(G26/3),4)</f>
        <v>1.7299999999999999E-2</v>
      </c>
      <c r="I26" s="162">
        <f>$C$23*H26</f>
        <v>35898.71</v>
      </c>
      <c r="J26" s="162">
        <f>H5</f>
        <v>77.84</v>
      </c>
      <c r="K26" s="162">
        <f>I26-J26</f>
        <v>35820.870000000003</v>
      </c>
      <c r="L26" s="153">
        <f>F5</f>
        <v>2.7699999999999999E-2</v>
      </c>
      <c r="M26" s="162">
        <f>$C$2*L26</f>
        <v>54231.14</v>
      </c>
      <c r="N26" s="322">
        <f>IF(K26&gt;M26, K26-M26,0)</f>
        <v>0</v>
      </c>
      <c r="O26" s="323">
        <f>IF(N26&gt;0,ROUND((N26/$N$60),7),0)</f>
        <v>0</v>
      </c>
      <c r="P26" s="324">
        <f>IF(M26&gt;K26, M26-K26,0)</f>
        <v>18410.27</v>
      </c>
      <c r="Q26" s="325">
        <f>O26*$Q$60</f>
        <v>0</v>
      </c>
      <c r="R26" s="144">
        <f>IF(K26-M26&lt;=0,0,H26)</f>
        <v>0</v>
      </c>
      <c r="S26" s="144">
        <f>IF(R26=0,0,R26/$R$60)</f>
        <v>0</v>
      </c>
      <c r="T26" s="162">
        <f>S26*$T$24</f>
        <v>0</v>
      </c>
      <c r="U26" s="162">
        <f>M26+T26</f>
        <v>54231.14</v>
      </c>
      <c r="V26" s="332">
        <f>M26+Q26</f>
        <v>54231.14</v>
      </c>
      <c r="W26" s="336">
        <f t="shared" ref="W26:W60" si="2">+U26-V26</f>
        <v>0</v>
      </c>
      <c r="X26" s="162">
        <f>M26+T26</f>
        <v>54231.14</v>
      </c>
    </row>
    <row r="27" spans="1:24" hidden="1" x14ac:dyDescent="0.2">
      <c r="A27" s="299" t="s">
        <v>378</v>
      </c>
      <c r="B27" s="170"/>
      <c r="C27" s="144"/>
      <c r="D27" s="389">
        <v>8301</v>
      </c>
      <c r="E27" s="390">
        <f>+D27/$B$26</f>
        <v>0.32164399999999999</v>
      </c>
      <c r="F27" s="384"/>
      <c r="G27" s="144"/>
      <c r="H27" s="144"/>
      <c r="I27" s="162"/>
      <c r="J27" s="162"/>
      <c r="K27" s="162"/>
      <c r="L27" s="153"/>
      <c r="M27" s="162"/>
      <c r="N27" s="322" t="s">
        <v>82</v>
      </c>
      <c r="O27" s="323" t="s">
        <v>82</v>
      </c>
      <c r="P27" s="324"/>
      <c r="Q27" s="325"/>
      <c r="R27" s="144"/>
      <c r="S27" s="144"/>
      <c r="T27" s="162"/>
      <c r="U27" s="162"/>
      <c r="V27" s="332"/>
      <c r="W27" s="336">
        <f t="shared" si="2"/>
        <v>0</v>
      </c>
      <c r="X27" s="162"/>
    </row>
    <row r="28" spans="1:24" hidden="1" x14ac:dyDescent="0.2">
      <c r="A28" s="214" t="s">
        <v>23</v>
      </c>
      <c r="B28" s="170">
        <f>+s3b!B27</f>
        <v>1620748</v>
      </c>
      <c r="C28" s="144">
        <f>ROUND(B28/$B$60,4)</f>
        <v>0.70569999999999999</v>
      </c>
      <c r="D28" s="389">
        <v>699849</v>
      </c>
      <c r="E28" s="390">
        <f t="shared" ref="E28:E33" si="3">+D28/$B$28</f>
        <v>0.43180600000000002</v>
      </c>
      <c r="F28" s="384">
        <f>+s3b!D27</f>
        <v>4499.7700000000004</v>
      </c>
      <c r="G28" s="144">
        <f>ROUND(F28/$F$60,4)</f>
        <v>0.22509999999999999</v>
      </c>
      <c r="H28" s="386">
        <f>ROUND((C28*2/3)+(G28/3),4)+0.000014</f>
        <v>0.54551400000000005</v>
      </c>
      <c r="I28" s="162">
        <f>$C$23*H28</f>
        <v>1131979.8600000001</v>
      </c>
      <c r="J28" s="162">
        <f>H6</f>
        <v>2504.5300000000002</v>
      </c>
      <c r="K28" s="162">
        <f>I28-J28</f>
        <v>1129475.33</v>
      </c>
      <c r="L28" s="153">
        <f>F6</f>
        <v>0.43830000000000002</v>
      </c>
      <c r="M28" s="162">
        <f>$C$2*L28</f>
        <v>858104.95</v>
      </c>
      <c r="N28" s="322">
        <f>IF(K28&gt;M28, K28-M28,0)</f>
        <v>271370.38</v>
      </c>
      <c r="O28" s="323">
        <f>IF(N28&gt;0,ROUND((N28/$N$60),7),0)</f>
        <v>0.76955399999999996</v>
      </c>
      <c r="P28" s="324">
        <f>IF(M28&gt;K28, M28-K28,0)</f>
        <v>0</v>
      </c>
      <c r="Q28" s="325">
        <f>O28*$Q$60</f>
        <v>86720.09</v>
      </c>
      <c r="R28" s="144">
        <f>IF(K28-M28&lt;=0,0,H28)</f>
        <v>0.54551400000000005</v>
      </c>
      <c r="S28" s="144">
        <f>IF(R28=0,0,R28/$R$60)</f>
        <v>0.70259400000000005</v>
      </c>
      <c r="T28" s="162">
        <f>S28*$T$24</f>
        <v>79174.47</v>
      </c>
      <c r="U28" s="162">
        <f>M28+T28-Z60</f>
        <v>937279.41</v>
      </c>
      <c r="V28" s="332">
        <f>M28+Q28</f>
        <v>944825.04</v>
      </c>
      <c r="W28" s="336">
        <f t="shared" si="2"/>
        <v>-7545.63</v>
      </c>
      <c r="X28" s="162">
        <f>M28+T28</f>
        <v>937279.42</v>
      </c>
    </row>
    <row r="29" spans="1:24" hidden="1" x14ac:dyDescent="0.2">
      <c r="A29" s="299" t="s">
        <v>379</v>
      </c>
      <c r="B29" s="170"/>
      <c r="C29" s="144"/>
      <c r="D29" s="389">
        <v>14934</v>
      </c>
      <c r="E29" s="390">
        <f t="shared" si="3"/>
        <v>9.214E-3</v>
      </c>
      <c r="F29" s="384"/>
      <c r="G29" s="144"/>
      <c r="H29" s="144"/>
      <c r="I29" s="162"/>
      <c r="J29" s="162"/>
      <c r="K29" s="162"/>
      <c r="L29" s="153"/>
      <c r="M29" s="162"/>
      <c r="N29" s="322"/>
      <c r="O29" s="323"/>
      <c r="P29" s="324"/>
      <c r="Q29" s="325"/>
      <c r="R29" s="144"/>
      <c r="S29" s="144"/>
      <c r="T29" s="162"/>
      <c r="U29" s="162"/>
      <c r="V29" s="332"/>
      <c r="W29" s="336">
        <f t="shared" si="2"/>
        <v>0</v>
      </c>
      <c r="X29" s="162"/>
    </row>
    <row r="30" spans="1:24" hidden="1" x14ac:dyDescent="0.2">
      <c r="A30" s="299" t="s">
        <v>380</v>
      </c>
      <c r="B30" s="170"/>
      <c r="C30" s="144"/>
      <c r="D30" s="389">
        <v>217448</v>
      </c>
      <c r="E30" s="391">
        <f>(+D30/$B$28)+0.000001</f>
        <v>0.13416600000000001</v>
      </c>
      <c r="F30" s="384"/>
      <c r="G30" s="144"/>
      <c r="H30" s="144"/>
      <c r="I30" s="162"/>
      <c r="J30" s="162"/>
      <c r="K30" s="162"/>
      <c r="L30" s="153"/>
      <c r="M30" s="162"/>
      <c r="N30" s="322"/>
      <c r="O30" s="323"/>
      <c r="P30" s="324"/>
      <c r="Q30" s="325"/>
      <c r="R30" s="144"/>
      <c r="S30" s="144"/>
      <c r="T30" s="162"/>
      <c r="U30" s="162"/>
      <c r="V30" s="332"/>
      <c r="W30" s="336">
        <f t="shared" si="2"/>
        <v>0</v>
      </c>
      <c r="X30" s="162"/>
    </row>
    <row r="31" spans="1:24" hidden="1" x14ac:dyDescent="0.2">
      <c r="A31" s="299" t="s">
        <v>381</v>
      </c>
      <c r="B31" s="170"/>
      <c r="C31" s="144"/>
      <c r="D31" s="389">
        <v>528617</v>
      </c>
      <c r="E31" s="400">
        <f t="shared" si="3"/>
        <v>0.326156</v>
      </c>
      <c r="F31" s="384"/>
      <c r="G31" s="144"/>
      <c r="H31" s="144"/>
      <c r="I31" s="162"/>
      <c r="J31" s="162"/>
      <c r="K31" s="162"/>
      <c r="L31" s="153"/>
      <c r="M31" s="162"/>
      <c r="N31" s="322"/>
      <c r="O31" s="323"/>
      <c r="P31" s="324"/>
      <c r="Q31" s="325"/>
      <c r="R31" s="144"/>
      <c r="S31" s="144"/>
      <c r="T31" s="162"/>
      <c r="U31" s="162"/>
      <c r="V31" s="332"/>
      <c r="W31" s="336">
        <f t="shared" si="2"/>
        <v>0</v>
      </c>
      <c r="X31" s="162"/>
    </row>
    <row r="32" spans="1:24" hidden="1" x14ac:dyDescent="0.2">
      <c r="A32" s="299" t="s">
        <v>382</v>
      </c>
      <c r="B32" s="170"/>
      <c r="C32" s="144"/>
      <c r="D32" s="389">
        <v>13895</v>
      </c>
      <c r="E32" s="390">
        <f t="shared" si="3"/>
        <v>8.5730000000000008E-3</v>
      </c>
      <c r="F32" s="384"/>
      <c r="G32" s="144"/>
      <c r="H32" s="144"/>
      <c r="I32" s="162"/>
      <c r="J32" s="162"/>
      <c r="K32" s="162"/>
      <c r="L32" s="153"/>
      <c r="M32" s="162"/>
      <c r="N32" s="322"/>
      <c r="O32" s="323"/>
      <c r="P32" s="324"/>
      <c r="Q32" s="325"/>
      <c r="R32" s="144"/>
      <c r="S32" s="144"/>
      <c r="T32" s="162"/>
      <c r="U32" s="162"/>
      <c r="V32" s="332"/>
      <c r="W32" s="336">
        <f t="shared" si="2"/>
        <v>0</v>
      </c>
      <c r="X32" s="162"/>
    </row>
    <row r="33" spans="1:24" hidden="1" x14ac:dyDescent="0.2">
      <c r="A33" s="299" t="s">
        <v>640</v>
      </c>
      <c r="B33" s="170"/>
      <c r="C33" s="144"/>
      <c r="D33" s="389">
        <v>146005</v>
      </c>
      <c r="E33" s="390">
        <f t="shared" si="3"/>
        <v>9.0084999999999998E-2</v>
      </c>
      <c r="F33" s="384"/>
      <c r="G33" s="144"/>
      <c r="H33" s="144"/>
      <c r="I33" s="162"/>
      <c r="J33" s="162"/>
      <c r="K33" s="162"/>
      <c r="L33" s="153"/>
      <c r="M33" s="162"/>
      <c r="N33" s="322"/>
      <c r="O33" s="323"/>
      <c r="P33" s="324"/>
      <c r="Q33" s="325"/>
      <c r="R33" s="144"/>
      <c r="S33" s="144"/>
      <c r="T33" s="162"/>
      <c r="U33" s="162"/>
      <c r="V33" s="332"/>
      <c r="W33" s="336">
        <f t="shared" si="2"/>
        <v>0</v>
      </c>
      <c r="X33" s="162"/>
    </row>
    <row r="34" spans="1:24" hidden="1" x14ac:dyDescent="0.2">
      <c r="A34" s="214" t="s">
        <v>24</v>
      </c>
      <c r="B34" s="170">
        <f>+s3b!B28</f>
        <v>45603</v>
      </c>
      <c r="C34" s="144">
        <f>ROUND(B34/$B$60,4)</f>
        <v>1.9900000000000001E-2</v>
      </c>
      <c r="D34" s="389">
        <v>45603</v>
      </c>
      <c r="E34" s="390">
        <f>D34/$B$34</f>
        <v>1</v>
      </c>
      <c r="F34" s="384">
        <f>+s3b!D28</f>
        <v>208</v>
      </c>
      <c r="G34" s="144">
        <f>ROUND(F34/$F$60,4)</f>
        <v>1.04E-2</v>
      </c>
      <c r="H34" s="386">
        <f>ROUND((C34*2/3)+(G34/3),4)+0.000014</f>
        <v>1.6714E-2</v>
      </c>
      <c r="I34" s="162">
        <f>$C$23*H34</f>
        <v>34682.720000000001</v>
      </c>
      <c r="J34" s="162">
        <f>H7</f>
        <v>77.84</v>
      </c>
      <c r="K34" s="162">
        <f>I34-J34</f>
        <v>34604.879999999997</v>
      </c>
      <c r="L34" s="153">
        <f>F7</f>
        <v>1.55E-2</v>
      </c>
      <c r="M34" s="162">
        <f>$C$2*L34</f>
        <v>30345.94</v>
      </c>
      <c r="N34" s="322">
        <f>IF(K34&gt;M34, K34-M34,0)</f>
        <v>4258.9399999999996</v>
      </c>
      <c r="O34" s="323">
        <f>IF(N34&gt;0,ROUND((N34/$N$60),7),0)</f>
        <v>1.2078E-2</v>
      </c>
      <c r="P34" s="324">
        <f>IF(M34&gt;K34, M34-K34,0)</f>
        <v>0</v>
      </c>
      <c r="Q34" s="325">
        <f>O34*$Q$60</f>
        <v>1361.05</v>
      </c>
      <c r="R34" s="144">
        <f>IF(K34-M34&lt;=0,0,H34)</f>
        <v>1.6714E-2</v>
      </c>
      <c r="S34" s="144">
        <f>IF(R34=0,0,R34/$R$60)</f>
        <v>2.1527000000000001E-2</v>
      </c>
      <c r="T34" s="162">
        <f>S34*$T$24</f>
        <v>2425.85</v>
      </c>
      <c r="U34" s="162">
        <f>M34+T34</f>
        <v>32771.79</v>
      </c>
      <c r="V34" s="332">
        <f>M34+Q34</f>
        <v>31706.99</v>
      </c>
      <c r="W34" s="336">
        <f t="shared" si="2"/>
        <v>1064.8</v>
      </c>
      <c r="X34" s="162">
        <f>M34+T34</f>
        <v>32771.79</v>
      </c>
    </row>
    <row r="35" spans="1:24" hidden="1" x14ac:dyDescent="0.2">
      <c r="A35" s="214" t="s">
        <v>25</v>
      </c>
      <c r="B35" s="170">
        <f>+s3b!B29</f>
        <v>45805</v>
      </c>
      <c r="C35" s="144">
        <f>ROUND(B35/$B$60,4)</f>
        <v>1.9900000000000001E-2</v>
      </c>
      <c r="D35" s="389">
        <v>21301</v>
      </c>
      <c r="E35" s="390">
        <f>D35/$B$35</f>
        <v>0.46503699999999998</v>
      </c>
      <c r="F35" s="384">
        <f>+s3b!D29</f>
        <v>1170.3599999999999</v>
      </c>
      <c r="G35" s="144">
        <f>ROUND(F35/$F$60,4)</f>
        <v>5.8599999999999999E-2</v>
      </c>
      <c r="H35" s="386">
        <f>ROUND((C35*2/3)+(G35/3),4)+0.000014</f>
        <v>3.2814000000000003E-2</v>
      </c>
      <c r="I35" s="162">
        <f>$C$23*H35</f>
        <v>68091.350000000006</v>
      </c>
      <c r="J35" s="162">
        <f>H8</f>
        <v>151.1</v>
      </c>
      <c r="K35" s="162">
        <f>I35-J35</f>
        <v>67940.25</v>
      </c>
      <c r="L35" s="153">
        <f>F8</f>
        <v>6.5299999999999997E-2</v>
      </c>
      <c r="M35" s="162">
        <f>$C$2*L35</f>
        <v>127844.52</v>
      </c>
      <c r="N35" s="322">
        <f>IF(K35&gt;M35, K35-M35,0)</f>
        <v>0</v>
      </c>
      <c r="O35" s="323">
        <f>IF(N35&gt;0,ROUND((N35/$N$60),7),0)</f>
        <v>0</v>
      </c>
      <c r="P35" s="324">
        <f>IF(M35&gt;K35, M35-K35,0)</f>
        <v>59904.27</v>
      </c>
      <c r="Q35" s="325">
        <f>O35*$Q$60</f>
        <v>0</v>
      </c>
      <c r="R35" s="144">
        <f>IF(K35-M35&lt;=0,0,H35)</f>
        <v>0</v>
      </c>
      <c r="S35" s="144">
        <f>IF(R35=0,0,R35/$R$60)</f>
        <v>0</v>
      </c>
      <c r="T35" s="162">
        <f>S35*$T$24</f>
        <v>0</v>
      </c>
      <c r="U35" s="162">
        <f>M35+T35</f>
        <v>127844.52</v>
      </c>
      <c r="V35" s="332">
        <f>M35+Q35</f>
        <v>127844.52</v>
      </c>
      <c r="W35" s="336">
        <f t="shared" si="2"/>
        <v>0</v>
      </c>
      <c r="X35" s="162">
        <f>M35+T35</f>
        <v>127844.52</v>
      </c>
    </row>
    <row r="36" spans="1:24" hidden="1" x14ac:dyDescent="0.2">
      <c r="A36" s="299" t="s">
        <v>384</v>
      </c>
      <c r="B36" s="170"/>
      <c r="C36" s="144"/>
      <c r="D36" s="389">
        <v>2045</v>
      </c>
      <c r="E36" s="390">
        <f>D36/$B$35</f>
        <v>4.4645999999999998E-2</v>
      </c>
      <c r="F36" s="384"/>
      <c r="G36" s="144"/>
      <c r="H36" s="144"/>
      <c r="I36" s="162"/>
      <c r="J36" s="162"/>
      <c r="K36" s="162"/>
      <c r="L36" s="153"/>
      <c r="M36" s="162"/>
      <c r="N36" s="322"/>
      <c r="O36" s="323"/>
      <c r="P36" s="324"/>
      <c r="Q36" s="325"/>
      <c r="R36" s="144"/>
      <c r="S36" s="144"/>
      <c r="T36" s="162"/>
      <c r="U36" s="162"/>
      <c r="V36" s="332"/>
      <c r="W36" s="336">
        <f t="shared" si="2"/>
        <v>0</v>
      </c>
      <c r="X36" s="162"/>
    </row>
    <row r="37" spans="1:24" hidden="1" x14ac:dyDescent="0.2">
      <c r="A37" s="299" t="s">
        <v>140</v>
      </c>
      <c r="B37" s="170"/>
      <c r="C37" s="144"/>
      <c r="D37" s="389">
        <v>16354</v>
      </c>
      <c r="E37" s="390">
        <f>D37/$B$35</f>
        <v>0.35703499999999999</v>
      </c>
      <c r="F37" s="384"/>
      <c r="G37" s="144"/>
      <c r="H37" s="144"/>
      <c r="I37" s="162"/>
      <c r="J37" s="162"/>
      <c r="K37" s="162"/>
      <c r="L37" s="153"/>
      <c r="M37" s="162"/>
      <c r="N37" s="322"/>
      <c r="O37" s="323"/>
      <c r="P37" s="324"/>
      <c r="Q37" s="325"/>
      <c r="R37" s="144"/>
      <c r="S37" s="144"/>
      <c r="T37" s="162"/>
      <c r="U37" s="162"/>
      <c r="V37" s="332"/>
      <c r="W37" s="336">
        <f t="shared" si="2"/>
        <v>0</v>
      </c>
      <c r="X37" s="162"/>
    </row>
    <row r="38" spans="1:24" hidden="1" x14ac:dyDescent="0.2">
      <c r="A38" s="299" t="s">
        <v>385</v>
      </c>
      <c r="B38" s="170"/>
      <c r="C38" s="144"/>
      <c r="D38" s="389">
        <v>1373</v>
      </c>
      <c r="E38" s="390">
        <f>D38/$B$35</f>
        <v>2.9975000000000002E-2</v>
      </c>
      <c r="F38" s="384"/>
      <c r="G38" s="144"/>
      <c r="H38" s="144"/>
      <c r="I38" s="162"/>
      <c r="J38" s="162"/>
      <c r="K38" s="162"/>
      <c r="L38" s="153"/>
      <c r="M38" s="162"/>
      <c r="N38" s="322"/>
      <c r="O38" s="323"/>
      <c r="P38" s="324"/>
      <c r="Q38" s="325"/>
      <c r="R38" s="144"/>
      <c r="S38" s="144"/>
      <c r="T38" s="162"/>
      <c r="U38" s="162"/>
      <c r="V38" s="332"/>
      <c r="W38" s="336">
        <f t="shared" si="2"/>
        <v>0</v>
      </c>
      <c r="X38" s="162"/>
    </row>
    <row r="39" spans="1:24" hidden="1" x14ac:dyDescent="0.2">
      <c r="A39" s="299" t="s">
        <v>641</v>
      </c>
      <c r="B39" s="170"/>
      <c r="C39" s="144"/>
      <c r="D39" s="389">
        <v>4732</v>
      </c>
      <c r="E39" s="390">
        <f>D39/$B$35</f>
        <v>0.103307</v>
      </c>
      <c r="F39" s="384"/>
      <c r="G39" s="144"/>
      <c r="H39" s="144"/>
      <c r="I39" s="162"/>
      <c r="J39" s="162"/>
      <c r="K39" s="162"/>
      <c r="L39" s="153"/>
      <c r="M39" s="162"/>
      <c r="N39" s="322"/>
      <c r="O39" s="323"/>
      <c r="P39" s="324"/>
      <c r="Q39" s="325"/>
      <c r="R39" s="144"/>
      <c r="S39" s="144"/>
      <c r="T39" s="162"/>
      <c r="U39" s="162"/>
      <c r="V39" s="332"/>
      <c r="W39" s="336">
        <f t="shared" si="2"/>
        <v>0</v>
      </c>
      <c r="X39" s="162"/>
    </row>
    <row r="40" spans="1:24" hidden="1" x14ac:dyDescent="0.2">
      <c r="A40" s="155" t="s">
        <v>26</v>
      </c>
      <c r="B40" s="170">
        <f>+s3b!B30</f>
        <v>1116</v>
      </c>
      <c r="C40" s="144">
        <f>ROUND(B40/$B$60,4)</f>
        <v>5.0000000000000001E-4</v>
      </c>
      <c r="D40" s="389">
        <v>1116</v>
      </c>
      <c r="E40" s="390">
        <f>D40/$B$40</f>
        <v>1</v>
      </c>
      <c r="F40" s="384">
        <f>+s3b!D30</f>
        <v>469.33</v>
      </c>
      <c r="G40" s="144">
        <f>ROUND(F40/$F$60,4)</f>
        <v>2.35E-2</v>
      </c>
      <c r="H40" s="144">
        <f>ROUND((C40*2/3)+(G40/3),4)</f>
        <v>8.2000000000000007E-3</v>
      </c>
      <c r="I40" s="162">
        <f>$C$23*H40</f>
        <v>17015.580000000002</v>
      </c>
      <c r="J40" s="162">
        <f>H9</f>
        <v>36.630000000000003</v>
      </c>
      <c r="K40" s="162">
        <f>I40-J40</f>
        <v>16978.95</v>
      </c>
      <c r="L40" s="153">
        <f>F9</f>
        <v>1.52E-2</v>
      </c>
      <c r="M40" s="162">
        <f>$C$2*L40</f>
        <v>29758.6</v>
      </c>
      <c r="N40" s="322">
        <f>IF(K40&gt;M40, K40-M40,0)</f>
        <v>0</v>
      </c>
      <c r="O40" s="323">
        <f>IF(N40&gt;0,ROUND((N40/$N$60),7),0)</f>
        <v>0</v>
      </c>
      <c r="P40" s="324">
        <f>IF(M40&gt;K40, M40-K40,0)</f>
        <v>12779.65</v>
      </c>
      <c r="Q40" s="325">
        <f>O40*$Q$60</f>
        <v>0</v>
      </c>
      <c r="R40" s="144">
        <f>IF(K40-M40&lt;=0,0,H40)</f>
        <v>0</v>
      </c>
      <c r="S40" s="144">
        <f>IF(R40=0,0,R40/$R$60)</f>
        <v>0</v>
      </c>
      <c r="T40" s="162">
        <f>S40*$T$24</f>
        <v>0</v>
      </c>
      <c r="U40" s="162">
        <f>M40+T40</f>
        <v>29758.6</v>
      </c>
      <c r="V40" s="332">
        <f>M40+Q40</f>
        <v>29758.6</v>
      </c>
      <c r="W40" s="336">
        <f t="shared" si="2"/>
        <v>0</v>
      </c>
      <c r="X40" s="162">
        <f>M40+T40</f>
        <v>29758.6</v>
      </c>
    </row>
    <row r="41" spans="1:24" hidden="1" x14ac:dyDescent="0.2">
      <c r="A41" s="155" t="s">
        <v>27</v>
      </c>
      <c r="B41" s="170">
        <f>+s3b!B31</f>
        <v>1420</v>
      </c>
      <c r="C41" s="144">
        <f>ROUND(B41/$B$60,4)</f>
        <v>5.9999999999999995E-4</v>
      </c>
      <c r="D41" s="389">
        <v>1420</v>
      </c>
      <c r="E41" s="390">
        <f>D41/$B$41</f>
        <v>1</v>
      </c>
      <c r="F41" s="384">
        <f>+s3b!D31</f>
        <v>959.88</v>
      </c>
      <c r="G41" s="144">
        <f>ROUND(F41/$F$60,4)</f>
        <v>4.8000000000000001E-2</v>
      </c>
      <c r="H41" s="144">
        <f>ROUND((C41*2/3)+(G41/3),4)</f>
        <v>1.6400000000000001E-2</v>
      </c>
      <c r="I41" s="162">
        <f>$C$23*H41</f>
        <v>34031.15</v>
      </c>
      <c r="J41" s="162">
        <f>H10</f>
        <v>73.260000000000005</v>
      </c>
      <c r="K41" s="162">
        <f>I41-J41</f>
        <v>33957.89</v>
      </c>
      <c r="L41" s="153">
        <f>F10</f>
        <v>1.9400000000000001E-2</v>
      </c>
      <c r="M41" s="162">
        <f>$C$2*L41</f>
        <v>37981.370000000003</v>
      </c>
      <c r="N41" s="322">
        <f>IF(K41&gt;M41, K41-M41,0)</f>
        <v>0</v>
      </c>
      <c r="O41" s="323">
        <f>IF(N41&gt;0,ROUND((N41/$N$60),7),0)</f>
        <v>0</v>
      </c>
      <c r="P41" s="324">
        <f>IF(M41&gt;K41, M41-K41,0)</f>
        <v>4023.48</v>
      </c>
      <c r="Q41" s="325">
        <f>O41*$Q$60</f>
        <v>0</v>
      </c>
      <c r="R41" s="144">
        <f>IF(K41-M41&lt;=0,0,H41)</f>
        <v>0</v>
      </c>
      <c r="S41" s="144">
        <f>IF(R41=0,0,R41/$R$60)</f>
        <v>0</v>
      </c>
      <c r="T41" s="162">
        <f>S41*$T$24</f>
        <v>0</v>
      </c>
      <c r="U41" s="162">
        <f>M41+T41</f>
        <v>37981.370000000003</v>
      </c>
      <c r="V41" s="332">
        <f>M41+Q41</f>
        <v>37981.370000000003</v>
      </c>
      <c r="W41" s="336">
        <f t="shared" si="2"/>
        <v>0</v>
      </c>
      <c r="X41" s="162">
        <f>M41+T41</f>
        <v>37981.370000000003</v>
      </c>
    </row>
    <row r="42" spans="1:24" hidden="1" x14ac:dyDescent="0.2">
      <c r="A42" s="155" t="s">
        <v>28</v>
      </c>
      <c r="B42" s="170">
        <f>+s3b!B32</f>
        <v>16457</v>
      </c>
      <c r="C42" s="144">
        <f>ROUND(B42/$B$60,4)</f>
        <v>7.1999999999999998E-3</v>
      </c>
      <c r="D42" s="389">
        <v>9177</v>
      </c>
      <c r="E42" s="390">
        <f>D42/$B$42</f>
        <v>0.55763499999999999</v>
      </c>
      <c r="F42" s="384">
        <f>+s3b!D32</f>
        <v>1001.98</v>
      </c>
      <c r="G42" s="144">
        <f>ROUND(F42/$F$60,4)</f>
        <v>5.0099999999999999E-2</v>
      </c>
      <c r="H42" s="144">
        <f>ROUND((C42*2/3)+(G42/3),4)</f>
        <v>2.1499999999999998E-2</v>
      </c>
      <c r="I42" s="162">
        <f>$C$23*H42</f>
        <v>44614.01</v>
      </c>
      <c r="J42" s="162">
        <f>H11</f>
        <v>96.15</v>
      </c>
      <c r="K42" s="162">
        <f>I42-J42</f>
        <v>44517.86</v>
      </c>
      <c r="L42" s="153">
        <f>F11</f>
        <v>3.9199999999999999E-2</v>
      </c>
      <c r="M42" s="162">
        <f>$C$2*L42</f>
        <v>76745.87</v>
      </c>
      <c r="N42" s="322">
        <f>IF(K42&gt;M42, K42-M42,0)</f>
        <v>0</v>
      </c>
      <c r="O42" s="323">
        <f>IF(N42&gt;0,ROUND((N42/$N$60),7),0)</f>
        <v>0</v>
      </c>
      <c r="P42" s="324">
        <f>IF(M42&gt;K42, M42-K42,0)</f>
        <v>32228.01</v>
      </c>
      <c r="Q42" s="325">
        <f>O42*$Q$60</f>
        <v>0</v>
      </c>
      <c r="R42" s="144">
        <f>IF(K42-M42&lt;=0,0,H42)</f>
        <v>0</v>
      </c>
      <c r="S42" s="144">
        <f>IF(R42=0,0,R42/$R$60)</f>
        <v>0</v>
      </c>
      <c r="T42" s="162">
        <f>S42*$T$24</f>
        <v>0</v>
      </c>
      <c r="U42" s="162">
        <f>M42+T42</f>
        <v>76745.87</v>
      </c>
      <c r="V42" s="332">
        <f>M42+Q42</f>
        <v>76745.87</v>
      </c>
      <c r="W42" s="336">
        <f t="shared" si="2"/>
        <v>0</v>
      </c>
      <c r="X42" s="162">
        <f>M42+T42</f>
        <v>76745.87</v>
      </c>
    </row>
    <row r="43" spans="1:24" hidden="1" x14ac:dyDescent="0.2">
      <c r="A43" s="299" t="s">
        <v>387</v>
      </c>
      <c r="B43" s="170"/>
      <c r="C43" s="144"/>
      <c r="D43" s="389">
        <v>7280</v>
      </c>
      <c r="E43" s="390">
        <f>D43/$B$42</f>
        <v>0.44236500000000001</v>
      </c>
      <c r="F43" s="384"/>
      <c r="G43" s="144"/>
      <c r="H43" s="144"/>
      <c r="I43" s="162"/>
      <c r="J43" s="162"/>
      <c r="K43" s="162"/>
      <c r="L43" s="153"/>
      <c r="M43" s="162"/>
      <c r="N43" s="322"/>
      <c r="O43" s="323"/>
      <c r="P43" s="324"/>
      <c r="Q43" s="325"/>
      <c r="R43" s="144"/>
      <c r="S43" s="144"/>
      <c r="T43" s="162"/>
      <c r="U43" s="162"/>
      <c r="V43" s="332"/>
      <c r="W43" s="336">
        <f t="shared" si="2"/>
        <v>0</v>
      </c>
      <c r="X43" s="162"/>
    </row>
    <row r="44" spans="1:24" hidden="1" x14ac:dyDescent="0.2">
      <c r="A44" s="214" t="s">
        <v>29</v>
      </c>
      <c r="B44" s="170">
        <f>+s3b!B33</f>
        <v>5277</v>
      </c>
      <c r="C44" s="144">
        <f>ROUND(B44/$B$60,4)</f>
        <v>2.3E-3</v>
      </c>
      <c r="D44" s="389">
        <v>5277</v>
      </c>
      <c r="E44" s="390">
        <f>D44/$B$44</f>
        <v>1</v>
      </c>
      <c r="F44" s="384">
        <f>+s3b!D33</f>
        <v>1148.6099999999999</v>
      </c>
      <c r="G44" s="144">
        <f>ROUND(F44/$F$60,4)</f>
        <v>5.7500000000000002E-2</v>
      </c>
      <c r="H44" s="386">
        <f>ROUND((C44*2/3)+(G44/3),4)+0.000014</f>
        <v>2.0714E-2</v>
      </c>
      <c r="I44" s="162">
        <f>$C$23*H44</f>
        <v>42983</v>
      </c>
      <c r="J44" s="162">
        <f>H12</f>
        <v>96.15</v>
      </c>
      <c r="K44" s="162">
        <f>I44-J44</f>
        <v>42886.85</v>
      </c>
      <c r="L44" s="153">
        <f>F12</f>
        <v>2.4799999999999999E-2</v>
      </c>
      <c r="M44" s="162">
        <f>$C$2*L44</f>
        <v>48553.51</v>
      </c>
      <c r="N44" s="322">
        <f>IF(K44&gt;M44, K44-M44,0)</f>
        <v>0</v>
      </c>
      <c r="O44" s="323">
        <f>IF(N44&gt;0,ROUND((N44/$N$60),7),0)</f>
        <v>0</v>
      </c>
      <c r="P44" s="324">
        <f>IF(M44&gt;K44, M44-K44,0)</f>
        <v>5666.66</v>
      </c>
      <c r="Q44" s="325">
        <f>O44*$Q$60</f>
        <v>0</v>
      </c>
      <c r="R44" s="144">
        <f>IF(K44-M44&lt;=0,0,H44)</f>
        <v>0</v>
      </c>
      <c r="S44" s="144">
        <f>IF(R44=0,0,R44/$R$60)</f>
        <v>0</v>
      </c>
      <c r="T44" s="162">
        <f>S44*$T$24</f>
        <v>0</v>
      </c>
      <c r="U44" s="162">
        <f>M44+T44</f>
        <v>48553.51</v>
      </c>
      <c r="V44" s="332">
        <f>M44+Q44</f>
        <v>48553.51</v>
      </c>
      <c r="W44" s="336">
        <f t="shared" si="2"/>
        <v>0</v>
      </c>
      <c r="X44" s="162">
        <f>M44+T44</f>
        <v>48553.51</v>
      </c>
    </row>
    <row r="45" spans="1:24" hidden="1" x14ac:dyDescent="0.2">
      <c r="A45" s="155" t="s">
        <v>30</v>
      </c>
      <c r="B45" s="170">
        <f>+s3b!B34</f>
        <v>3749</v>
      </c>
      <c r="C45" s="144">
        <f>ROUND(B45/$B$60,4)</f>
        <v>1.6000000000000001E-3</v>
      </c>
      <c r="D45" s="389">
        <v>2565</v>
      </c>
      <c r="E45" s="390">
        <f>D45/$B$45</f>
        <v>0.68418199999999996</v>
      </c>
      <c r="F45" s="384">
        <f>+s3b!D34</f>
        <v>1874.9</v>
      </c>
      <c r="G45" s="144">
        <f>ROUND(F45/$F$60,4)</f>
        <v>9.3799999999999994E-2</v>
      </c>
      <c r="H45" s="144">
        <f>ROUND((C45*2/3)+(G45/3),4)</f>
        <v>3.2300000000000002E-2</v>
      </c>
      <c r="I45" s="162">
        <f>$C$23*H45</f>
        <v>67024.77</v>
      </c>
      <c r="J45" s="162">
        <f>H13</f>
        <v>146.52000000000001</v>
      </c>
      <c r="K45" s="162">
        <f>I45-J45</f>
        <v>66878.25</v>
      </c>
      <c r="L45" s="153">
        <f>F13</f>
        <v>4.3200000000000002E-2</v>
      </c>
      <c r="M45" s="162">
        <f>$C$2*L45</f>
        <v>84577.08</v>
      </c>
      <c r="N45" s="322">
        <f>IF(K45&gt;M45, K45-M45,0)</f>
        <v>0</v>
      </c>
      <c r="O45" s="323">
        <f>IF(N45&gt;0,ROUND((N45/$N$60),7),0)</f>
        <v>0</v>
      </c>
      <c r="P45" s="324">
        <f>IF(M45&gt;K45, M45-K45,0)</f>
        <v>17698.830000000002</v>
      </c>
      <c r="Q45" s="325">
        <f>O45*$Q$60</f>
        <v>0</v>
      </c>
      <c r="R45" s="144">
        <f>IF(K45-M45&lt;=0,0,H45)</f>
        <v>0</v>
      </c>
      <c r="S45" s="144">
        <f>IF(R45=0,0,R45/$R$60)</f>
        <v>0</v>
      </c>
      <c r="T45" s="162">
        <f>S45*$T$24</f>
        <v>0</v>
      </c>
      <c r="U45" s="162">
        <f>M45+T45</f>
        <v>84577.08</v>
      </c>
      <c r="V45" s="332">
        <f>M45+Q45</f>
        <v>84577.08</v>
      </c>
      <c r="W45" s="336">
        <f t="shared" si="2"/>
        <v>0</v>
      </c>
      <c r="X45" s="162">
        <f>M45+T45</f>
        <v>84577.08</v>
      </c>
    </row>
    <row r="46" spans="1:24" hidden="1" x14ac:dyDescent="0.2">
      <c r="A46" s="299" t="s">
        <v>389</v>
      </c>
      <c r="B46" s="170"/>
      <c r="C46" s="144"/>
      <c r="D46" s="389">
        <v>1184</v>
      </c>
      <c r="E46" s="390">
        <f>D46/$B$45</f>
        <v>0.31581799999999999</v>
      </c>
      <c r="F46" s="384"/>
      <c r="G46" s="144"/>
      <c r="H46" s="144"/>
      <c r="I46" s="162"/>
      <c r="J46" s="162"/>
      <c r="K46" s="162"/>
      <c r="L46" s="153"/>
      <c r="M46" s="162"/>
      <c r="N46" s="322"/>
      <c r="O46" s="323"/>
      <c r="P46" s="324"/>
      <c r="Q46" s="325"/>
      <c r="R46" s="144"/>
      <c r="S46" s="144"/>
      <c r="T46" s="162"/>
      <c r="U46" s="162"/>
      <c r="V46" s="332"/>
      <c r="W46" s="336">
        <f t="shared" si="2"/>
        <v>0</v>
      </c>
      <c r="X46" s="162"/>
    </row>
    <row r="47" spans="1:24" hidden="1" x14ac:dyDescent="0.2">
      <c r="A47" s="155" t="s">
        <v>31</v>
      </c>
      <c r="B47" s="170">
        <f>+s3b!B35</f>
        <v>41244</v>
      </c>
      <c r="C47" s="144">
        <f>ROUND(B47/$B$60,4)</f>
        <v>1.7999999999999999E-2</v>
      </c>
      <c r="D47" s="389">
        <v>26624</v>
      </c>
      <c r="E47" s="390">
        <f>D47/$B$47</f>
        <v>0.64552399999999999</v>
      </c>
      <c r="F47" s="384">
        <f>+s3b!D35</f>
        <v>571.22</v>
      </c>
      <c r="G47" s="144">
        <f>ROUND(F47/$F$60,4)</f>
        <v>2.86E-2</v>
      </c>
      <c r="H47" s="144">
        <f>ROUND((C47*2/3)+(G47/3),4)</f>
        <v>2.1499999999999998E-2</v>
      </c>
      <c r="I47" s="162">
        <f>$C$23*H47</f>
        <v>44614.01</v>
      </c>
      <c r="J47" s="162">
        <f>H14</f>
        <v>96.15</v>
      </c>
      <c r="K47" s="162">
        <f>I47-J47</f>
        <v>44517.86</v>
      </c>
      <c r="L47" s="153">
        <f>F14</f>
        <v>1.89E-2</v>
      </c>
      <c r="M47" s="162">
        <f>$C$2*L47</f>
        <v>37002.47</v>
      </c>
      <c r="N47" s="322">
        <f>IF(K47&gt;M47, K47-M47,0)</f>
        <v>7515.39</v>
      </c>
      <c r="O47" s="323">
        <f>IF(N47&gt;0,ROUND((N47/$N$60),7),0)</f>
        <v>2.1312000000000001E-2</v>
      </c>
      <c r="P47" s="324">
        <f>IF(M47&gt;K47, M47-K47,0)</f>
        <v>0</v>
      </c>
      <c r="Q47" s="325">
        <f>O47*$Q$60</f>
        <v>2401.62</v>
      </c>
      <c r="R47" s="144">
        <f>IF(K47-M47&lt;=0,0,H47)</f>
        <v>2.1499999999999998E-2</v>
      </c>
      <c r="S47" s="144">
        <f>IF(R47=0,0,R47/$R$60)</f>
        <v>2.7691E-2</v>
      </c>
      <c r="T47" s="162">
        <f>S47*$T$24</f>
        <v>3120.47</v>
      </c>
      <c r="U47" s="162">
        <f>M47+T47</f>
        <v>40122.94</v>
      </c>
      <c r="V47" s="332">
        <f>M47+Q47</f>
        <v>39404.089999999997</v>
      </c>
      <c r="W47" s="336">
        <f t="shared" si="2"/>
        <v>718.85</v>
      </c>
      <c r="X47" s="162">
        <f>M47+T47</f>
        <v>40122.94</v>
      </c>
    </row>
    <row r="48" spans="1:24" hidden="1" x14ac:dyDescent="0.2">
      <c r="A48" s="299" t="s">
        <v>391</v>
      </c>
      <c r="B48" s="170"/>
      <c r="C48" s="144"/>
      <c r="D48" s="389">
        <v>11718</v>
      </c>
      <c r="E48" s="390">
        <f>D48/$B$47</f>
        <v>0.28411399999999998</v>
      </c>
      <c r="F48" s="384"/>
      <c r="G48" s="144"/>
      <c r="H48" s="144"/>
      <c r="I48" s="162"/>
      <c r="J48" s="162"/>
      <c r="K48" s="162"/>
      <c r="L48" s="153"/>
      <c r="M48" s="162"/>
      <c r="N48" s="322"/>
      <c r="O48" s="323"/>
      <c r="P48" s="324"/>
      <c r="Q48" s="325"/>
      <c r="R48" s="144"/>
      <c r="S48" s="144"/>
      <c r="T48" s="162"/>
      <c r="U48" s="162"/>
      <c r="V48" s="332"/>
      <c r="W48" s="336">
        <f t="shared" si="2"/>
        <v>0</v>
      </c>
      <c r="X48" s="162"/>
    </row>
    <row r="49" spans="1:26" hidden="1" x14ac:dyDescent="0.2">
      <c r="A49" s="299" t="s">
        <v>390</v>
      </c>
      <c r="B49" s="170"/>
      <c r="C49" s="144"/>
      <c r="D49" s="389">
        <v>2902</v>
      </c>
      <c r="E49" s="390">
        <f>D49/$B$47</f>
        <v>7.0361999999999994E-2</v>
      </c>
      <c r="F49" s="384"/>
      <c r="G49" s="144"/>
      <c r="H49" s="144"/>
      <c r="I49" s="162"/>
      <c r="J49" s="162"/>
      <c r="K49" s="162"/>
      <c r="L49" s="153"/>
      <c r="M49" s="162"/>
      <c r="N49" s="322"/>
      <c r="O49" s="323"/>
      <c r="P49" s="324"/>
      <c r="Q49" s="325"/>
      <c r="R49" s="144"/>
      <c r="S49" s="144"/>
      <c r="T49" s="162"/>
      <c r="U49" s="162"/>
      <c r="V49" s="332"/>
      <c r="W49" s="336">
        <f t="shared" si="2"/>
        <v>0</v>
      </c>
      <c r="X49" s="162"/>
    </row>
    <row r="50" spans="1:26" hidden="1" x14ac:dyDescent="0.2">
      <c r="A50" s="214" t="s">
        <v>404</v>
      </c>
      <c r="B50" s="170">
        <f>+s3b!B36</f>
        <v>4687</v>
      </c>
      <c r="C50" s="144">
        <f>ROUND(B50/$B$60,4)</f>
        <v>2E-3</v>
      </c>
      <c r="D50" s="389">
        <v>4687</v>
      </c>
      <c r="E50" s="390">
        <f>D50/$B$50</f>
        <v>1</v>
      </c>
      <c r="F50" s="384">
        <f>+s3b!D36</f>
        <v>323.85000000000002</v>
      </c>
      <c r="G50" s="144">
        <f>ROUND(F50/$F$60,4)</f>
        <v>1.6199999999999999E-2</v>
      </c>
      <c r="H50" s="386">
        <f>ROUND((C50*2/3)+(G50/3),4)+0.000015</f>
        <v>6.7149999999999996E-3</v>
      </c>
      <c r="I50" s="162">
        <f>$C$23*H50</f>
        <v>13934.1</v>
      </c>
      <c r="J50" s="162">
        <f>H15</f>
        <v>32.049999999999997</v>
      </c>
      <c r="K50" s="162">
        <f>I50-J50</f>
        <v>13902.05</v>
      </c>
      <c r="L50" s="153">
        <f>F15</f>
        <v>1.4E-2</v>
      </c>
      <c r="M50" s="162">
        <f>$C$2*L50</f>
        <v>27409.24</v>
      </c>
      <c r="N50" s="322">
        <f>IF(K50&gt;M50, K50-M50,0)</f>
        <v>0</v>
      </c>
      <c r="O50" s="323">
        <f>IF(N50&gt;0,ROUND((N50/$N$60),7),0)</f>
        <v>0</v>
      </c>
      <c r="P50" s="324">
        <f>IF(M50&gt;K50, M50-K50,0)</f>
        <v>13507.19</v>
      </c>
      <c r="Q50" s="325">
        <f>O50*$Q$60</f>
        <v>0</v>
      </c>
      <c r="R50" s="144">
        <f>IF(K50-M50&lt;=0,0,H50)</f>
        <v>0</v>
      </c>
      <c r="S50" s="144">
        <f>IF(R50=0,0,R50/$R$60)</f>
        <v>0</v>
      </c>
      <c r="T50" s="162">
        <f>S50*$T$24</f>
        <v>0</v>
      </c>
      <c r="U50" s="162">
        <f>M50+T50</f>
        <v>27409.24</v>
      </c>
      <c r="V50" s="332">
        <f>M50+Q50</f>
        <v>27409.24</v>
      </c>
      <c r="W50" s="336">
        <f t="shared" si="2"/>
        <v>0</v>
      </c>
      <c r="X50" s="162">
        <f>M50+T50</f>
        <v>27409.24</v>
      </c>
    </row>
    <row r="51" spans="1:26" hidden="1" x14ac:dyDescent="0.2">
      <c r="A51" s="214" t="s">
        <v>33</v>
      </c>
      <c r="B51" s="170">
        <f>+s3b!B37</f>
        <v>36651</v>
      </c>
      <c r="C51" s="144">
        <f>ROUND(B51/$B$60,4)</f>
        <v>1.6E-2</v>
      </c>
      <c r="D51" s="389">
        <v>36651</v>
      </c>
      <c r="E51" s="390">
        <f>D51/$B$51</f>
        <v>1</v>
      </c>
      <c r="F51" s="384">
        <f>+s3b!D37</f>
        <v>2037</v>
      </c>
      <c r="G51" s="144">
        <f>ROUND(F51/$F$60,4)</f>
        <v>0.1019</v>
      </c>
      <c r="H51" s="386">
        <f>ROUND((C51*2/3)+(G51/3),4)+0.000014</f>
        <v>4.4614000000000001E-2</v>
      </c>
      <c r="I51" s="162">
        <f>$C$23*H51</f>
        <v>92577.18</v>
      </c>
      <c r="J51" s="162">
        <f>H16</f>
        <v>206.04</v>
      </c>
      <c r="K51" s="162">
        <f>I51-J51</f>
        <v>92371.14</v>
      </c>
      <c r="L51" s="153">
        <f>F16</f>
        <v>6.7699999999999996E-2</v>
      </c>
      <c r="M51" s="162">
        <f>$C$2*L51</f>
        <v>132543.25</v>
      </c>
      <c r="N51" s="322">
        <f>IF(K51&gt;M51, K51-M51,0)</f>
        <v>0</v>
      </c>
      <c r="O51" s="323">
        <f>IF(N51&gt;0,ROUND((N51/$N$60),7),0)</f>
        <v>0</v>
      </c>
      <c r="P51" s="324">
        <f>IF(M51&gt;K51, M51-K51,0)</f>
        <v>40172.11</v>
      </c>
      <c r="Q51" s="325">
        <f>O51*$Q$60</f>
        <v>0</v>
      </c>
      <c r="R51" s="144">
        <f>IF(K51-M51&lt;=0,0,H51)</f>
        <v>0</v>
      </c>
      <c r="S51" s="144">
        <f>IF(R51=0,0,R51/$R$60)</f>
        <v>0</v>
      </c>
      <c r="T51" s="162">
        <f>S51*$T$24</f>
        <v>0</v>
      </c>
      <c r="U51" s="162">
        <f>M51+T51</f>
        <v>132543.25</v>
      </c>
      <c r="V51" s="332">
        <f>M51+Q51</f>
        <v>132543.25</v>
      </c>
      <c r="W51" s="336">
        <f t="shared" si="2"/>
        <v>0</v>
      </c>
      <c r="X51" s="162">
        <f>M51+T51</f>
        <v>132543.25</v>
      </c>
    </row>
    <row r="52" spans="1:26" hidden="1" x14ac:dyDescent="0.2">
      <c r="A52" s="155" t="s">
        <v>34</v>
      </c>
      <c r="B52" s="170">
        <f>+s3b!B38</f>
        <v>6967</v>
      </c>
      <c r="C52" s="144">
        <f>ROUND(B52/$B$60,4)</f>
        <v>3.0000000000000001E-3</v>
      </c>
      <c r="D52" s="389">
        <v>4562</v>
      </c>
      <c r="E52" s="390">
        <f>D52/$B$52</f>
        <v>0.65480099999999997</v>
      </c>
      <c r="F52" s="384">
        <f>+s3b!D38</f>
        <v>1887</v>
      </c>
      <c r="G52" s="144">
        <f>ROUND(F52/$F$60,4)</f>
        <v>9.4399999999999998E-2</v>
      </c>
      <c r="H52" s="144">
        <f>ROUND((C52*2/3)+(G52/3),4)</f>
        <v>3.3500000000000002E-2</v>
      </c>
      <c r="I52" s="162">
        <f>$C$23*H52</f>
        <v>69514.850000000006</v>
      </c>
      <c r="J52" s="162">
        <f>H17</f>
        <v>151.1</v>
      </c>
      <c r="K52" s="162">
        <f>I52-J52</f>
        <v>69363.75</v>
      </c>
      <c r="L52" s="153">
        <f>F17</f>
        <v>2.8400000000000002E-2</v>
      </c>
      <c r="M52" s="162">
        <f>$C$2*L52</f>
        <v>55601.599999999999</v>
      </c>
      <c r="N52" s="322">
        <f>IF(K52&gt;M52, K52-M52,0)</f>
        <v>13762.15</v>
      </c>
      <c r="O52" s="323">
        <f>IF(N52&gt;0,ROUND((N52/$N$60),7),0)</f>
        <v>3.9026999999999999E-2</v>
      </c>
      <c r="P52" s="324">
        <f>IF(M52&gt;K52, M52-K52,0)</f>
        <v>0</v>
      </c>
      <c r="Q52" s="325">
        <f>O52*$Q$60</f>
        <v>4397.8999999999996</v>
      </c>
      <c r="R52" s="144">
        <f>IF(K52-M52&lt;=0,0,H52)</f>
        <v>3.3500000000000002E-2</v>
      </c>
      <c r="S52" s="144">
        <f>IF(R52=0,0,R52/$R$60)</f>
        <v>4.3145999999999997E-2</v>
      </c>
      <c r="T52" s="162">
        <f>S52*$T$24</f>
        <v>4862.07</v>
      </c>
      <c r="U52" s="162">
        <f>M52+T52</f>
        <v>60463.67</v>
      </c>
      <c r="V52" s="332">
        <f>M52+Q52</f>
        <v>59999.5</v>
      </c>
      <c r="W52" s="336">
        <f t="shared" si="2"/>
        <v>464.17</v>
      </c>
      <c r="X52" s="162">
        <f>M52+T52</f>
        <v>60463.67</v>
      </c>
    </row>
    <row r="53" spans="1:26" hidden="1" x14ac:dyDescent="0.2">
      <c r="A53" s="299" t="s">
        <v>395</v>
      </c>
      <c r="B53" s="170"/>
      <c r="C53" s="144"/>
      <c r="D53" s="389">
        <v>2405</v>
      </c>
      <c r="E53" s="390">
        <f>D53/$B$52</f>
        <v>0.34519899999999998</v>
      </c>
      <c r="F53" s="384"/>
      <c r="G53" s="144"/>
      <c r="H53" s="144"/>
      <c r="I53" s="162"/>
      <c r="J53" s="162"/>
      <c r="K53" s="162"/>
      <c r="L53" s="153"/>
      <c r="M53" s="162"/>
      <c r="N53" s="322"/>
      <c r="O53" s="323"/>
      <c r="P53" s="324"/>
      <c r="Q53" s="325"/>
      <c r="R53" s="144"/>
      <c r="S53" s="144"/>
      <c r="T53" s="162"/>
      <c r="U53" s="162"/>
      <c r="V53" s="332"/>
      <c r="W53" s="336">
        <f t="shared" si="2"/>
        <v>0</v>
      </c>
      <c r="X53" s="162"/>
    </row>
    <row r="54" spans="1:26" hidden="1" x14ac:dyDescent="0.2">
      <c r="A54" s="214" t="s">
        <v>35</v>
      </c>
      <c r="B54" s="170">
        <f>+s3b!B39</f>
        <v>3736</v>
      </c>
      <c r="C54" s="144">
        <f>ROUND(B54/$B$60,4)</f>
        <v>1.6000000000000001E-3</v>
      </c>
      <c r="D54" s="389">
        <v>3736</v>
      </c>
      <c r="E54" s="390">
        <f>D54/$B$54</f>
        <v>1</v>
      </c>
      <c r="F54" s="384">
        <f>+s3b!D39</f>
        <v>49.39</v>
      </c>
      <c r="G54" s="144">
        <f>ROUND(F54/$F$60,4)</f>
        <v>2.5000000000000001E-3</v>
      </c>
      <c r="H54" s="386">
        <f>ROUND((C54*2/3)+(G54/3),4)+0.000015</f>
        <v>1.915E-3</v>
      </c>
      <c r="I54" s="162">
        <f>$C$23*H54</f>
        <v>3973.76</v>
      </c>
      <c r="J54" s="162">
        <f>H18</f>
        <v>9.16</v>
      </c>
      <c r="K54" s="162">
        <f>I54-J54</f>
        <v>3964.6</v>
      </c>
      <c r="L54" s="153">
        <f>F18</f>
        <v>2.2000000000000001E-3</v>
      </c>
      <c r="M54" s="162">
        <f>$C$2*L54</f>
        <v>4307.17</v>
      </c>
      <c r="N54" s="322">
        <f>IF(K54&gt;M54, K54-M54,0)</f>
        <v>0</v>
      </c>
      <c r="O54" s="323">
        <f>IF(N54&gt;0,ROUND((N54/$N$60),7),0)</f>
        <v>0</v>
      </c>
      <c r="P54" s="324">
        <f>IF(M54&gt;K54, M54-K54,0)</f>
        <v>342.57</v>
      </c>
      <c r="Q54" s="325">
        <f>O54*$Q$60</f>
        <v>0</v>
      </c>
      <c r="R54" s="144">
        <f>IF(K54-M54&lt;=0,0,H54)</f>
        <v>0</v>
      </c>
      <c r="S54" s="144">
        <f>IF(R54=0,0,R54/$R$60)</f>
        <v>0</v>
      </c>
      <c r="T54" s="162">
        <f>S54*$T$24</f>
        <v>0</v>
      </c>
      <c r="U54" s="162">
        <f>M54+T54</f>
        <v>4307.17</v>
      </c>
      <c r="V54" s="332">
        <f>M54+Q54</f>
        <v>4307.17</v>
      </c>
      <c r="W54" s="336">
        <f t="shared" si="2"/>
        <v>0</v>
      </c>
      <c r="X54" s="162">
        <f>M54+T54</f>
        <v>4307.17</v>
      </c>
    </row>
    <row r="55" spans="1:26" hidden="1" x14ac:dyDescent="0.2">
      <c r="A55" s="155" t="s">
        <v>36</v>
      </c>
      <c r="B55" s="170">
        <f>+s3b!B40</f>
        <v>373233</v>
      </c>
      <c r="C55" s="144">
        <f>ROUND(B55/$B$60,4)</f>
        <v>0.16250000000000001</v>
      </c>
      <c r="D55" s="389">
        <v>99071</v>
      </c>
      <c r="E55" s="390">
        <f>D55/$B$55</f>
        <v>0.26544000000000001</v>
      </c>
      <c r="F55" s="384">
        <f>+s3b!D40</f>
        <v>1842.02</v>
      </c>
      <c r="G55" s="144">
        <f>ROUND(F55/$F$60,4)</f>
        <v>9.2200000000000004E-2</v>
      </c>
      <c r="H55" s="144">
        <f>ROUND((C55*2/3)+(G55/3),4)</f>
        <v>0.1391</v>
      </c>
      <c r="I55" s="162">
        <f>$C$23*H55</f>
        <v>288642.27</v>
      </c>
      <c r="J55" s="162">
        <f>H19</f>
        <v>636.42999999999995</v>
      </c>
      <c r="K55" s="162">
        <f>I55-J55</f>
        <v>288005.84000000003</v>
      </c>
      <c r="L55" s="153">
        <f>F19</f>
        <v>0.1232</v>
      </c>
      <c r="M55" s="162">
        <f>$C$2*L55</f>
        <v>241201.3</v>
      </c>
      <c r="N55" s="322">
        <f>IF(K55&gt;M55, K55-M55,0)</f>
        <v>46804.54</v>
      </c>
      <c r="O55" s="323">
        <f>IF(N55&gt;0,ROUND((N55/$N$60),7),0)</f>
        <v>0.13272900000000001</v>
      </c>
      <c r="P55" s="324">
        <f>IF(M55&gt;K55, M55-K55,0)</f>
        <v>0</v>
      </c>
      <c r="Q55" s="325">
        <f>O55*$Q$60</f>
        <v>14957.07</v>
      </c>
      <c r="R55" s="144">
        <f>IF(K55-M55&lt;=0,0,H55)</f>
        <v>0.1391</v>
      </c>
      <c r="S55" s="144">
        <f>IF(R55=0,0,R55/$R$60)</f>
        <v>0.17915400000000001</v>
      </c>
      <c r="T55" s="162">
        <f>S55*$T$24</f>
        <v>20188.650000000001</v>
      </c>
      <c r="U55" s="162">
        <f>M55+T55</f>
        <v>261389.95</v>
      </c>
      <c r="V55" s="332">
        <f>M55+Q55</f>
        <v>256158.37</v>
      </c>
      <c r="W55" s="336">
        <f t="shared" si="2"/>
        <v>5231.58</v>
      </c>
      <c r="X55" s="162">
        <f>M55+T55</f>
        <v>261389.95</v>
      </c>
    </row>
    <row r="56" spans="1:26" hidden="1" x14ac:dyDescent="0.2">
      <c r="A56" s="299" t="s">
        <v>396</v>
      </c>
      <c r="B56" s="170"/>
      <c r="C56" s="144"/>
      <c r="D56" s="389">
        <v>195727</v>
      </c>
      <c r="E56" s="390">
        <f>D56/$B$55</f>
        <v>0.52441000000000004</v>
      </c>
      <c r="F56" s="384"/>
      <c r="G56" s="144"/>
      <c r="H56" s="144"/>
      <c r="I56" s="162"/>
      <c r="J56" s="162"/>
      <c r="K56" s="162"/>
      <c r="L56" s="153"/>
      <c r="M56" s="162"/>
      <c r="N56" s="322"/>
      <c r="O56" s="323"/>
      <c r="P56" s="324"/>
      <c r="Q56" s="325"/>
      <c r="R56" s="144"/>
      <c r="S56" s="144"/>
      <c r="T56" s="162"/>
      <c r="U56" s="162"/>
      <c r="V56" s="332"/>
      <c r="W56" s="336">
        <f t="shared" si="2"/>
        <v>0</v>
      </c>
      <c r="X56" s="162"/>
    </row>
    <row r="57" spans="1:26" hidden="1" x14ac:dyDescent="0.2">
      <c r="A57" s="299" t="s">
        <v>397</v>
      </c>
      <c r="B57" s="170"/>
      <c r="C57" s="144"/>
      <c r="D57" s="389">
        <v>78435</v>
      </c>
      <c r="E57" s="390">
        <f>D57/$B$55</f>
        <v>0.21015</v>
      </c>
      <c r="F57" s="384"/>
      <c r="G57" s="144"/>
      <c r="H57" s="144"/>
      <c r="I57" s="162"/>
      <c r="J57" s="162"/>
      <c r="K57" s="162"/>
      <c r="L57" s="153"/>
      <c r="M57" s="162"/>
      <c r="N57" s="322"/>
      <c r="O57" s="323"/>
      <c r="P57" s="324"/>
      <c r="Q57" s="325"/>
      <c r="R57" s="144"/>
      <c r="S57" s="144"/>
      <c r="T57" s="162"/>
      <c r="U57" s="162"/>
      <c r="V57" s="332"/>
      <c r="W57" s="336">
        <f t="shared" si="2"/>
        <v>0</v>
      </c>
      <c r="X57" s="162"/>
    </row>
    <row r="58" spans="1:26" hidden="1" x14ac:dyDescent="0.2">
      <c r="A58" s="155" t="s">
        <v>37</v>
      </c>
      <c r="B58" s="170">
        <f>+s3b!B41</f>
        <v>8842</v>
      </c>
      <c r="C58" s="144">
        <f>ROUND(B58/$B$60,4)</f>
        <v>3.8999999999999998E-3</v>
      </c>
      <c r="D58" s="389">
        <v>5013</v>
      </c>
      <c r="E58" s="390">
        <f>D58/$B$58</f>
        <v>0.56695300000000004</v>
      </c>
      <c r="F58" s="384">
        <f>+s3b!D41</f>
        <v>1108.27</v>
      </c>
      <c r="G58" s="144">
        <f>ROUND(F58/$F$60,4)</f>
        <v>5.5399999999999998E-2</v>
      </c>
      <c r="H58" s="144">
        <f>ROUND((C58*2/3)+(G58/3),4)</f>
        <v>2.1100000000000001E-2</v>
      </c>
      <c r="I58" s="151">
        <f>$C$23*H58</f>
        <v>43783.98</v>
      </c>
      <c r="J58" s="162">
        <f>H20</f>
        <v>96.15</v>
      </c>
      <c r="K58" s="162">
        <f>I58-J58</f>
        <v>43687.83</v>
      </c>
      <c r="L58" s="171">
        <f>F20</f>
        <v>4.0300000000000002E-2</v>
      </c>
      <c r="M58" s="151">
        <f>$C$2*L58</f>
        <v>78899.45</v>
      </c>
      <c r="N58" s="322">
        <f>IF(K58&gt;M58, K58-M58,0)</f>
        <v>0</v>
      </c>
      <c r="O58" s="323">
        <f>IF(N58&gt;0,ROUND((N58/$N$60),7),0)</f>
        <v>0</v>
      </c>
      <c r="P58" s="324">
        <f>IF(M58&gt;K58, M58-K58,0)</f>
        <v>35211.620000000003</v>
      </c>
      <c r="Q58" s="325">
        <f>O58*$Q$60</f>
        <v>0</v>
      </c>
      <c r="R58" s="144">
        <f>IF(K58-M58&lt;=0,0,H58)</f>
        <v>0</v>
      </c>
      <c r="S58" s="144">
        <f>IF(R58=0,0,R58/$R$60)</f>
        <v>0</v>
      </c>
      <c r="T58" s="151">
        <f>S58*$T$24</f>
        <v>0</v>
      </c>
      <c r="U58" s="151">
        <f>M58+T58</f>
        <v>78899.45</v>
      </c>
      <c r="V58" s="333">
        <f>M58+Q58</f>
        <v>78899.45</v>
      </c>
      <c r="W58" s="336">
        <f t="shared" si="2"/>
        <v>0</v>
      </c>
      <c r="X58" s="162">
        <f>M58+T58</f>
        <v>78899.45</v>
      </c>
      <c r="Y58" s="151"/>
      <c r="Z58" s="172"/>
    </row>
    <row r="59" spans="1:26" hidden="1" x14ac:dyDescent="0.2">
      <c r="A59" s="299" t="s">
        <v>398</v>
      </c>
      <c r="D59" s="389">
        <v>3829</v>
      </c>
      <c r="E59" s="390">
        <f>D59/$B$58</f>
        <v>0.43304700000000002</v>
      </c>
      <c r="F59" s="282"/>
      <c r="N59" s="322"/>
      <c r="O59" s="323"/>
      <c r="P59" s="324"/>
      <c r="Q59" s="325"/>
      <c r="V59" s="334"/>
      <c r="W59" s="336">
        <f t="shared" si="2"/>
        <v>0</v>
      </c>
    </row>
    <row r="60" spans="1:26" ht="13.5" hidden="1" thickBot="1" x14ac:dyDescent="0.25">
      <c r="A60" s="150" t="s">
        <v>403</v>
      </c>
      <c r="B60" s="173">
        <f>SUM(B25:B58)</f>
        <v>2296563</v>
      </c>
      <c r="C60" s="174">
        <f>SUM(C25:C58)</f>
        <v>0.99990000000000001</v>
      </c>
      <c r="D60" s="298">
        <f>SUM(D25:D59)</f>
        <v>2296563</v>
      </c>
      <c r="E60" s="297" t="s">
        <v>82</v>
      </c>
      <c r="F60" s="385">
        <f t="shared" ref="F60:P60" si="4">SUM(F25:F58)</f>
        <v>19987.27</v>
      </c>
      <c r="G60" s="175">
        <f t="shared" si="4"/>
        <v>1</v>
      </c>
      <c r="H60" s="175">
        <f t="shared" si="4"/>
        <v>1</v>
      </c>
      <c r="I60" s="164">
        <f t="shared" si="4"/>
        <v>2075070.21</v>
      </c>
      <c r="J60" s="176">
        <f t="shared" si="4"/>
        <v>4578.67</v>
      </c>
      <c r="K60" s="177">
        <f t="shared" si="4"/>
        <v>2070491.54</v>
      </c>
      <c r="L60" s="178">
        <f t="shared" si="4"/>
        <v>1</v>
      </c>
      <c r="M60" s="164">
        <f t="shared" si="4"/>
        <v>1957802.77</v>
      </c>
      <c r="N60" s="326">
        <f t="shared" si="4"/>
        <v>352633.43</v>
      </c>
      <c r="O60" s="327">
        <f t="shared" si="4"/>
        <v>1.0000009999999999</v>
      </c>
      <c r="P60" s="328">
        <f t="shared" si="4"/>
        <v>239944.66</v>
      </c>
      <c r="Q60" s="329">
        <f>N60-P60</f>
        <v>112688.77</v>
      </c>
      <c r="R60" s="179">
        <f>SUM(R25:R58)</f>
        <v>0.77642800000000001</v>
      </c>
      <c r="S60" s="179">
        <f>SUM(S25:S58)</f>
        <v>1</v>
      </c>
      <c r="T60" s="164">
        <f>SUM(T25:T58)</f>
        <v>112688.8</v>
      </c>
      <c r="U60" s="164">
        <f>SUM(U25:U58)</f>
        <v>2070491.56</v>
      </c>
      <c r="V60" s="335">
        <f>SUM(V25:V58)</f>
        <v>2070491.64</v>
      </c>
      <c r="W60" s="337">
        <f t="shared" si="2"/>
        <v>-0.08</v>
      </c>
      <c r="X60" s="162">
        <f>M60+T60</f>
        <v>2070491.57</v>
      </c>
      <c r="Y60" s="182">
        <f>C4</f>
        <v>2070491.56</v>
      </c>
      <c r="Z60" s="183">
        <f>X60-Y60</f>
        <v>0.01</v>
      </c>
    </row>
    <row r="61" spans="1:26" ht="13.5" hidden="1" thickTop="1" x14ac:dyDescent="0.2">
      <c r="G61" s="154"/>
      <c r="H61" s="180"/>
      <c r="I61" s="154"/>
      <c r="J61" s="152"/>
      <c r="K61" s="152"/>
      <c r="L61" s="181"/>
      <c r="M61" s="151"/>
      <c r="P61" t="s">
        <v>105</v>
      </c>
      <c r="Q61" s="162">
        <f>SUM(Q25:Q59)</f>
        <v>112688.87</v>
      </c>
      <c r="R61" s="151"/>
      <c r="S61" s="151"/>
      <c r="T61" s="151"/>
      <c r="U61" s="151"/>
      <c r="V61" s="154"/>
    </row>
    <row r="62" spans="1:26" hidden="1" x14ac:dyDescent="0.2">
      <c r="A62" t="s">
        <v>690</v>
      </c>
      <c r="L62"/>
    </row>
    <row r="63" spans="1:26" hidden="1" x14ac:dyDescent="0.2">
      <c r="A63" t="s">
        <v>692</v>
      </c>
      <c r="L63"/>
    </row>
    <row r="64" spans="1:26" hidden="1" x14ac:dyDescent="0.2">
      <c r="A64" t="s">
        <v>706</v>
      </c>
      <c r="L64"/>
    </row>
    <row r="65" spans="1:22" hidden="1" x14ac:dyDescent="0.2">
      <c r="A65" t="s">
        <v>691</v>
      </c>
      <c r="L65"/>
    </row>
    <row r="66" spans="1:22" hidden="1" x14ac:dyDescent="0.2">
      <c r="A66" t="s">
        <v>694</v>
      </c>
      <c r="L66"/>
    </row>
    <row r="67" spans="1:22" hidden="1" x14ac:dyDescent="0.2">
      <c r="L67"/>
    </row>
    <row r="68" spans="1:22" x14ac:dyDescent="0.2">
      <c r="A68" s="231" t="s">
        <v>427</v>
      </c>
      <c r="B68" s="20"/>
    </row>
    <row r="69" spans="1:22" x14ac:dyDescent="0.2">
      <c r="A69" s="232" t="str">
        <f>ReportMonth</f>
        <v>DECEMBER 2004</v>
      </c>
      <c r="B69" s="20"/>
    </row>
    <row r="70" spans="1:22" x14ac:dyDescent="0.2">
      <c r="A70" s="233" t="s">
        <v>108</v>
      </c>
      <c r="B70" s="20"/>
    </row>
    <row r="71" spans="1:22" x14ac:dyDescent="0.2">
      <c r="H71" s="300" t="s">
        <v>82</v>
      </c>
    </row>
    <row r="72" spans="1:22" x14ac:dyDescent="0.2">
      <c r="A72" s="416" t="s">
        <v>423</v>
      </c>
      <c r="B72" s="416"/>
      <c r="C72" s="416"/>
      <c r="D72" s="416"/>
      <c r="E72" s="416"/>
      <c r="F72" s="416"/>
      <c r="G72" s="416"/>
      <c r="H72" s="417" t="s">
        <v>642</v>
      </c>
      <c r="I72" s="417"/>
    </row>
    <row r="73" spans="1:22" x14ac:dyDescent="0.2">
      <c r="A73" s="408" t="s">
        <v>703</v>
      </c>
      <c r="B73" s="416"/>
      <c r="C73" s="416"/>
      <c r="D73" s="416"/>
      <c r="E73" s="416"/>
      <c r="F73" s="416"/>
      <c r="G73" s="416"/>
      <c r="H73" s="417"/>
      <c r="I73" s="417"/>
    </row>
    <row r="74" spans="1:22" x14ac:dyDescent="0.2">
      <c r="A74" s="408" t="s">
        <v>704</v>
      </c>
      <c r="B74" s="416"/>
      <c r="C74" s="416"/>
      <c r="D74" s="416"/>
      <c r="E74" s="416"/>
      <c r="F74" s="416"/>
      <c r="G74" s="416"/>
      <c r="H74" s="282"/>
    </row>
    <row r="75" spans="1:22" ht="41.25" customHeight="1" thickBot="1" x14ac:dyDescent="0.25">
      <c r="A75" s="145" t="s">
        <v>373</v>
      </c>
      <c r="B75" s="145" t="s">
        <v>374</v>
      </c>
      <c r="C75" s="213" t="s">
        <v>425</v>
      </c>
      <c r="D75" s="145" t="s">
        <v>424</v>
      </c>
      <c r="E75" s="187" t="s">
        <v>376</v>
      </c>
      <c r="F75" s="188" t="s">
        <v>377</v>
      </c>
      <c r="G75" s="146" t="s">
        <v>12</v>
      </c>
      <c r="H75" s="301" t="s">
        <v>643</v>
      </c>
      <c r="I75" s="302" t="s">
        <v>644</v>
      </c>
      <c r="J75" s="89"/>
      <c r="L75" s="89"/>
    </row>
    <row r="76" spans="1:22" ht="13.5" thickBot="1" x14ac:dyDescent="0.25">
      <c r="A76" t="s">
        <v>21</v>
      </c>
      <c r="C76" s="162">
        <f>D76+E76</f>
        <v>35638.019999999997</v>
      </c>
      <c r="D76" s="162">
        <f>H4</f>
        <v>91.57</v>
      </c>
      <c r="E76" s="229">
        <f>IF($C$4&gt;$C$2,V25,I4)</f>
        <v>35546.449999999997</v>
      </c>
      <c r="F76" s="392">
        <v>1</v>
      </c>
      <c r="G76" s="185">
        <f>$E$76*F76</f>
        <v>35546.449999999997</v>
      </c>
      <c r="H76" s="303">
        <f>+NETCAG1</f>
        <v>29869.84</v>
      </c>
      <c r="I76" s="304">
        <f>E25</f>
        <v>1</v>
      </c>
      <c r="L76"/>
    </row>
    <row r="77" spans="1:22" ht="13.5" thickTop="1" x14ac:dyDescent="0.2">
      <c r="A77" t="s">
        <v>22</v>
      </c>
      <c r="C77" s="162">
        <f>D77+E77</f>
        <v>54308.98</v>
      </c>
      <c r="D77" s="162">
        <f>H5</f>
        <v>77.84</v>
      </c>
      <c r="E77" s="229">
        <f>IF($C$4&gt;$C$2,V26,I5)</f>
        <v>54231.14</v>
      </c>
      <c r="F77" s="393">
        <v>0.87783</v>
      </c>
      <c r="G77" s="151">
        <f>$E$77*F77+V79</f>
        <v>47605.72</v>
      </c>
      <c r="H77" s="282">
        <f>+NETCHG1*I77</f>
        <v>4572.37</v>
      </c>
      <c r="I77" s="296">
        <f>E26</f>
        <v>0.67835599999999996</v>
      </c>
      <c r="L77"/>
      <c r="T77" s="151">
        <f>$E$77*F77</f>
        <v>47605.72</v>
      </c>
    </row>
    <row r="78" spans="1:22" x14ac:dyDescent="0.2">
      <c r="A78" s="89"/>
      <c r="B78" s="89" t="s">
        <v>378</v>
      </c>
      <c r="C78" s="89"/>
      <c r="D78" s="89"/>
      <c r="E78" s="229"/>
      <c r="F78" s="394">
        <v>0.12217</v>
      </c>
      <c r="G78" s="151">
        <f>$E$77*F78</f>
        <v>6625.42</v>
      </c>
      <c r="H78" s="282">
        <f>+NETCHG1*I78</f>
        <v>2168</v>
      </c>
      <c r="I78" s="296">
        <f>E27</f>
        <v>0.32164399999999999</v>
      </c>
      <c r="J78" s="89"/>
      <c r="K78" s="89"/>
      <c r="L78" s="89"/>
      <c r="T78" s="151">
        <f>$E$77*F78</f>
        <v>6625.42</v>
      </c>
    </row>
    <row r="79" spans="1:22" ht="13.5" thickBot="1" x14ac:dyDescent="0.25">
      <c r="E79" s="229"/>
      <c r="F79" s="395">
        <f>SUM(F77:F78)</f>
        <v>1</v>
      </c>
      <c r="G79" s="165">
        <f>SUM(G77:G78)</f>
        <v>54231.14</v>
      </c>
      <c r="H79" s="305">
        <f>SUM(H77:H78)</f>
        <v>6740.37</v>
      </c>
      <c r="I79" s="184">
        <f>SUM(I77:I78)</f>
        <v>1</v>
      </c>
      <c r="L79"/>
      <c r="T79" s="189">
        <f>SUM(T77:T78)</f>
        <v>54231.14</v>
      </c>
      <c r="U79" s="189">
        <f>E77</f>
        <v>54231.14</v>
      </c>
      <c r="V79" s="189">
        <f>U79-T79</f>
        <v>0</v>
      </c>
    </row>
    <row r="80" spans="1:22" ht="13.5" thickTop="1" x14ac:dyDescent="0.2">
      <c r="A80" t="s">
        <v>23</v>
      </c>
      <c r="C80" s="162">
        <f>D80+E80</f>
        <v>947329.57</v>
      </c>
      <c r="D80" s="162">
        <f>H6</f>
        <v>2504.5300000000002</v>
      </c>
      <c r="E80" s="229">
        <f>IF($C$4&gt;$C$2,V28,I6)</f>
        <v>944825.04</v>
      </c>
      <c r="F80" s="393">
        <v>0.60955999999999999</v>
      </c>
      <c r="G80" s="151">
        <f>$E$80*F80+V86</f>
        <v>575927.55000000005</v>
      </c>
      <c r="H80" s="282">
        <f t="shared" ref="H80:H85" si="5">+NETCLG1*I80</f>
        <v>261424.12</v>
      </c>
      <c r="I80" s="296">
        <f t="shared" ref="I80:I85" si="6">E28</f>
        <v>0.43180600000000002</v>
      </c>
      <c r="S80" s="162"/>
      <c r="T80" s="162">
        <f t="shared" ref="T80:T85" si="7">$E$80*F80</f>
        <v>575927.55000000005</v>
      </c>
    </row>
    <row r="81" spans="1:22" x14ac:dyDescent="0.2">
      <c r="B81" t="s">
        <v>379</v>
      </c>
      <c r="E81" s="220"/>
      <c r="F81" s="396">
        <v>1.362E-2</v>
      </c>
      <c r="G81" s="151">
        <f>$E$80*F81</f>
        <v>12868.52</v>
      </c>
      <c r="H81" s="282">
        <f t="shared" si="5"/>
        <v>5578.34</v>
      </c>
      <c r="I81" s="296">
        <f t="shared" si="6"/>
        <v>9.214E-3</v>
      </c>
      <c r="S81" s="162"/>
      <c r="T81" s="162">
        <f t="shared" si="7"/>
        <v>12868.52</v>
      </c>
    </row>
    <row r="82" spans="1:22" x14ac:dyDescent="0.2">
      <c r="B82" t="s">
        <v>380</v>
      </c>
      <c r="E82" s="220"/>
      <c r="F82" s="396">
        <v>9.1350000000000001E-2</v>
      </c>
      <c r="G82" s="151">
        <f>$E$80*F82</f>
        <v>86309.77</v>
      </c>
      <c r="H82" s="282">
        <f t="shared" si="5"/>
        <v>81226.820000000007</v>
      </c>
      <c r="I82" s="296">
        <f t="shared" si="6"/>
        <v>0.13416600000000001</v>
      </c>
      <c r="S82" s="162"/>
      <c r="T82" s="162">
        <f t="shared" si="7"/>
        <v>86309.77</v>
      </c>
    </row>
    <row r="83" spans="1:22" x14ac:dyDescent="0.2">
      <c r="B83" t="s">
        <v>381</v>
      </c>
      <c r="E83" s="220"/>
      <c r="F83" s="396">
        <v>0.21123</v>
      </c>
      <c r="G83" s="151">
        <f>$E$80*F83</f>
        <v>199575.39</v>
      </c>
      <c r="H83" s="282">
        <f t="shared" si="5"/>
        <v>197461.46</v>
      </c>
      <c r="I83" s="387">
        <f t="shared" si="6"/>
        <v>0.326156</v>
      </c>
      <c r="S83" s="162"/>
      <c r="T83" s="162">
        <f t="shared" si="7"/>
        <v>199575.39</v>
      </c>
    </row>
    <row r="84" spans="1:22" x14ac:dyDescent="0.2">
      <c r="B84" t="s">
        <v>382</v>
      </c>
      <c r="E84" s="220"/>
      <c r="F84" s="396">
        <v>5.8999999999999999E-3</v>
      </c>
      <c r="G84" s="151">
        <f>$E$80*F84</f>
        <v>5574.47</v>
      </c>
      <c r="H84" s="282">
        <f t="shared" si="5"/>
        <v>5190.2700000000004</v>
      </c>
      <c r="I84" s="296">
        <f t="shared" si="6"/>
        <v>8.5730000000000008E-3</v>
      </c>
      <c r="S84" s="162"/>
      <c r="T84" s="162">
        <f t="shared" si="7"/>
        <v>5574.47</v>
      </c>
    </row>
    <row r="85" spans="1:22" x14ac:dyDescent="0.2">
      <c r="B85" t="s">
        <v>383</v>
      </c>
      <c r="E85" s="220"/>
      <c r="F85" s="396">
        <v>6.8339999999999998E-2</v>
      </c>
      <c r="G85" s="151">
        <f>$E$80*F85</f>
        <v>64569.34</v>
      </c>
      <c r="H85" s="282">
        <f t="shared" si="5"/>
        <v>54539.29</v>
      </c>
      <c r="I85" s="296">
        <f t="shared" si="6"/>
        <v>9.0084999999999998E-2</v>
      </c>
      <c r="S85" s="162"/>
      <c r="T85" s="162">
        <f t="shared" si="7"/>
        <v>64569.34</v>
      </c>
    </row>
    <row r="86" spans="1:22" ht="13.5" thickBot="1" x14ac:dyDescent="0.25">
      <c r="E86" s="220"/>
      <c r="F86" s="395">
        <f>SUM(F80:F85)</f>
        <v>1</v>
      </c>
      <c r="G86" s="165">
        <f>SUM(G80:G85)</f>
        <v>944825.04</v>
      </c>
      <c r="H86" s="305">
        <f>SUM(H80:H85)</f>
        <v>605420.30000000005</v>
      </c>
      <c r="I86" s="184">
        <f>SUM(I80:I85)</f>
        <v>1</v>
      </c>
      <c r="S86" s="162"/>
      <c r="T86" s="189">
        <f>SUM(T80:T85)</f>
        <v>944825.04</v>
      </c>
      <c r="U86" s="165">
        <f>E80</f>
        <v>944825.04</v>
      </c>
      <c r="V86" s="165">
        <f>U86-T86</f>
        <v>0</v>
      </c>
    </row>
    <row r="87" spans="1:22" ht="14.25" thickTop="1" thickBot="1" x14ac:dyDescent="0.25">
      <c r="A87" t="s">
        <v>24</v>
      </c>
      <c r="C87" s="162">
        <f>D87+E87</f>
        <v>31784.83</v>
      </c>
      <c r="D87" s="162">
        <f>H7</f>
        <v>77.84</v>
      </c>
      <c r="E87" s="229">
        <f>IF($C$4&gt;$C$2,V34,I7)</f>
        <v>31706.99</v>
      </c>
      <c r="F87" s="397">
        <v>1</v>
      </c>
      <c r="G87" s="230">
        <f>$E$87*F87</f>
        <v>31706.99</v>
      </c>
      <c r="H87" s="303">
        <f>+NETDOG1</f>
        <v>20027.98</v>
      </c>
      <c r="I87" s="186">
        <f t="shared" ref="I87:I92" si="8">E34</f>
        <v>1</v>
      </c>
      <c r="L87"/>
    </row>
    <row r="88" spans="1:22" ht="13.5" thickTop="1" x14ac:dyDescent="0.2">
      <c r="A88" t="s">
        <v>25</v>
      </c>
      <c r="C88" s="162">
        <f>D88+E88</f>
        <v>127995.62</v>
      </c>
      <c r="D88" s="162">
        <f>H8</f>
        <v>151.1</v>
      </c>
      <c r="E88" s="229">
        <f>IF($C$4&gt;$C$2,V35,I8)</f>
        <v>127844.52</v>
      </c>
      <c r="F88" s="396">
        <v>0.77700000000000002</v>
      </c>
      <c r="G88" s="151">
        <f>$E$88*F88+V93</f>
        <v>99335.19</v>
      </c>
      <c r="H88" s="282">
        <f>+NETELG1*I88</f>
        <v>9724.24</v>
      </c>
      <c r="I88" s="296">
        <f t="shared" si="8"/>
        <v>0.46503699999999998</v>
      </c>
      <c r="L88"/>
      <c r="T88" s="162">
        <f>$E$88*F88</f>
        <v>99335.19</v>
      </c>
    </row>
    <row r="89" spans="1:22" x14ac:dyDescent="0.2">
      <c r="B89" t="s">
        <v>384</v>
      </c>
      <c r="E89" s="220"/>
      <c r="F89" s="396">
        <v>1.7850000000000001E-2</v>
      </c>
      <c r="G89" s="151">
        <f>$E$88*F89</f>
        <v>2282.02</v>
      </c>
      <c r="H89" s="282">
        <f>+NETELG1*I89</f>
        <v>933.58</v>
      </c>
      <c r="I89" s="296">
        <f t="shared" si="8"/>
        <v>4.4645999999999998E-2</v>
      </c>
      <c r="L89"/>
      <c r="T89" s="162">
        <f>$E$88*F89</f>
        <v>2282.02</v>
      </c>
    </row>
    <row r="90" spans="1:22" x14ac:dyDescent="0.2">
      <c r="B90" t="s">
        <v>140</v>
      </c>
      <c r="E90" s="220"/>
      <c r="F90" s="396">
        <v>0.15881999999999999</v>
      </c>
      <c r="G90" s="151">
        <f>$E$88*F90</f>
        <v>20304.27</v>
      </c>
      <c r="H90" s="282">
        <f>+NETELG1*I90</f>
        <v>7465.84</v>
      </c>
      <c r="I90" s="296">
        <f t="shared" si="8"/>
        <v>0.35703499999999999</v>
      </c>
      <c r="L90"/>
      <c r="T90" s="162">
        <f>$E$88*F90</f>
        <v>20304.27</v>
      </c>
    </row>
    <row r="91" spans="1:22" x14ac:dyDescent="0.2">
      <c r="B91" t="s">
        <v>385</v>
      </c>
      <c r="E91" s="220"/>
      <c r="F91" s="396">
        <v>1.4749999999999999E-2</v>
      </c>
      <c r="G91" s="151">
        <f>$E$88*F91</f>
        <v>1885.71</v>
      </c>
      <c r="H91" s="282">
        <f>+NETELG1*I91</f>
        <v>626.79999999999995</v>
      </c>
      <c r="I91" s="296">
        <f t="shared" si="8"/>
        <v>2.9975000000000002E-2</v>
      </c>
      <c r="L91"/>
      <c r="T91" s="162">
        <f>$E$88*F91</f>
        <v>1885.71</v>
      </c>
    </row>
    <row r="92" spans="1:22" x14ac:dyDescent="0.2">
      <c r="B92" t="s">
        <v>386</v>
      </c>
      <c r="E92" s="220"/>
      <c r="F92" s="396">
        <v>3.1579999999999997E-2</v>
      </c>
      <c r="G92" s="151">
        <f>$E$88*F92</f>
        <v>4037.33</v>
      </c>
      <c r="H92" s="282">
        <f>+NETELG1*I92</f>
        <v>2160.2199999999998</v>
      </c>
      <c r="I92" s="296">
        <f t="shared" si="8"/>
        <v>0.103307</v>
      </c>
      <c r="L92"/>
      <c r="T92" s="162">
        <f>$E$88*F92</f>
        <v>4037.33</v>
      </c>
    </row>
    <row r="93" spans="1:22" ht="13.5" thickBot="1" x14ac:dyDescent="0.25">
      <c r="E93" s="220"/>
      <c r="F93" s="395">
        <f>SUM(F88:F92)</f>
        <v>1</v>
      </c>
      <c r="G93" s="165">
        <f>SUM(G88:G92)</f>
        <v>127844.52</v>
      </c>
      <c r="H93" s="305">
        <f>SUM(H88:H92)</f>
        <v>20910.68</v>
      </c>
      <c r="I93" s="184">
        <f>SUM(I88:I92)</f>
        <v>1</v>
      </c>
      <c r="L93"/>
      <c r="T93" s="189">
        <f>SUM(T87:T92)</f>
        <v>127844.52</v>
      </c>
      <c r="U93" s="165">
        <f>E88</f>
        <v>127844.52</v>
      </c>
      <c r="V93" s="165">
        <f>U93-T93</f>
        <v>0</v>
      </c>
    </row>
    <row r="94" spans="1:22" ht="14.25" thickTop="1" thickBot="1" x14ac:dyDescent="0.25">
      <c r="A94" t="s">
        <v>26</v>
      </c>
      <c r="C94" s="162">
        <f>D94+E94</f>
        <v>29795.23</v>
      </c>
      <c r="D94" s="162">
        <f>H9</f>
        <v>36.630000000000003</v>
      </c>
      <c r="E94" s="229">
        <f>IF($C$4&gt;$C$2,V40,I9)</f>
        <v>29758.6</v>
      </c>
      <c r="F94" s="397">
        <v>1</v>
      </c>
      <c r="G94" s="230">
        <f>$E$94*F94</f>
        <v>29758.6</v>
      </c>
      <c r="H94" s="303">
        <f>+NETESG1</f>
        <v>117.3</v>
      </c>
      <c r="I94" s="309">
        <f>E40</f>
        <v>1</v>
      </c>
      <c r="L94"/>
    </row>
    <row r="95" spans="1:22" ht="14.25" thickTop="1" thickBot="1" x14ac:dyDescent="0.25">
      <c r="A95" t="s">
        <v>27</v>
      </c>
      <c r="C95" s="162">
        <f>D95+E95</f>
        <v>38054.629999999997</v>
      </c>
      <c r="D95" s="162">
        <f>H10</f>
        <v>73.260000000000005</v>
      </c>
      <c r="E95" s="229">
        <f>IF($C$4&gt;$C$2,V41,I10)</f>
        <v>37981.370000000003</v>
      </c>
      <c r="F95" s="397">
        <v>1</v>
      </c>
      <c r="G95" s="230">
        <f>$E$95*F95</f>
        <v>37981.370000000003</v>
      </c>
      <c r="H95" s="303">
        <f>+NETEUG1</f>
        <v>1100.83</v>
      </c>
      <c r="I95" s="184">
        <f>E41</f>
        <v>1</v>
      </c>
      <c r="L95"/>
    </row>
    <row r="96" spans="1:22" ht="13.5" thickTop="1" x14ac:dyDescent="0.2">
      <c r="A96" t="s">
        <v>28</v>
      </c>
      <c r="C96" s="162">
        <f>D96+E96</f>
        <v>76842.02</v>
      </c>
      <c r="D96" s="162">
        <f>H11</f>
        <v>96.15</v>
      </c>
      <c r="E96" s="229">
        <f>IF($C$4&gt;$C$2,V42,I11)</f>
        <v>76745.87</v>
      </c>
      <c r="F96" s="393">
        <v>0.84370999999999996</v>
      </c>
      <c r="G96" s="151">
        <f>$E$96*F96+V98</f>
        <v>64751.26</v>
      </c>
      <c r="H96" s="282">
        <f>+NETHUG1*I96</f>
        <v>3779.52</v>
      </c>
      <c r="I96" s="296">
        <f>E42</f>
        <v>0.55763499999999999</v>
      </c>
      <c r="L96"/>
      <c r="T96" s="162">
        <f>$E$96*F96</f>
        <v>64751.26</v>
      </c>
    </row>
    <row r="97" spans="1:22" x14ac:dyDescent="0.2">
      <c r="B97" t="s">
        <v>387</v>
      </c>
      <c r="E97" s="220"/>
      <c r="F97" s="398">
        <v>0.15629000000000001</v>
      </c>
      <c r="G97" s="151">
        <f>$E$96*F97</f>
        <v>11994.61</v>
      </c>
      <c r="H97" s="282">
        <f>+NETHUG1*I97</f>
        <v>2998.24</v>
      </c>
      <c r="I97" s="296">
        <f>E43</f>
        <v>0.44236500000000001</v>
      </c>
      <c r="L97"/>
      <c r="T97" s="162">
        <f>$E$96*F97</f>
        <v>11994.61</v>
      </c>
    </row>
    <row r="98" spans="1:22" ht="13.5" thickBot="1" x14ac:dyDescent="0.25">
      <c r="E98" s="220"/>
      <c r="F98" s="395">
        <f>SUM(F96:F97)</f>
        <v>1</v>
      </c>
      <c r="G98" s="165">
        <f>SUM(G96:G97)</f>
        <v>76745.87</v>
      </c>
      <c r="H98" s="305">
        <f>SUM(H96:H97)</f>
        <v>6777.76</v>
      </c>
      <c r="I98" s="184">
        <f>SUM(I96:I97)</f>
        <v>1</v>
      </c>
      <c r="L98"/>
      <c r="T98" s="189">
        <f>SUM(T96:T97)</f>
        <v>76745.87</v>
      </c>
      <c r="U98" s="165">
        <f>E96</f>
        <v>76745.87</v>
      </c>
      <c r="V98" s="165">
        <f>U98-T98</f>
        <v>0</v>
      </c>
    </row>
    <row r="99" spans="1:22" ht="14.25" thickTop="1" thickBot="1" x14ac:dyDescent="0.25">
      <c r="A99" t="s">
        <v>29</v>
      </c>
      <c r="C99" s="162">
        <f>D99+E99</f>
        <v>48649.66</v>
      </c>
      <c r="D99" s="162">
        <f>H12</f>
        <v>96.15</v>
      </c>
      <c r="E99" s="229">
        <f>IF($C$4&gt;$C$2,V44,I12)</f>
        <v>48553.51</v>
      </c>
      <c r="F99" s="397">
        <v>1</v>
      </c>
      <c r="G99" s="230">
        <f>$E$99*F99</f>
        <v>48553.51</v>
      </c>
      <c r="H99" s="306">
        <f>+NETLAG1</f>
        <v>2032.97</v>
      </c>
      <c r="I99" s="184">
        <f>E44</f>
        <v>1</v>
      </c>
      <c r="L99"/>
    </row>
    <row r="100" spans="1:22" ht="13.5" thickTop="1" x14ac:dyDescent="0.2">
      <c r="A100" t="s">
        <v>30</v>
      </c>
      <c r="C100" s="162">
        <f>D100+E100</f>
        <v>84723.6</v>
      </c>
      <c r="D100" s="162">
        <f>H13</f>
        <v>146.52000000000001</v>
      </c>
      <c r="E100" s="229">
        <f>IF($C$4&gt;$C$2,V45,I13)</f>
        <v>84577.08</v>
      </c>
      <c r="F100" s="396">
        <v>0.91505999999999998</v>
      </c>
      <c r="G100" s="151">
        <f>$E$100*F100+V102</f>
        <v>77393.100000000006</v>
      </c>
      <c r="H100" s="282">
        <f>+NETLIG1*I100</f>
        <v>1476.12</v>
      </c>
      <c r="I100" s="296">
        <f>E45</f>
        <v>0.68418199999999996</v>
      </c>
      <c r="L100"/>
      <c r="T100" s="162">
        <f>$E$100*F100</f>
        <v>77393.100000000006</v>
      </c>
    </row>
    <row r="101" spans="1:22" x14ac:dyDescent="0.2">
      <c r="B101" t="s">
        <v>389</v>
      </c>
      <c r="E101" s="220"/>
      <c r="F101" s="396">
        <v>8.4940000000000002E-2</v>
      </c>
      <c r="G101" s="151">
        <f>$E$100*F101</f>
        <v>7183.98</v>
      </c>
      <c r="H101" s="282">
        <f>+NETLIG1*I101</f>
        <v>681.38</v>
      </c>
      <c r="I101" s="296">
        <f>E46</f>
        <v>0.31581799999999999</v>
      </c>
      <c r="L101"/>
      <c r="T101" s="162">
        <f>$E$100*F101</f>
        <v>7183.98</v>
      </c>
    </row>
    <row r="102" spans="1:22" ht="13.5" thickBot="1" x14ac:dyDescent="0.25">
      <c r="E102" s="220"/>
      <c r="F102" s="395">
        <f>SUM(F100:F101)</f>
        <v>1</v>
      </c>
      <c r="G102" s="165">
        <f>SUM(G100:G101)</f>
        <v>84577.08</v>
      </c>
      <c r="H102" s="305">
        <f>SUM(H100:H101)</f>
        <v>2157.5</v>
      </c>
      <c r="I102" s="184">
        <f>SUM(I100:I101)</f>
        <v>1</v>
      </c>
      <c r="L102"/>
      <c r="T102" s="189">
        <f>SUM(T100:T101)</f>
        <v>84577.08</v>
      </c>
      <c r="U102" s="165">
        <f>E100</f>
        <v>84577.08</v>
      </c>
      <c r="V102" s="165">
        <f>U102-T102</f>
        <v>0</v>
      </c>
    </row>
    <row r="103" spans="1:22" ht="13.5" thickTop="1" x14ac:dyDescent="0.2">
      <c r="A103" t="s">
        <v>31</v>
      </c>
      <c r="C103" s="162">
        <f>D103+E103</f>
        <v>39500.239999999998</v>
      </c>
      <c r="D103" s="162">
        <f>H14</f>
        <v>96.15</v>
      </c>
      <c r="E103" s="229">
        <f>IF($C$4&gt;$C$2,V47,I14)</f>
        <v>39404.089999999997</v>
      </c>
      <c r="F103" s="396">
        <v>0.81371000000000004</v>
      </c>
      <c r="G103" s="151">
        <f>$E$103*F103+V106</f>
        <v>32063.5</v>
      </c>
      <c r="H103" s="282">
        <f>+NETLYG1*I103</f>
        <v>9254.2800000000007</v>
      </c>
      <c r="I103" s="296">
        <f>E47</f>
        <v>0.64552399999999999</v>
      </c>
      <c r="L103"/>
      <c r="T103" s="162">
        <f>$E$103*F103</f>
        <v>32063.5</v>
      </c>
    </row>
    <row r="104" spans="1:22" x14ac:dyDescent="0.2">
      <c r="B104" t="s">
        <v>391</v>
      </c>
      <c r="E104" s="147" t="s">
        <v>82</v>
      </c>
      <c r="F104" s="394">
        <v>0.13793</v>
      </c>
      <c r="G104" s="151">
        <f>$E$103*F104</f>
        <v>5435.01</v>
      </c>
      <c r="H104" s="282">
        <f>+NETLYG1*I104</f>
        <v>4073.08</v>
      </c>
      <c r="I104" s="296">
        <f>E48</f>
        <v>0.28411399999999998</v>
      </c>
      <c r="L104"/>
      <c r="T104" s="162">
        <f>$E$103*F104</f>
        <v>5435.01</v>
      </c>
    </row>
    <row r="105" spans="1:22" x14ac:dyDescent="0.2">
      <c r="B105" t="s">
        <v>390</v>
      </c>
      <c r="E105" s="220"/>
      <c r="F105" s="396">
        <v>4.836E-2</v>
      </c>
      <c r="G105" s="151">
        <f>$E$103*F105</f>
        <v>1905.58</v>
      </c>
      <c r="H105" s="282">
        <f>+NETLYG1*I105</f>
        <v>1008.71</v>
      </c>
      <c r="I105" s="296">
        <f>E49</f>
        <v>7.0361999999999994E-2</v>
      </c>
      <c r="L105"/>
      <c r="T105" s="162">
        <f>$E$103*F105</f>
        <v>1905.58</v>
      </c>
    </row>
    <row r="106" spans="1:22" ht="13.5" thickBot="1" x14ac:dyDescent="0.25">
      <c r="E106" s="220"/>
      <c r="F106" s="395">
        <v>1</v>
      </c>
      <c r="G106" s="165">
        <f>SUM(G103:G105)</f>
        <v>39404.089999999997</v>
      </c>
      <c r="H106" s="305">
        <f>SUM(H103:H105)</f>
        <v>14336.07</v>
      </c>
      <c r="I106" s="184">
        <f>SUM(I103:I105)</f>
        <v>1</v>
      </c>
      <c r="L106"/>
      <c r="T106" s="189">
        <f>SUM(T103:T105)</f>
        <v>39404.089999999997</v>
      </c>
      <c r="U106" s="165">
        <f>E103</f>
        <v>39404.089999999997</v>
      </c>
      <c r="V106" s="165">
        <f>U106-T106</f>
        <v>0</v>
      </c>
    </row>
    <row r="107" spans="1:22" ht="14.25" thickTop="1" thickBot="1" x14ac:dyDescent="0.25">
      <c r="A107" t="s">
        <v>32</v>
      </c>
      <c r="C107" s="162">
        <f>D107+E107</f>
        <v>27441.29</v>
      </c>
      <c r="D107" s="162">
        <f>H15</f>
        <v>32.049999999999997</v>
      </c>
      <c r="E107" s="229">
        <f>IF($C$4&gt;$C$2,V50,I15)</f>
        <v>27409.24</v>
      </c>
      <c r="F107" s="397">
        <v>1</v>
      </c>
      <c r="G107" s="230">
        <f>E107*F107</f>
        <v>27409.24</v>
      </c>
      <c r="H107" s="307">
        <f>+NETMIG1</f>
        <v>1971.79</v>
      </c>
      <c r="I107" s="184">
        <f>E50</f>
        <v>1</v>
      </c>
      <c r="L107"/>
    </row>
    <row r="108" spans="1:22" ht="14.25" thickTop="1" thickBot="1" x14ac:dyDescent="0.25">
      <c r="A108" t="s">
        <v>33</v>
      </c>
      <c r="C108" s="162">
        <f>D108+E108</f>
        <v>132749.29</v>
      </c>
      <c r="D108" s="162">
        <f>H16</f>
        <v>206.04</v>
      </c>
      <c r="E108" s="229">
        <f>IF($C$4&gt;$C$2,V51,I16)</f>
        <v>132543.25</v>
      </c>
      <c r="F108" s="397">
        <v>1</v>
      </c>
      <c r="G108" s="230">
        <f>E108*F108</f>
        <v>132543.25</v>
      </c>
      <c r="H108" s="303">
        <f>+NETNYG1</f>
        <v>16919.47</v>
      </c>
      <c r="I108" s="184">
        <f>E51</f>
        <v>1</v>
      </c>
      <c r="L108"/>
    </row>
    <row r="109" spans="1:22" ht="13.5" thickTop="1" x14ac:dyDescent="0.2">
      <c r="A109" t="s">
        <v>34</v>
      </c>
      <c r="C109" s="162">
        <f>D109+E109</f>
        <v>60150.6</v>
      </c>
      <c r="D109" s="162">
        <f>H17</f>
        <v>151.1</v>
      </c>
      <c r="E109" s="229">
        <f>IF($C$4&gt;$C$2,V52,I17)</f>
        <v>59999.5</v>
      </c>
      <c r="F109" s="396">
        <v>0.89515999999999996</v>
      </c>
      <c r="G109" s="151">
        <f>E109*F109+V109</f>
        <v>53709.15</v>
      </c>
      <c r="H109" s="282">
        <f>+NETPEG1*I109</f>
        <v>1001.54</v>
      </c>
      <c r="I109" s="296">
        <f>E52</f>
        <v>0.65480099999999997</v>
      </c>
      <c r="L109"/>
      <c r="T109" s="162">
        <f>$E$109*F109</f>
        <v>53709.15</v>
      </c>
    </row>
    <row r="110" spans="1:22" x14ac:dyDescent="0.2">
      <c r="B110" t="s">
        <v>395</v>
      </c>
      <c r="E110" s="220"/>
      <c r="F110" s="396">
        <v>0.10484</v>
      </c>
      <c r="G110" s="151">
        <f>E109*F110</f>
        <v>6290.35</v>
      </c>
      <c r="H110" s="282">
        <f>+NETPEG1*I110</f>
        <v>528</v>
      </c>
      <c r="I110" s="296">
        <f>E53</f>
        <v>0.34519899999999998</v>
      </c>
      <c r="L110"/>
      <c r="T110" s="162">
        <f>$E$109*F110</f>
        <v>6290.35</v>
      </c>
    </row>
    <row r="111" spans="1:22" ht="13.5" thickBot="1" x14ac:dyDescent="0.25">
      <c r="E111" s="220"/>
      <c r="F111" s="395">
        <f>SUM(F109:F110)</f>
        <v>1</v>
      </c>
      <c r="G111" s="165">
        <f>SUM(G109:G110)</f>
        <v>59999.5</v>
      </c>
      <c r="H111" s="305">
        <f>SUM(H109:H110)</f>
        <v>1529.54</v>
      </c>
      <c r="I111" s="184">
        <f>SUM(I109:I110)</f>
        <v>1</v>
      </c>
      <c r="L111"/>
      <c r="T111" s="189">
        <f>SUM(T109:T110)</f>
        <v>59999.5</v>
      </c>
      <c r="U111" s="165">
        <f>E109</f>
        <v>59999.5</v>
      </c>
      <c r="V111" s="165">
        <f>U111-T111</f>
        <v>0</v>
      </c>
    </row>
    <row r="112" spans="1:22" ht="14.25" thickTop="1" thickBot="1" x14ac:dyDescent="0.25">
      <c r="A112" t="s">
        <v>35</v>
      </c>
      <c r="C112" s="162">
        <f>D112+E112</f>
        <v>4316.33</v>
      </c>
      <c r="D112" s="162">
        <f>H18</f>
        <v>9.16</v>
      </c>
      <c r="E112" s="229">
        <f>IF($C$4&gt;$C$2,V54,I18)</f>
        <v>4307.17</v>
      </c>
      <c r="F112" s="397">
        <v>1</v>
      </c>
      <c r="G112" s="230">
        <f>$E$112*F112</f>
        <v>4307.17</v>
      </c>
      <c r="H112" s="306">
        <f>+NETSTG1</f>
        <v>288.16000000000003</v>
      </c>
      <c r="I112" s="184">
        <f>E54</f>
        <v>1</v>
      </c>
      <c r="L112"/>
    </row>
    <row r="113" spans="1:22" ht="13.5" thickTop="1" x14ac:dyDescent="0.2">
      <c r="A113" t="s">
        <v>36</v>
      </c>
      <c r="C113" s="162">
        <f>D113+E113</f>
        <v>256794.8</v>
      </c>
      <c r="D113" s="162">
        <f>H19</f>
        <v>636.42999999999995</v>
      </c>
      <c r="E113" s="229">
        <f>IF($C$4&gt;$C$2,V55,I19)</f>
        <v>256158.37</v>
      </c>
      <c r="F113" s="396">
        <v>0.57259000000000004</v>
      </c>
      <c r="G113" s="151">
        <f>$E$113*F113+V116</f>
        <v>146673.72</v>
      </c>
      <c r="H113" s="282">
        <f>+NETWAG1*I113</f>
        <v>41450.78</v>
      </c>
      <c r="I113" s="296">
        <f>E55</f>
        <v>0.26544000000000001</v>
      </c>
      <c r="L113"/>
      <c r="T113" s="162">
        <f>$E$113*F113</f>
        <v>146673.72</v>
      </c>
    </row>
    <row r="114" spans="1:22" x14ac:dyDescent="0.2">
      <c r="B114" t="s">
        <v>396</v>
      </c>
      <c r="E114" s="220"/>
      <c r="F114" s="396">
        <v>0.30774000000000001</v>
      </c>
      <c r="G114" s="151">
        <f>$E$113*F114</f>
        <v>78830.179999999993</v>
      </c>
      <c r="H114" s="282">
        <f>+NETWAG1*I114</f>
        <v>81891.210000000006</v>
      </c>
      <c r="I114" s="296">
        <f>E56</f>
        <v>0.52441000000000004</v>
      </c>
      <c r="L114"/>
      <c r="T114" s="162">
        <f>$E$113*F114</f>
        <v>78830.179999999993</v>
      </c>
    </row>
    <row r="115" spans="1:22" x14ac:dyDescent="0.2">
      <c r="B115" t="s">
        <v>397</v>
      </c>
      <c r="E115" s="220"/>
      <c r="F115" s="394">
        <v>0.11967</v>
      </c>
      <c r="G115" s="151">
        <f>$E$113*F115</f>
        <v>30654.47</v>
      </c>
      <c r="H115" s="282">
        <f>+NETWAG1*I115</f>
        <v>32816.76</v>
      </c>
      <c r="I115" s="296">
        <f>E57</f>
        <v>0.21015</v>
      </c>
      <c r="L115"/>
      <c r="T115" s="162">
        <f>$E$113*F115</f>
        <v>30654.47</v>
      </c>
    </row>
    <row r="116" spans="1:22" ht="13.5" thickBot="1" x14ac:dyDescent="0.25">
      <c r="E116" s="220"/>
      <c r="F116" s="395">
        <f>SUM(F113:F115)</f>
        <v>1</v>
      </c>
      <c r="G116" s="165">
        <f>SUM(G113:G115)</f>
        <v>256158.37</v>
      </c>
      <c r="H116" s="305">
        <f>SUM(H113:H115)</f>
        <v>156158.75</v>
      </c>
      <c r="I116" s="184">
        <f>SUM(I113:I115)</f>
        <v>1</v>
      </c>
      <c r="L116"/>
      <c r="T116" s="189">
        <f>SUM(T113:T115)</f>
        <v>256158.37</v>
      </c>
      <c r="U116" s="165">
        <f>E113</f>
        <v>256158.37</v>
      </c>
      <c r="V116" s="165">
        <f>U116-T116</f>
        <v>0</v>
      </c>
    </row>
    <row r="117" spans="1:22" ht="13.5" thickTop="1" x14ac:dyDescent="0.2">
      <c r="A117" t="s">
        <v>37</v>
      </c>
      <c r="C117" s="162">
        <f>D117+E117</f>
        <v>78995.600000000006</v>
      </c>
      <c r="D117" s="162">
        <f>H20</f>
        <v>96.15</v>
      </c>
      <c r="E117" s="229">
        <f>IF($C$4&gt;$C$2,V58,I20)</f>
        <v>78899.45</v>
      </c>
      <c r="F117" s="396">
        <v>0.86990000000000001</v>
      </c>
      <c r="G117" s="151">
        <f>$E$117*F117+V119</f>
        <v>68634.63</v>
      </c>
      <c r="H117" s="282">
        <f>+NETWHG1*I117</f>
        <v>3934.9</v>
      </c>
      <c r="I117" s="296">
        <f>E58</f>
        <v>0.56695300000000004</v>
      </c>
      <c r="L117"/>
      <c r="T117" s="162">
        <f>$E$117*F117</f>
        <v>68634.63</v>
      </c>
    </row>
    <row r="118" spans="1:22" x14ac:dyDescent="0.2">
      <c r="B118" t="s">
        <v>398</v>
      </c>
      <c r="E118" s="220"/>
      <c r="F118" s="396">
        <v>0.13009999999999999</v>
      </c>
      <c r="G118" s="151">
        <f>$E$117*F118</f>
        <v>10264.82</v>
      </c>
      <c r="H118" s="282">
        <f>+NETWHG1*I118</f>
        <v>3005.53</v>
      </c>
      <c r="I118" s="296">
        <f>E59</f>
        <v>0.43304700000000002</v>
      </c>
      <c r="L118"/>
      <c r="T118" s="162">
        <f>$E$117*F118</f>
        <v>10264.82</v>
      </c>
    </row>
    <row r="119" spans="1:22" ht="13.5" thickBot="1" x14ac:dyDescent="0.25">
      <c r="E119" s="220"/>
      <c r="F119" s="395">
        <f>+F117+F118</f>
        <v>1</v>
      </c>
      <c r="I119" s="184">
        <f>SUM(I117:I118)</f>
        <v>1</v>
      </c>
      <c r="L119"/>
      <c r="T119" s="189">
        <f>SUM(T117:T118)</f>
        <v>78899.45</v>
      </c>
      <c r="U119" s="165">
        <f>E117</f>
        <v>78899.45</v>
      </c>
      <c r="V119" s="165">
        <f>U119-T119</f>
        <v>0</v>
      </c>
    </row>
    <row r="120" spans="1:22" ht="14.25" thickTop="1" thickBot="1" x14ac:dyDescent="0.25">
      <c r="A120" s="234" t="s">
        <v>250</v>
      </c>
      <c r="B120" s="234"/>
      <c r="C120" s="176">
        <f>SUM(C76:C119)</f>
        <v>2075070.31</v>
      </c>
      <c r="D120" s="176">
        <f>SUM(D76:D119)</f>
        <v>4578.67</v>
      </c>
      <c r="E120" s="176">
        <f>SUM(E76:E119)</f>
        <v>2070491.64</v>
      </c>
      <c r="F120" s="399" t="s">
        <v>82</v>
      </c>
      <c r="G120" s="165">
        <f>SUM(G117:G118)</f>
        <v>78899.45</v>
      </c>
      <c r="H120" s="305">
        <f>SUM(H117:H118)</f>
        <v>6940.43</v>
      </c>
      <c r="I120" s="308" t="s">
        <v>82</v>
      </c>
      <c r="L120"/>
    </row>
    <row r="121" spans="1:22" ht="13.5" hidden="1" thickTop="1" x14ac:dyDescent="0.2">
      <c r="C121" s="11">
        <f>'s3, s3b, s3d'!J9</f>
        <v>2075070.23</v>
      </c>
      <c r="G121" s="162">
        <f>G120+G116+G112+G111+G108+G107+G106+G102+G99+G98+G95+G94+G93+G87+G86+G79+G76</f>
        <v>2070491.64</v>
      </c>
      <c r="H121" s="162">
        <f>H120+H116+H112+H111+H108+H107+H106+H102+H99+H98+H95+H94+H93+H87+H86+H79+H76</f>
        <v>893299.74</v>
      </c>
      <c r="L121"/>
    </row>
    <row r="122" spans="1:22" hidden="1" x14ac:dyDescent="0.2">
      <c r="A122" t="s">
        <v>705</v>
      </c>
      <c r="H122" s="151"/>
      <c r="L122"/>
    </row>
    <row r="123" spans="1:22" hidden="1" x14ac:dyDescent="0.2">
      <c r="H123" s="151"/>
      <c r="L123"/>
    </row>
    <row r="124" spans="1:22" hidden="1" x14ac:dyDescent="0.2">
      <c r="H124" s="151"/>
      <c r="L124"/>
    </row>
    <row r="125" spans="1:22" hidden="1" x14ac:dyDescent="0.2">
      <c r="H125" s="151"/>
      <c r="L125"/>
    </row>
    <row r="126" spans="1:22" ht="13.5" thickTop="1" x14ac:dyDescent="0.2">
      <c r="H126" s="151"/>
      <c r="L126"/>
    </row>
    <row r="127" spans="1:22" x14ac:dyDescent="0.2">
      <c r="H127" s="151"/>
      <c r="L127"/>
    </row>
    <row r="128" spans="1:22" x14ac:dyDescent="0.2">
      <c r="H128" s="151"/>
      <c r="L128"/>
    </row>
    <row r="129" spans="8:12" x14ac:dyDescent="0.2">
      <c r="H129" s="151"/>
      <c r="L129"/>
    </row>
    <row r="130" spans="8:12" x14ac:dyDescent="0.2">
      <c r="H130" s="151"/>
      <c r="L130"/>
    </row>
    <row r="131" spans="8:12" x14ac:dyDescent="0.2">
      <c r="H131" s="151"/>
      <c r="L131"/>
    </row>
    <row r="132" spans="8:12" x14ac:dyDescent="0.2">
      <c r="H132" s="151"/>
      <c r="L132"/>
    </row>
    <row r="133" spans="8:12" x14ac:dyDescent="0.2">
      <c r="H133" s="151"/>
      <c r="L133"/>
    </row>
    <row r="134" spans="8:12" x14ac:dyDescent="0.2">
      <c r="H134" s="151"/>
      <c r="L134"/>
    </row>
    <row r="135" spans="8:12" x14ac:dyDescent="0.2">
      <c r="H135" s="151"/>
      <c r="L135"/>
    </row>
    <row r="136" spans="8:12" x14ac:dyDescent="0.2">
      <c r="L136"/>
    </row>
    <row r="137" spans="8:12" x14ac:dyDescent="0.2">
      <c r="L137"/>
    </row>
    <row r="138" spans="8:12" x14ac:dyDescent="0.2">
      <c r="L138"/>
    </row>
    <row r="139" spans="8:12" x14ac:dyDescent="0.2">
      <c r="L139"/>
    </row>
    <row r="140" spans="8:12" x14ac:dyDescent="0.2">
      <c r="L140"/>
    </row>
    <row r="141" spans="8:12" x14ac:dyDescent="0.2">
      <c r="L141"/>
    </row>
    <row r="142" spans="8:12" x14ac:dyDescent="0.2">
      <c r="L142"/>
    </row>
    <row r="143" spans="8:12" x14ac:dyDescent="0.2">
      <c r="L143"/>
    </row>
    <row r="144" spans="8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</sheetData>
  <mergeCells count="7">
    <mergeCell ref="A74:G74"/>
    <mergeCell ref="N23:Q23"/>
    <mergeCell ref="A22:E22"/>
    <mergeCell ref="A23:B23"/>
    <mergeCell ref="A72:G72"/>
    <mergeCell ref="H72:I73"/>
    <mergeCell ref="A73:G73"/>
  </mergeCells>
  <phoneticPr fontId="0" type="noConversion"/>
  <printOptions horizontalCentered="1" verticalCentered="1"/>
  <pageMargins left="0.75" right="0.33" top="0.25" bottom="0.25" header="0.5" footer="0.5"/>
  <pageSetup scale="80" fitToHeight="32" orientation="landscape" r:id="rId1"/>
  <headerFooter alignWithMargins="0"/>
  <rowBreaks count="1" manualBreakCount="1">
    <brk id="67" max="16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58"/>
  <sheetViews>
    <sheetView tabSelected="1" workbookViewId="0">
      <pane xSplit="1" ySplit="7" topLeftCell="B35" activePane="bottomRight" state="frozen"/>
      <selection pane="topRight" activeCell="B1" sqref="B1"/>
      <selection pane="bottomLeft" activeCell="A8" sqref="A8"/>
      <selection pane="bottomRight" activeCell="D53" sqref="D53"/>
    </sheetView>
  </sheetViews>
  <sheetFormatPr defaultRowHeight="12.75" x14ac:dyDescent="0.2"/>
  <cols>
    <col min="1" max="1" width="24.140625" customWidth="1"/>
    <col min="2" max="3" width="16.140625" customWidth="1"/>
    <col min="4" max="4" width="16.140625" style="294" customWidth="1"/>
    <col min="5" max="6" width="16.140625" customWidth="1"/>
    <col min="7" max="7" width="18.7109375" customWidth="1"/>
  </cols>
  <sheetData>
    <row r="1" spans="1:7" ht="15.75" x14ac:dyDescent="0.25">
      <c r="A1" s="63" t="s">
        <v>161</v>
      </c>
      <c r="B1" s="63"/>
      <c r="D1" s="291"/>
      <c r="E1" s="1"/>
      <c r="F1" s="1"/>
      <c r="G1" s="1"/>
    </row>
    <row r="2" spans="1:7" ht="15.75" x14ac:dyDescent="0.25">
      <c r="A2" s="117" t="str">
        <f>ReportMonth</f>
        <v>DECEMBER 2004</v>
      </c>
      <c r="B2" s="63"/>
      <c r="C2" s="63"/>
      <c r="D2" s="291"/>
      <c r="E2" s="1"/>
      <c r="F2" s="1"/>
      <c r="G2" s="1"/>
    </row>
    <row r="3" spans="1:7" ht="15.75" x14ac:dyDescent="0.25">
      <c r="A3" s="66" t="s">
        <v>162</v>
      </c>
      <c r="B3" s="66"/>
      <c r="C3" s="66"/>
      <c r="D3" s="292"/>
      <c r="E3" s="42"/>
      <c r="F3" s="42"/>
      <c r="G3" s="42"/>
    </row>
    <row r="4" spans="1:7" ht="19.5" customHeight="1" x14ac:dyDescent="0.25">
      <c r="A4" s="64"/>
      <c r="B4" s="63"/>
      <c r="C4" s="63"/>
      <c r="D4" s="291"/>
      <c r="E4" s="1"/>
      <c r="F4" s="1"/>
      <c r="G4" s="1"/>
    </row>
    <row r="5" spans="1:7" ht="13.5" customHeight="1" x14ac:dyDescent="0.25">
      <c r="A5" s="64"/>
      <c r="B5" s="63"/>
      <c r="C5" s="63"/>
      <c r="D5" s="291"/>
      <c r="E5" s="1"/>
      <c r="F5" s="1"/>
      <c r="G5" s="1"/>
    </row>
    <row r="6" spans="1:7" x14ac:dyDescent="0.2">
      <c r="A6" s="1"/>
      <c r="B6" s="1"/>
      <c r="C6" s="120" t="s">
        <v>163</v>
      </c>
      <c r="D6" s="264" t="s">
        <v>117</v>
      </c>
      <c r="E6" s="120" t="s">
        <v>164</v>
      </c>
      <c r="F6" s="120" t="s">
        <v>117</v>
      </c>
      <c r="G6" s="1"/>
    </row>
    <row r="7" spans="1:7" x14ac:dyDescent="0.2">
      <c r="A7" s="1"/>
      <c r="B7" s="98" t="s">
        <v>165</v>
      </c>
      <c r="C7" s="98" t="s">
        <v>166</v>
      </c>
      <c r="D7" s="265" t="s">
        <v>167</v>
      </c>
      <c r="E7" s="98" t="s">
        <v>168</v>
      </c>
      <c r="F7" s="98" t="s">
        <v>169</v>
      </c>
      <c r="G7" s="98" t="s">
        <v>170</v>
      </c>
    </row>
    <row r="8" spans="1:7" ht="26.25" customHeight="1" x14ac:dyDescent="0.2">
      <c r="A8" s="1" t="s">
        <v>171</v>
      </c>
      <c r="B8" s="2">
        <f>ST12.65</f>
        <v>11356050.460000001</v>
      </c>
      <c r="C8" s="2">
        <v>138687.82999999999</v>
      </c>
      <c r="D8" s="266">
        <v>24646.86</v>
      </c>
      <c r="E8" s="1"/>
      <c r="F8" s="1"/>
      <c r="G8" s="9">
        <f>B8-C8-D8-E8-F8</f>
        <v>11192715.77</v>
      </c>
    </row>
    <row r="9" spans="1:7" x14ac:dyDescent="0.2">
      <c r="A9" s="1" t="s">
        <v>172</v>
      </c>
      <c r="B9" s="2">
        <f>_ST5</f>
        <v>4487480.63</v>
      </c>
      <c r="C9" s="2">
        <v>54803.99</v>
      </c>
      <c r="D9" s="266">
        <v>9741.84</v>
      </c>
      <c r="E9" s="1"/>
      <c r="F9" s="1"/>
      <c r="G9" s="9">
        <f>B9-C9-D9-E9-F9</f>
        <v>4422934.8</v>
      </c>
    </row>
    <row r="10" spans="1:7" x14ac:dyDescent="0.2">
      <c r="A10" s="1" t="s">
        <v>173</v>
      </c>
      <c r="B10" s="2">
        <f>ST5.35</f>
        <v>4798880.7300000004</v>
      </c>
      <c r="C10" s="2">
        <v>58606.9</v>
      </c>
      <c r="D10" s="266">
        <v>10423.74</v>
      </c>
      <c r="E10" s="1"/>
      <c r="F10" s="2">
        <v>16174.16</v>
      </c>
      <c r="G10" s="9">
        <f t="shared" ref="G10:G52" si="0">B10-C10-D10-E10-F10</f>
        <v>4713675.93</v>
      </c>
    </row>
    <row r="11" spans="1:7" x14ac:dyDescent="0.2">
      <c r="A11" s="3" t="s">
        <v>343</v>
      </c>
      <c r="B11" s="2">
        <f>AVGAS10.5</f>
        <v>3414.07</v>
      </c>
      <c r="C11" s="2"/>
      <c r="D11" s="266"/>
      <c r="E11" s="2">
        <f>AVGAS10.5</f>
        <v>3414.07</v>
      </c>
      <c r="F11" s="1"/>
      <c r="G11" s="9">
        <f t="shared" si="0"/>
        <v>0</v>
      </c>
    </row>
    <row r="12" spans="1:7" x14ac:dyDescent="0.2">
      <c r="A12" s="3" t="s">
        <v>344</v>
      </c>
      <c r="B12" s="2">
        <f>AV_OPT</f>
        <v>1653.52</v>
      </c>
      <c r="C12" s="2"/>
      <c r="D12" s="266"/>
      <c r="E12" s="2"/>
      <c r="F12" s="1"/>
      <c r="G12" s="9">
        <f t="shared" si="0"/>
        <v>1653.52</v>
      </c>
    </row>
    <row r="13" spans="1:7" x14ac:dyDescent="0.2">
      <c r="A13" s="1" t="s">
        <v>174</v>
      </c>
      <c r="B13" s="2">
        <f>_JET1</f>
        <v>390711.54</v>
      </c>
      <c r="C13" s="2"/>
      <c r="D13" s="266"/>
      <c r="E13" s="1"/>
      <c r="F13" s="1"/>
      <c r="G13" s="9">
        <f t="shared" si="0"/>
        <v>390711.54</v>
      </c>
    </row>
    <row r="14" spans="1:7" x14ac:dyDescent="0.2">
      <c r="A14" s="1" t="s">
        <v>175</v>
      </c>
      <c r="B14" s="2">
        <f>_JET2</f>
        <v>739017.73</v>
      </c>
      <c r="C14" s="2"/>
      <c r="D14" s="266"/>
      <c r="E14" s="1"/>
      <c r="F14" s="1"/>
      <c r="G14" s="9">
        <f t="shared" si="0"/>
        <v>739017.73</v>
      </c>
    </row>
    <row r="15" spans="1:7" x14ac:dyDescent="0.2">
      <c r="A15" s="1" t="s">
        <v>176</v>
      </c>
      <c r="B15" s="2">
        <f>CAG</f>
        <v>268828.48</v>
      </c>
      <c r="C15" s="2"/>
      <c r="D15" s="266">
        <v>0</v>
      </c>
      <c r="E15" s="1"/>
      <c r="F15" s="2">
        <f>B15*0.005</f>
        <v>1344.14</v>
      </c>
      <c r="G15" s="9">
        <f t="shared" si="0"/>
        <v>267484.34000000003</v>
      </c>
    </row>
    <row r="16" spans="1:7" x14ac:dyDescent="0.2">
      <c r="A16" s="1" t="s">
        <v>177</v>
      </c>
      <c r="B16" s="2">
        <f>_CAG1</f>
        <v>29869.84</v>
      </c>
      <c r="C16" s="2"/>
      <c r="D16" s="266">
        <v>0</v>
      </c>
      <c r="E16" s="1"/>
      <c r="F16" s="2">
        <v>0</v>
      </c>
      <c r="G16" s="9">
        <f t="shared" si="0"/>
        <v>29869.84</v>
      </c>
    </row>
    <row r="17" spans="1:7" x14ac:dyDescent="0.2">
      <c r="A17" s="1" t="s">
        <v>365</v>
      </c>
      <c r="B17" s="2">
        <f>CHG</f>
        <v>62426.28</v>
      </c>
      <c r="C17" s="2"/>
      <c r="D17" s="266">
        <v>1762.86</v>
      </c>
      <c r="E17" s="1"/>
      <c r="F17" s="2">
        <f>B17*0.005</f>
        <v>312.13</v>
      </c>
      <c r="G17" s="9">
        <f t="shared" si="0"/>
        <v>60351.29</v>
      </c>
    </row>
    <row r="18" spans="1:7" x14ac:dyDescent="0.2">
      <c r="A18" s="1" t="s">
        <v>178</v>
      </c>
      <c r="B18" s="11">
        <f>_CHG1</f>
        <v>6936.26</v>
      </c>
      <c r="C18" s="2"/>
      <c r="D18" s="266">
        <v>195.89</v>
      </c>
      <c r="E18" s="1"/>
      <c r="F18" s="2">
        <v>0</v>
      </c>
      <c r="G18" s="9">
        <f t="shared" si="0"/>
        <v>6740.37</v>
      </c>
    </row>
    <row r="19" spans="1:7" x14ac:dyDescent="0.2">
      <c r="A19" s="1" t="s">
        <v>179</v>
      </c>
      <c r="B19" s="2">
        <f>CLG</f>
        <v>5453398.1399999997</v>
      </c>
      <c r="C19" s="2"/>
      <c r="D19" s="266">
        <v>1080.9000000000001</v>
      </c>
      <c r="E19" s="1"/>
      <c r="F19" s="2">
        <f>B19*0.005</f>
        <v>27266.99</v>
      </c>
      <c r="G19" s="9">
        <f t="shared" si="0"/>
        <v>5425050.25</v>
      </c>
    </row>
    <row r="20" spans="1:7" x14ac:dyDescent="0.2">
      <c r="A20" s="1" t="s">
        <v>180</v>
      </c>
      <c r="B20" s="11">
        <f>_CLG1</f>
        <v>605540.4</v>
      </c>
      <c r="C20" s="2"/>
      <c r="D20" s="266">
        <v>120.1</v>
      </c>
      <c r="E20" s="1"/>
      <c r="F20" s="2">
        <v>0</v>
      </c>
      <c r="G20" s="9">
        <f t="shared" si="0"/>
        <v>605420.30000000005</v>
      </c>
    </row>
    <row r="21" spans="1:7" x14ac:dyDescent="0.2">
      <c r="A21" s="1" t="s">
        <v>181</v>
      </c>
      <c r="B21" s="2">
        <f>DOG</f>
        <v>82035.53</v>
      </c>
      <c r="C21" s="2"/>
      <c r="D21" s="266">
        <v>1923.55</v>
      </c>
      <c r="E21" s="1"/>
      <c r="F21" s="2">
        <f>B21*0.005</f>
        <v>410.18</v>
      </c>
      <c r="G21" s="9">
        <f t="shared" si="0"/>
        <v>79701.8</v>
      </c>
    </row>
    <row r="22" spans="1:7" x14ac:dyDescent="0.2">
      <c r="A22" s="1" t="s">
        <v>182</v>
      </c>
      <c r="B22" s="11">
        <f>_DOG1</f>
        <v>20508.87</v>
      </c>
      <c r="C22" s="2"/>
      <c r="D22" s="266">
        <v>480.89</v>
      </c>
      <c r="E22" s="1"/>
      <c r="F22" s="2">
        <v>0</v>
      </c>
      <c r="G22" s="9">
        <f t="shared" si="0"/>
        <v>20027.98</v>
      </c>
    </row>
    <row r="23" spans="1:7" x14ac:dyDescent="0.2">
      <c r="A23" s="1" t="s">
        <v>183</v>
      </c>
      <c r="B23" s="2">
        <f>ELG</f>
        <v>84326.34</v>
      </c>
      <c r="C23" s="2"/>
      <c r="D23" s="266">
        <v>483.89</v>
      </c>
      <c r="E23" s="1"/>
      <c r="F23" s="2">
        <f>B23*0.005</f>
        <v>421.63</v>
      </c>
      <c r="G23" s="9">
        <f t="shared" si="0"/>
        <v>83420.820000000007</v>
      </c>
    </row>
    <row r="24" spans="1:7" x14ac:dyDescent="0.2">
      <c r="A24" s="1" t="s">
        <v>184</v>
      </c>
      <c r="B24" s="11">
        <f>_ELG1</f>
        <v>21031.63</v>
      </c>
      <c r="C24" s="2"/>
      <c r="D24" s="266">
        <v>120.96</v>
      </c>
      <c r="E24" s="1"/>
      <c r="F24" s="2">
        <v>0</v>
      </c>
      <c r="G24" s="9">
        <f t="shared" si="0"/>
        <v>20910.669999999998</v>
      </c>
    </row>
    <row r="25" spans="1:7" x14ac:dyDescent="0.2">
      <c r="A25" s="1" t="s">
        <v>185</v>
      </c>
      <c r="B25" s="2">
        <f>ESG</f>
        <v>469.22</v>
      </c>
      <c r="C25" s="2"/>
      <c r="D25" s="266">
        <v>0</v>
      </c>
      <c r="E25" s="1"/>
      <c r="F25" s="2">
        <f>B25*0.005</f>
        <v>2.35</v>
      </c>
      <c r="G25" s="9">
        <f t="shared" si="0"/>
        <v>466.87</v>
      </c>
    </row>
    <row r="26" spans="1:7" x14ac:dyDescent="0.2">
      <c r="A26" s="1" t="s">
        <v>186</v>
      </c>
      <c r="B26" s="11">
        <f>_ESG1</f>
        <v>117.3</v>
      </c>
      <c r="C26" s="2"/>
      <c r="D26" s="266">
        <v>0</v>
      </c>
      <c r="E26" s="1"/>
      <c r="F26" s="2">
        <v>0</v>
      </c>
      <c r="G26" s="9">
        <f t="shared" si="0"/>
        <v>117.3</v>
      </c>
    </row>
    <row r="27" spans="1:7" x14ac:dyDescent="0.2">
      <c r="A27" s="1" t="s">
        <v>187</v>
      </c>
      <c r="B27" s="2">
        <f>EUG</f>
        <v>4433.32</v>
      </c>
      <c r="C27" s="2"/>
      <c r="D27" s="266">
        <v>29.99</v>
      </c>
      <c r="E27" s="1"/>
      <c r="F27" s="2">
        <f>B27*0.005</f>
        <v>22.17</v>
      </c>
      <c r="G27" s="9">
        <f t="shared" si="0"/>
        <v>4381.16</v>
      </c>
    </row>
    <row r="28" spans="1:7" x14ac:dyDescent="0.2">
      <c r="A28" s="1" t="s">
        <v>188</v>
      </c>
      <c r="B28" s="11">
        <f>_EUG1</f>
        <v>1108.33</v>
      </c>
      <c r="C28" s="2"/>
      <c r="D28" s="266">
        <v>7.5</v>
      </c>
      <c r="E28" s="1"/>
      <c r="F28" s="2">
        <v>0</v>
      </c>
      <c r="G28" s="9">
        <f t="shared" si="0"/>
        <v>1100.83</v>
      </c>
    </row>
    <row r="29" spans="1:7" x14ac:dyDescent="0.2">
      <c r="A29" s="1" t="s">
        <v>366</v>
      </c>
      <c r="B29" s="2">
        <f>HUG</f>
        <v>61932.27</v>
      </c>
      <c r="C29" s="2"/>
      <c r="D29" s="266">
        <v>932.44</v>
      </c>
      <c r="E29" s="1"/>
      <c r="F29" s="2">
        <f>B29*0.005</f>
        <v>309.66000000000003</v>
      </c>
      <c r="G29" s="9">
        <f t="shared" si="0"/>
        <v>60690.17</v>
      </c>
    </row>
    <row r="30" spans="1:7" x14ac:dyDescent="0.2">
      <c r="A30" s="1" t="s">
        <v>189</v>
      </c>
      <c r="B30" s="11">
        <f>_HUG1</f>
        <v>6881.38</v>
      </c>
      <c r="C30" s="2"/>
      <c r="D30" s="266">
        <v>103.62</v>
      </c>
      <c r="E30" s="1"/>
      <c r="F30" s="2">
        <v>0</v>
      </c>
      <c r="G30" s="9">
        <f t="shared" si="0"/>
        <v>6777.76</v>
      </c>
    </row>
    <row r="31" spans="1:7" x14ac:dyDescent="0.2">
      <c r="A31" s="1" t="s">
        <v>707</v>
      </c>
      <c r="B31" s="2">
        <f>LAG</f>
        <v>18437.86</v>
      </c>
      <c r="C31" s="2"/>
      <c r="D31" s="266">
        <v>141.12</v>
      </c>
      <c r="E31" s="1"/>
      <c r="F31" s="2">
        <f>B31*0.005</f>
        <v>92.19</v>
      </c>
      <c r="G31" s="9">
        <f t="shared" si="0"/>
        <v>18204.55</v>
      </c>
    </row>
    <row r="32" spans="1:7" x14ac:dyDescent="0.2">
      <c r="A32" s="1" t="s">
        <v>190</v>
      </c>
      <c r="B32" s="11">
        <f>_LAG1</f>
        <v>2048.65</v>
      </c>
      <c r="C32" s="2"/>
      <c r="D32" s="266">
        <v>15.68</v>
      </c>
      <c r="E32" s="1"/>
      <c r="F32" s="2">
        <v>0</v>
      </c>
      <c r="G32" s="9">
        <f t="shared" si="0"/>
        <v>2032.97</v>
      </c>
    </row>
    <row r="33" spans="1:7" x14ac:dyDescent="0.2">
      <c r="A33" s="1" t="s">
        <v>191</v>
      </c>
      <c r="B33" s="2">
        <f>LIG</f>
        <v>8662.02</v>
      </c>
      <c r="C33" s="2"/>
      <c r="D33" s="266">
        <v>32.03</v>
      </c>
      <c r="E33" s="1"/>
      <c r="F33" s="2">
        <f>B33*0.005</f>
        <v>43.31</v>
      </c>
      <c r="G33" s="9">
        <f t="shared" si="0"/>
        <v>8586.68</v>
      </c>
    </row>
    <row r="34" spans="1:7" x14ac:dyDescent="0.2">
      <c r="A34" s="1" t="s">
        <v>192</v>
      </c>
      <c r="B34" s="11">
        <f>_LIG1</f>
        <v>2165.5100000000002</v>
      </c>
      <c r="C34" s="2"/>
      <c r="D34" s="266">
        <v>8.01</v>
      </c>
      <c r="E34" s="1"/>
      <c r="F34" s="2">
        <v>0</v>
      </c>
      <c r="G34" s="9">
        <f t="shared" si="0"/>
        <v>2157.5</v>
      </c>
    </row>
    <row r="35" spans="1:7" x14ac:dyDescent="0.2">
      <c r="A35" s="1" t="s">
        <v>193</v>
      </c>
      <c r="B35" s="2">
        <f>LYG</f>
        <v>130939.54</v>
      </c>
      <c r="C35" s="2"/>
      <c r="D35" s="266">
        <v>1914.9</v>
      </c>
      <c r="E35" s="1"/>
      <c r="F35" s="2">
        <f>B35*0.005</f>
        <v>654.70000000000005</v>
      </c>
      <c r="G35" s="9">
        <f t="shared" si="0"/>
        <v>128369.94</v>
      </c>
    </row>
    <row r="36" spans="1:7" x14ac:dyDescent="0.2">
      <c r="A36" s="1" t="s">
        <v>194</v>
      </c>
      <c r="B36" s="11">
        <f>_LYG1</f>
        <v>14548.84</v>
      </c>
      <c r="C36" s="2"/>
      <c r="D36" s="266">
        <v>212.77</v>
      </c>
      <c r="E36" s="1"/>
      <c r="F36" s="2">
        <v>0</v>
      </c>
      <c r="G36" s="9">
        <f t="shared" si="0"/>
        <v>14336.07</v>
      </c>
    </row>
    <row r="37" spans="1:7" x14ac:dyDescent="0.2">
      <c r="A37" s="1" t="s">
        <v>195</v>
      </c>
      <c r="B37" s="2">
        <f>MIG</f>
        <v>20946.18</v>
      </c>
      <c r="C37" s="2"/>
      <c r="D37" s="266">
        <v>3200.16</v>
      </c>
      <c r="E37" s="1"/>
      <c r="F37" s="2">
        <f>B37*0.005</f>
        <v>104.73</v>
      </c>
      <c r="G37" s="9">
        <f t="shared" si="0"/>
        <v>17641.29</v>
      </c>
    </row>
    <row r="38" spans="1:7" x14ac:dyDescent="0.2">
      <c r="A38" s="1" t="s">
        <v>196</v>
      </c>
      <c r="B38" s="11">
        <f>_MIG1</f>
        <v>2327.36</v>
      </c>
      <c r="C38" s="2"/>
      <c r="D38" s="266">
        <v>355.57</v>
      </c>
      <c r="E38" s="1"/>
      <c r="F38" s="2">
        <v>0</v>
      </c>
      <c r="G38" s="9">
        <f t="shared" si="0"/>
        <v>1971.79</v>
      </c>
    </row>
    <row r="39" spans="1:7" x14ac:dyDescent="0.2">
      <c r="A39" s="1" t="s">
        <v>197</v>
      </c>
      <c r="B39" s="2">
        <f>NYG</f>
        <v>68064.759999999995</v>
      </c>
      <c r="C39" s="2"/>
      <c r="D39" s="266">
        <v>387.02</v>
      </c>
      <c r="E39" s="1"/>
      <c r="F39" s="2">
        <f>B39*0.005</f>
        <v>340.32</v>
      </c>
      <c r="G39" s="9">
        <f t="shared" si="0"/>
        <v>67337.42</v>
      </c>
    </row>
    <row r="40" spans="1:7" x14ac:dyDescent="0.2">
      <c r="A40" s="1" t="s">
        <v>198</v>
      </c>
      <c r="B40" s="11">
        <f>_NYG1</f>
        <v>17016.22</v>
      </c>
      <c r="C40" s="2"/>
      <c r="D40" s="266">
        <v>96.75</v>
      </c>
      <c r="E40" s="1"/>
      <c r="F40" s="2">
        <v>0</v>
      </c>
      <c r="G40" s="9">
        <f t="shared" si="0"/>
        <v>16919.47</v>
      </c>
    </row>
    <row r="41" spans="1:7" x14ac:dyDescent="0.2">
      <c r="A41" s="1" t="s">
        <v>199</v>
      </c>
      <c r="B41" s="2">
        <f>PEG</f>
        <v>14239.26</v>
      </c>
      <c r="C41" s="2"/>
      <c r="D41" s="266">
        <v>473.37</v>
      </c>
      <c r="E41" s="1"/>
      <c r="F41" s="2">
        <f>B41*0.005</f>
        <v>71.2</v>
      </c>
      <c r="G41" s="9">
        <f t="shared" si="0"/>
        <v>13694.69</v>
      </c>
    </row>
    <row r="42" spans="1:7" x14ac:dyDescent="0.2">
      <c r="A42" s="1" t="s">
        <v>200</v>
      </c>
      <c r="B42" s="11">
        <f>_PEG1</f>
        <v>1582.14</v>
      </c>
      <c r="C42" s="2"/>
      <c r="D42" s="266">
        <v>52.6</v>
      </c>
      <c r="E42" s="1"/>
      <c r="F42" s="2">
        <v>0</v>
      </c>
      <c r="G42" s="9">
        <f t="shared" si="0"/>
        <v>1529.54</v>
      </c>
    </row>
    <row r="43" spans="1:7" x14ac:dyDescent="0.2">
      <c r="A43" s="1" t="s">
        <v>201</v>
      </c>
      <c r="B43" s="2">
        <f>STG</f>
        <v>1152.6400000000001</v>
      </c>
      <c r="C43" s="2"/>
      <c r="D43" s="266">
        <v>0</v>
      </c>
      <c r="E43" s="1"/>
      <c r="F43" s="2">
        <f>B43*0.005</f>
        <v>5.76</v>
      </c>
      <c r="G43" s="9">
        <f t="shared" si="0"/>
        <v>1146.8800000000001</v>
      </c>
    </row>
    <row r="44" spans="1:7" x14ac:dyDescent="0.2">
      <c r="A44" s="1" t="s">
        <v>202</v>
      </c>
      <c r="B44" s="11">
        <f>_STG1</f>
        <v>288.16000000000003</v>
      </c>
      <c r="C44" s="2"/>
      <c r="D44" s="266">
        <v>0</v>
      </c>
      <c r="E44" s="1"/>
      <c r="F44" s="2">
        <v>0</v>
      </c>
      <c r="G44" s="9">
        <f t="shared" si="0"/>
        <v>288.16000000000003</v>
      </c>
    </row>
    <row r="45" spans="1:7" x14ac:dyDescent="0.2">
      <c r="A45" s="1" t="s">
        <v>203</v>
      </c>
      <c r="B45" s="2">
        <f>WAG</f>
        <v>1406476.9</v>
      </c>
      <c r="C45" s="2"/>
      <c r="D45" s="266">
        <v>1048.0899999999999</v>
      </c>
      <c r="E45" s="1"/>
      <c r="F45" s="2">
        <f>B45*0.005</f>
        <v>7032.38</v>
      </c>
      <c r="G45" s="9">
        <f t="shared" si="0"/>
        <v>1398396.43</v>
      </c>
    </row>
    <row r="46" spans="1:7" x14ac:dyDescent="0.2">
      <c r="A46" s="1" t="s">
        <v>204</v>
      </c>
      <c r="B46" s="11">
        <f>_WAG1</f>
        <v>156275.21</v>
      </c>
      <c r="C46" s="2"/>
      <c r="D46" s="266">
        <v>116.46</v>
      </c>
      <c r="E46" s="1"/>
      <c r="F46" s="2">
        <v>0</v>
      </c>
      <c r="G46" s="9">
        <f t="shared" si="0"/>
        <v>156158.75</v>
      </c>
    </row>
    <row r="47" spans="1:7" x14ac:dyDescent="0.2">
      <c r="A47" s="1" t="s">
        <v>631</v>
      </c>
      <c r="B47" s="2">
        <f>WHG</f>
        <v>63018.5</v>
      </c>
      <c r="C47" s="2"/>
      <c r="D47" s="266">
        <v>554.41999999999996</v>
      </c>
      <c r="E47" s="1"/>
      <c r="F47" s="2">
        <f>B47*0.005</f>
        <v>315.08999999999997</v>
      </c>
      <c r="G47" s="9">
        <f t="shared" si="0"/>
        <v>62148.99</v>
      </c>
    </row>
    <row r="48" spans="1:7" x14ac:dyDescent="0.2">
      <c r="A48" s="1" t="s">
        <v>205</v>
      </c>
      <c r="B48" s="11">
        <f>_WHG1</f>
        <v>7002.04</v>
      </c>
      <c r="C48" s="2"/>
      <c r="D48" s="266">
        <v>61.61</v>
      </c>
      <c r="E48" s="1"/>
      <c r="F48" s="2">
        <v>0</v>
      </c>
      <c r="G48" s="9">
        <f t="shared" si="0"/>
        <v>6940.43</v>
      </c>
    </row>
    <row r="49" spans="1:7" x14ac:dyDescent="0.2">
      <c r="A49" s="1" t="s">
        <v>652</v>
      </c>
      <c r="B49" s="11"/>
      <c r="C49" s="2"/>
      <c r="D49" s="266">
        <f>SUM(D8:D48)</f>
        <v>60725.59</v>
      </c>
      <c r="E49" s="1"/>
      <c r="F49" s="2"/>
      <c r="G49" s="9"/>
    </row>
    <row r="50" spans="1:7" ht="21" customHeight="1" x14ac:dyDescent="0.2">
      <c r="A50" s="1" t="s">
        <v>206</v>
      </c>
      <c r="B50" s="2">
        <f>CUFEE</f>
        <v>961823.52</v>
      </c>
      <c r="C50" s="2"/>
      <c r="D50" s="266"/>
      <c r="E50" s="1"/>
      <c r="F50" s="2"/>
      <c r="G50" s="9">
        <f t="shared" si="0"/>
        <v>961823.52</v>
      </c>
    </row>
    <row r="51" spans="1:7" x14ac:dyDescent="0.2">
      <c r="A51" s="1" t="s">
        <v>207</v>
      </c>
      <c r="B51" s="2">
        <f>INSFEE</f>
        <v>48851.68</v>
      </c>
      <c r="C51" s="2"/>
      <c r="D51" s="266"/>
      <c r="E51" s="1"/>
      <c r="F51" s="2"/>
      <c r="G51" s="9">
        <f t="shared" si="0"/>
        <v>48851.68</v>
      </c>
    </row>
    <row r="52" spans="1:7" x14ac:dyDescent="0.2">
      <c r="A52" s="1" t="s">
        <v>708</v>
      </c>
      <c r="B52" s="2">
        <f>'s1'!I117</f>
        <v>134721.79</v>
      </c>
      <c r="C52" s="2"/>
      <c r="D52" s="266"/>
      <c r="E52" s="1"/>
      <c r="F52" s="2"/>
      <c r="G52" s="9">
        <f t="shared" si="0"/>
        <v>134721.79</v>
      </c>
    </row>
    <row r="53" spans="1:7" ht="25.5" customHeight="1" thickBot="1" x14ac:dyDescent="0.25">
      <c r="A53" s="94" t="s">
        <v>12</v>
      </c>
      <c r="B53" s="132">
        <f t="shared" ref="B53:G53" si="1">SUM(B8:B52)</f>
        <v>31567641.050000001</v>
      </c>
      <c r="C53" s="132">
        <f t="shared" si="1"/>
        <v>252098.72</v>
      </c>
      <c r="D53" s="267">
        <f>+D49+D50+D51+D52</f>
        <v>60725.59</v>
      </c>
      <c r="E53" s="132">
        <f t="shared" si="1"/>
        <v>3414.07</v>
      </c>
      <c r="F53" s="132">
        <f t="shared" si="1"/>
        <v>54923.09</v>
      </c>
      <c r="G53" s="132">
        <f t="shared" si="1"/>
        <v>31196479.579999998</v>
      </c>
    </row>
    <row r="54" spans="1:7" x14ac:dyDescent="0.2">
      <c r="A54" s="1"/>
      <c r="B54" s="1"/>
      <c r="C54" s="1"/>
      <c r="D54" s="291"/>
      <c r="E54" s="1"/>
      <c r="F54" s="1"/>
      <c r="G54" s="1"/>
    </row>
    <row r="55" spans="1:7" x14ac:dyDescent="0.2">
      <c r="A55" s="1"/>
      <c r="B55" s="2"/>
      <c r="C55" s="1"/>
      <c r="D55" s="293"/>
      <c r="E55" s="1"/>
      <c r="F55" s="1"/>
      <c r="G55" s="2"/>
    </row>
    <row r="56" spans="1:7" x14ac:dyDescent="0.2">
      <c r="A56" s="1"/>
      <c r="B56" s="1"/>
      <c r="C56" s="1"/>
      <c r="D56" s="291"/>
      <c r="E56" s="1"/>
      <c r="F56" s="1"/>
      <c r="G56" s="1"/>
    </row>
    <row r="57" spans="1:7" x14ac:dyDescent="0.2">
      <c r="A57" s="1"/>
      <c r="B57" s="2"/>
      <c r="C57" s="1"/>
      <c r="D57" s="291"/>
      <c r="E57" s="1"/>
      <c r="F57" s="1"/>
      <c r="G57" s="1"/>
    </row>
    <row r="58" spans="1:7" x14ac:dyDescent="0.2">
      <c r="A58" s="1"/>
      <c r="B58" s="2"/>
      <c r="C58" s="1"/>
      <c r="D58" s="291"/>
      <c r="E58" s="1"/>
      <c r="F58" s="1"/>
      <c r="G58" s="1"/>
    </row>
  </sheetData>
  <phoneticPr fontId="0" type="noConversion"/>
  <printOptions horizontalCentered="1"/>
  <pageMargins left="0.5" right="0.5" top="0.68" bottom="0.45" header="0.57999999999999996" footer="0.43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227</vt:i4>
      </vt:variant>
    </vt:vector>
  </HeadingPairs>
  <TitlesOfParts>
    <vt:vector size="244" baseType="lpstr">
      <vt:lpstr>s1</vt:lpstr>
      <vt:lpstr>zerortn</vt:lpstr>
      <vt:lpstr>s2</vt:lpstr>
      <vt:lpstr>s2a</vt:lpstr>
      <vt:lpstr>s3, s3b, s3d</vt:lpstr>
      <vt:lpstr>s3a</vt:lpstr>
      <vt:lpstr>s3b</vt:lpstr>
      <vt:lpstr>s3c</vt:lpstr>
      <vt:lpstr>s4</vt:lpstr>
      <vt:lpstr>s5</vt:lpstr>
      <vt:lpstr>s5a</vt:lpstr>
      <vt:lpstr>s6, s6a</vt:lpstr>
      <vt:lpstr>s7</vt:lpstr>
      <vt:lpstr>col</vt:lpstr>
      <vt:lpstr>dis</vt:lpstr>
      <vt:lpstr>s8</vt:lpstr>
      <vt:lpstr>Journal</vt:lpstr>
      <vt:lpstr>ActivityMonth</vt:lpstr>
      <vt:lpstr>ADMINFEES</vt:lpstr>
      <vt:lpstr>AmtData</vt:lpstr>
      <vt:lpstr>AmtHdng</vt:lpstr>
      <vt:lpstr>AV_OPT</vt:lpstr>
      <vt:lpstr>AvCaBase</vt:lpstr>
      <vt:lpstr>AvCaDed</vt:lpstr>
      <vt:lpstr>AvCaGals</vt:lpstr>
      <vt:lpstr>AvCaPer</vt:lpstr>
      <vt:lpstr>AvChBase</vt:lpstr>
      <vt:lpstr>AvChDed</vt:lpstr>
      <vt:lpstr>AvChGals</vt:lpstr>
      <vt:lpstr>AvChPer</vt:lpstr>
      <vt:lpstr>AvClBase</vt:lpstr>
      <vt:lpstr>AvClDed</vt:lpstr>
      <vt:lpstr>AvClGals</vt:lpstr>
      <vt:lpstr>AvClPer</vt:lpstr>
      <vt:lpstr>AvDeduct</vt:lpstr>
      <vt:lpstr>AvDoBase</vt:lpstr>
      <vt:lpstr>AvDoDed</vt:lpstr>
      <vt:lpstr>AvDoGals</vt:lpstr>
      <vt:lpstr>AvDoPer</vt:lpstr>
      <vt:lpstr>AvElBase</vt:lpstr>
      <vt:lpstr>AvElDed</vt:lpstr>
      <vt:lpstr>AvElGals</vt:lpstr>
      <vt:lpstr>AvElPer</vt:lpstr>
      <vt:lpstr>AvEsBase</vt:lpstr>
      <vt:lpstr>AvEsDed</vt:lpstr>
      <vt:lpstr>AvEsGals</vt:lpstr>
      <vt:lpstr>AvEsPer</vt:lpstr>
      <vt:lpstr>AvEuBase</vt:lpstr>
      <vt:lpstr>AvEuDed</vt:lpstr>
      <vt:lpstr>AvEuGals</vt:lpstr>
      <vt:lpstr>AvEuPer</vt:lpstr>
      <vt:lpstr>AVGAS10.5</vt:lpstr>
      <vt:lpstr>AvHuBase</vt:lpstr>
      <vt:lpstr>AvHuDed</vt:lpstr>
      <vt:lpstr>AvHuGals</vt:lpstr>
      <vt:lpstr>AvHuPer</vt:lpstr>
      <vt:lpstr>AvLaBase</vt:lpstr>
      <vt:lpstr>AvLaDed</vt:lpstr>
      <vt:lpstr>AvLaGals</vt:lpstr>
      <vt:lpstr>AvLaPer</vt:lpstr>
      <vt:lpstr>AvLiBase</vt:lpstr>
      <vt:lpstr>AvLiDed</vt:lpstr>
      <vt:lpstr>AvLiGals</vt:lpstr>
      <vt:lpstr>AvLiPer</vt:lpstr>
      <vt:lpstr>AvLyBase</vt:lpstr>
      <vt:lpstr>AvLyDed</vt:lpstr>
      <vt:lpstr>AvLyGals</vt:lpstr>
      <vt:lpstr>AvLyPer</vt:lpstr>
      <vt:lpstr>AvMiBase</vt:lpstr>
      <vt:lpstr>AvMiDed</vt:lpstr>
      <vt:lpstr>AvMiGals</vt:lpstr>
      <vt:lpstr>AvMiPer</vt:lpstr>
      <vt:lpstr>AvNyBase</vt:lpstr>
      <vt:lpstr>AvNyDed</vt:lpstr>
      <vt:lpstr>AvNyGals</vt:lpstr>
      <vt:lpstr>AvNyPer</vt:lpstr>
      <vt:lpstr>AvPeBase</vt:lpstr>
      <vt:lpstr>AvPeDed</vt:lpstr>
      <vt:lpstr>AvPeGals</vt:lpstr>
      <vt:lpstr>AvPePer</vt:lpstr>
      <vt:lpstr>AvStBase</vt:lpstr>
      <vt:lpstr>AvStDed</vt:lpstr>
      <vt:lpstr>AvStGals</vt:lpstr>
      <vt:lpstr>AvStPer</vt:lpstr>
      <vt:lpstr>AvWaBase</vt:lpstr>
      <vt:lpstr>AvWaDed</vt:lpstr>
      <vt:lpstr>AvWaGals</vt:lpstr>
      <vt:lpstr>AvWaPer</vt:lpstr>
      <vt:lpstr>AvWhBase</vt:lpstr>
      <vt:lpstr>AvWhDed</vt:lpstr>
      <vt:lpstr>AvWhGals</vt:lpstr>
      <vt:lpstr>AvWhPer</vt:lpstr>
      <vt:lpstr>CA</vt:lpstr>
      <vt:lpstr>CAG</vt:lpstr>
      <vt:lpstr>CAG1</vt:lpstr>
      <vt:lpstr>CAP</vt:lpstr>
      <vt:lpstr>CH</vt:lpstr>
      <vt:lpstr>CHG</vt:lpstr>
      <vt:lpstr>CHG1</vt:lpstr>
      <vt:lpstr>CIVILA</vt:lpstr>
      <vt:lpstr>CL</vt:lpstr>
      <vt:lpstr>CLG</vt:lpstr>
      <vt:lpstr>CLG1</vt:lpstr>
      <vt:lpstr>color</vt:lpstr>
      <vt:lpstr>COUNTY1</vt:lpstr>
      <vt:lpstr>COUNTYOPTION</vt:lpstr>
      <vt:lpstr>COUNTYTOTAL</vt:lpstr>
      <vt:lpstr>CUFEE</vt:lpstr>
      <vt:lpstr>DEALERS</vt:lpstr>
      <vt:lpstr>Diff</vt:lpstr>
      <vt:lpstr>Dist_1</vt:lpstr>
      <vt:lpstr>Dist_2</vt:lpstr>
      <vt:lpstr>Dist_3</vt:lpstr>
      <vt:lpstr>DO</vt:lpstr>
      <vt:lpstr>DOG</vt:lpstr>
      <vt:lpstr>DOG1</vt:lpstr>
      <vt:lpstr>EL</vt:lpstr>
      <vt:lpstr>ELG</vt:lpstr>
      <vt:lpstr>ELG1</vt:lpstr>
      <vt:lpstr>ES</vt:lpstr>
      <vt:lpstr>ESG</vt:lpstr>
      <vt:lpstr>ESG1</vt:lpstr>
      <vt:lpstr>EU</vt:lpstr>
      <vt:lpstr>EUG</vt:lpstr>
      <vt:lpstr>EUG1</vt:lpstr>
      <vt:lpstr>HU</vt:lpstr>
      <vt:lpstr>HUG</vt:lpstr>
      <vt:lpstr>HUG1</vt:lpstr>
      <vt:lpstr>INSFEE</vt:lpstr>
      <vt:lpstr>JET1</vt:lpstr>
      <vt:lpstr>JET2</vt:lpstr>
      <vt:lpstr>JETTOTAL</vt:lpstr>
      <vt:lpstr>LA</vt:lpstr>
      <vt:lpstr>LAG</vt:lpstr>
      <vt:lpstr>LAG1</vt:lpstr>
      <vt:lpstr>LessAF535</vt:lpstr>
      <vt:lpstr>LessWP535</vt:lpstr>
      <vt:lpstr>LI</vt:lpstr>
      <vt:lpstr>LICFEE</vt:lpstr>
      <vt:lpstr>LIG</vt:lpstr>
      <vt:lpstr>LIG1</vt:lpstr>
      <vt:lpstr>LY</vt:lpstr>
      <vt:lpstr>LYG</vt:lpstr>
      <vt:lpstr>LYG1</vt:lpstr>
      <vt:lpstr>MI</vt:lpstr>
      <vt:lpstr>MIG</vt:lpstr>
      <vt:lpstr>MIG1</vt:lpstr>
      <vt:lpstr>MthDist</vt:lpstr>
      <vt:lpstr>NET12.65</vt:lpstr>
      <vt:lpstr>NET5</vt:lpstr>
      <vt:lpstr>NET5.35</vt:lpstr>
      <vt:lpstr>NETAV</vt:lpstr>
      <vt:lpstr>NETCAG</vt:lpstr>
      <vt:lpstr>NETCAG1</vt:lpstr>
      <vt:lpstr>NETCHG</vt:lpstr>
      <vt:lpstr>NETCHG1</vt:lpstr>
      <vt:lpstr>NETCLG</vt:lpstr>
      <vt:lpstr>NETCLG1</vt:lpstr>
      <vt:lpstr>NETDOG</vt:lpstr>
      <vt:lpstr>NETDOG1</vt:lpstr>
      <vt:lpstr>NETELG</vt:lpstr>
      <vt:lpstr>NETELG1</vt:lpstr>
      <vt:lpstr>NETESG</vt:lpstr>
      <vt:lpstr>NETESG1</vt:lpstr>
      <vt:lpstr>NETEUG</vt:lpstr>
      <vt:lpstr>NETEUG1</vt:lpstr>
      <vt:lpstr>NETHUG</vt:lpstr>
      <vt:lpstr>NETHUG1</vt:lpstr>
      <vt:lpstr>NETLAG</vt:lpstr>
      <vt:lpstr>NETLAG1</vt:lpstr>
      <vt:lpstr>NETLIG</vt:lpstr>
      <vt:lpstr>NETLIG1</vt:lpstr>
      <vt:lpstr>NETLYG</vt:lpstr>
      <vt:lpstr>NETLYG1</vt:lpstr>
      <vt:lpstr>NETMIG</vt:lpstr>
      <vt:lpstr>NETMIG1</vt:lpstr>
      <vt:lpstr>NETNYG</vt:lpstr>
      <vt:lpstr>NETNYG1</vt:lpstr>
      <vt:lpstr>NETPEG</vt:lpstr>
      <vt:lpstr>NETPEG1</vt:lpstr>
      <vt:lpstr>NETSTG</vt:lpstr>
      <vt:lpstr>NETSTG1</vt:lpstr>
      <vt:lpstr>NETWAG</vt:lpstr>
      <vt:lpstr>NETWAG1</vt:lpstr>
      <vt:lpstr>NETWHG</vt:lpstr>
      <vt:lpstr>NETWHG1</vt:lpstr>
      <vt:lpstr>NY</vt:lpstr>
      <vt:lpstr>NYG</vt:lpstr>
      <vt:lpstr>NYG1</vt:lpstr>
      <vt:lpstr>PARKWILD</vt:lpstr>
      <vt:lpstr>PE</vt:lpstr>
      <vt:lpstr>PEG</vt:lpstr>
      <vt:lpstr>PEG1</vt:lpstr>
      <vt:lpstr>Journal!Print_Area</vt:lpstr>
      <vt:lpstr>'s1'!Print_Area</vt:lpstr>
      <vt:lpstr>'s2'!Print_Area</vt:lpstr>
      <vt:lpstr>s2a!Print_Area</vt:lpstr>
      <vt:lpstr>s3a!Print_Area</vt:lpstr>
      <vt:lpstr>s3b!Print_Area</vt:lpstr>
      <vt:lpstr>s3c!Print_Area</vt:lpstr>
      <vt:lpstr>'s1'!Print_Titles</vt:lpstr>
      <vt:lpstr>'s2'!Print_Titles</vt:lpstr>
      <vt:lpstr>s2a!Print_Titles</vt:lpstr>
      <vt:lpstr>'s3, s3b, s3d'!Print_Titles</vt:lpstr>
      <vt:lpstr>s3a!Print_Titles</vt:lpstr>
      <vt:lpstr>'s4'!Print_Titles</vt:lpstr>
      <vt:lpstr>'s5'!Print_Titles</vt:lpstr>
      <vt:lpstr>s5a!Print_Titles</vt:lpstr>
      <vt:lpstr>'s7'!Print_Titles</vt:lpstr>
      <vt:lpstr>zerortn!Print_Titles</vt:lpstr>
      <vt:lpstr>REFUNDS</vt:lpstr>
      <vt:lpstr>ReportMonth</vt:lpstr>
      <vt:lpstr>S1_GALS</vt:lpstr>
      <vt:lpstr>S1_MONEY</vt:lpstr>
      <vt:lpstr>S1Z_PR</vt:lpstr>
      <vt:lpstr>S2_MONEY</vt:lpstr>
      <vt:lpstr>S2A_MONEY</vt:lpstr>
      <vt:lpstr>S4_PR</vt:lpstr>
      <vt:lpstr>S5_PR</vt:lpstr>
      <vt:lpstr>S5A_PR</vt:lpstr>
      <vt:lpstr>S6_PR</vt:lpstr>
      <vt:lpstr>S6A_PR</vt:lpstr>
      <vt:lpstr>S7_PR</vt:lpstr>
      <vt:lpstr>ST</vt:lpstr>
      <vt:lpstr>ST12.65</vt:lpstr>
      <vt:lpstr>ST5</vt:lpstr>
      <vt:lpstr>ST5.35</vt:lpstr>
      <vt:lpstr>STG</vt:lpstr>
      <vt:lpstr>STG1</vt:lpstr>
      <vt:lpstr>TapeCF</vt:lpstr>
      <vt:lpstr>TapeGas</vt:lpstr>
      <vt:lpstr>TapeIF</vt:lpstr>
      <vt:lpstr>TapeJet</vt:lpstr>
      <vt:lpstr>TotalCOL</vt:lpstr>
      <vt:lpstr>TotalDIS</vt:lpstr>
      <vt:lpstr>TOTALREF</vt:lpstr>
      <vt:lpstr>TOTGAL</vt:lpstr>
      <vt:lpstr>WA</vt:lpstr>
      <vt:lpstr>WAG</vt:lpstr>
      <vt:lpstr>WAG1</vt:lpstr>
      <vt:lpstr>WH</vt:lpstr>
      <vt:lpstr>WHG</vt:lpstr>
      <vt:lpstr>WHG1</vt:lpstr>
      <vt:lpstr>WILDPARK</vt:lpstr>
    </vt:vector>
  </TitlesOfParts>
  <Company>DEPARTMENT OF TAXATION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Administrator</dc:creator>
  <cp:lastModifiedBy>louis</cp:lastModifiedBy>
  <cp:lastPrinted>2005-02-24T22:24:25Z</cp:lastPrinted>
  <dcterms:created xsi:type="dcterms:W3CDTF">1995-12-21T16:04:23Z</dcterms:created>
  <dcterms:modified xsi:type="dcterms:W3CDTF">2013-09-13T23:11:54Z</dcterms:modified>
</cp:coreProperties>
</file>