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-60" windowWidth="11880" windowHeight="6465"/>
  </bookViews>
  <sheets>
    <sheet name="s1" sheetId="1" r:id="rId1"/>
    <sheet name="zerortn" sheetId="2" r:id="rId2"/>
    <sheet name="s2" sheetId="3" r:id="rId3"/>
    <sheet name="s2a" sheetId="4" r:id="rId4"/>
    <sheet name="s3,s3b, s3d" sheetId="17" r:id="rId5"/>
    <sheet name="s3a" sheetId="18" r:id="rId6"/>
    <sheet name="s3b" sheetId="19" state="hidden" r:id="rId7"/>
    <sheet name="s3c" sheetId="20" r:id="rId8"/>
    <sheet name="s4" sheetId="6" r:id="rId9"/>
    <sheet name="s5" sheetId="7" r:id="rId10"/>
    <sheet name="s5a" sheetId="8" r:id="rId11"/>
    <sheet name="s6,s6a" sheetId="9" r:id="rId12"/>
    <sheet name="s7" sheetId="10" r:id="rId13"/>
    <sheet name="col" sheetId="11" state="hidden" r:id="rId14"/>
    <sheet name="dis" sheetId="12" state="hidden" r:id="rId15"/>
    <sheet name="sf gal $" sheetId="22" r:id="rId16"/>
    <sheet name="Journal" sheetId="21" state="hidden" r:id="rId17"/>
    <sheet name="Macros" sheetId="13" state="veryHidden" r:id=""/>
  </sheets>
  <externalReferences>
    <externalReference r:id="rId18"/>
  </externalReferences>
  <definedNames>
    <definedName name="ActivityMonth">'s1'!$AO$2</definedName>
    <definedName name="ADMINFEES">'s4'!$F$53</definedName>
    <definedName name="AmtData">'s6,s6a'!$Q$8:$Q$24</definedName>
    <definedName name="AmtHdng">'s6,s6a'!$Q$6:$Q$7</definedName>
    <definedName name="AV_OPT">'s6,s6a'!$S$25</definedName>
    <definedName name="AvCaBase">'s6,s6a'!$N$8</definedName>
    <definedName name="AvCaDed">'s6,s6a'!$Q$8</definedName>
    <definedName name="AvCaGals">'s6,s6a'!$K$8</definedName>
    <definedName name="AvCaPer">'s6,s6a'!$P$8</definedName>
    <definedName name="AvChBase">'s6,s6a'!$N$9</definedName>
    <definedName name="AvChDed">'s6,s6a'!$Q$9</definedName>
    <definedName name="AvChGals">'s6,s6a'!$K$9</definedName>
    <definedName name="AvChPer">'s6,s6a'!$P$9</definedName>
    <definedName name="AvClBase">'s6,s6a'!$N$10</definedName>
    <definedName name="AvClDed">'s6,s6a'!$Q$10</definedName>
    <definedName name="AvClGals">'s6,s6a'!$K$10</definedName>
    <definedName name="AvClPer">'s6,s6a'!$P$10</definedName>
    <definedName name="AvDeduct">'s6,s6a'!$Q$25</definedName>
    <definedName name="AvDoBase">'s6,s6a'!$N$11</definedName>
    <definedName name="AvDoDed">'s6,s6a'!$Q$11</definedName>
    <definedName name="AvDoGals">'s6,s6a'!$K$11</definedName>
    <definedName name="AvDoPer">'s6,s6a'!$P$11</definedName>
    <definedName name="AvElBase">'s6,s6a'!$N$12</definedName>
    <definedName name="AvElDed">'s6,s6a'!$Q$12</definedName>
    <definedName name="AvElGals">'s6,s6a'!$K$12</definedName>
    <definedName name="AvElPer">'s6,s6a'!$P$12</definedName>
    <definedName name="AvEsBase">'s6,s6a'!$N$13</definedName>
    <definedName name="AvEsDed">'s6,s6a'!$Q$13</definedName>
    <definedName name="AvEsGals">'s6,s6a'!$K$13</definedName>
    <definedName name="AvEsPer">'s6,s6a'!$P$13</definedName>
    <definedName name="AvEuBase">'s6,s6a'!$N$14</definedName>
    <definedName name="AvEuDed">'s6,s6a'!$Q$14</definedName>
    <definedName name="AvEuGals">'s6,s6a'!$K$14</definedName>
    <definedName name="AvEuPer">'s6,s6a'!$P$14</definedName>
    <definedName name="AVGAS10.5">'s6,s6a'!$N$25</definedName>
    <definedName name="AvHuBase">'s6,s6a'!$N$15</definedName>
    <definedName name="AvHuDed">'s6,s6a'!$Q$15</definedName>
    <definedName name="AvHuGals">'s6,s6a'!$K$15</definedName>
    <definedName name="AvHuPer">'s6,s6a'!$P$15</definedName>
    <definedName name="AvLaBase">'s6,s6a'!$N$16</definedName>
    <definedName name="AvLaDed">'s6,s6a'!$Q$16</definedName>
    <definedName name="AvLaGals">'s6,s6a'!$K$16</definedName>
    <definedName name="AvLaPer">'s6,s6a'!$P$16</definedName>
    <definedName name="AvLiBase">'s6,s6a'!$N$17</definedName>
    <definedName name="AvLiDed">'s6,s6a'!$Q$17</definedName>
    <definedName name="AvLiGals">'s6,s6a'!$K$17</definedName>
    <definedName name="AvLiPer">'s6,s6a'!$P$17</definedName>
    <definedName name="AvLyBase">'s6,s6a'!$N$18</definedName>
    <definedName name="AvLyDed">'s6,s6a'!$Q$18</definedName>
    <definedName name="AvLyGals">'s6,s6a'!$K$18</definedName>
    <definedName name="AvLyPer">'s6,s6a'!$P$18</definedName>
    <definedName name="AvMiBase">'s6,s6a'!$N$19</definedName>
    <definedName name="AvMiDed">'s6,s6a'!$Q$19</definedName>
    <definedName name="AvMiGals">'s6,s6a'!$K$19</definedName>
    <definedName name="AvMiPer">'s6,s6a'!$P$19</definedName>
    <definedName name="AvNyBase">'s6,s6a'!$N$20</definedName>
    <definedName name="AvNyDed">'s6,s6a'!$Q$20</definedName>
    <definedName name="AvNyGals">'s6,s6a'!$K$20</definedName>
    <definedName name="AvNyPer">'s6,s6a'!$P$20</definedName>
    <definedName name="AvPeBase">'s6,s6a'!$N$21</definedName>
    <definedName name="AvPeDed">'s6,s6a'!$Q$21</definedName>
    <definedName name="AvPeGals">'s6,s6a'!$K$21</definedName>
    <definedName name="AvPePer">'s6,s6a'!$P$21</definedName>
    <definedName name="AvStBase">'s6,s6a'!$N$22</definedName>
    <definedName name="AvStDed">'s6,s6a'!$Q$22</definedName>
    <definedName name="AvStGals">'s6,s6a'!$K$22</definedName>
    <definedName name="AvStPer">'s6,s6a'!$P$22</definedName>
    <definedName name="AvWaBase">'s6,s6a'!$N$23</definedName>
    <definedName name="AvWaDed">'s6,s6a'!$Q$23</definedName>
    <definedName name="AvWaGals">'s6,s6a'!$K$23</definedName>
    <definedName name="AvWaPer">'s6,s6a'!$P$23</definedName>
    <definedName name="AvWhBase">'s6,s6a'!$N$24</definedName>
    <definedName name="AvWhDed">'s6,s6a'!$Q$24</definedName>
    <definedName name="AvWhGals">'s6,s6a'!$K$24</definedName>
    <definedName name="AvWhPer">'s6,s6a'!$P$24</definedName>
    <definedName name="CA">'s1'!$M$120</definedName>
    <definedName name="CAG">'s2'!$B$118</definedName>
    <definedName name="_CAG1">s2a!$B$119</definedName>
    <definedName name="CAP">'s6,s6a'!$O$25</definedName>
    <definedName name="CH">'s1'!$N$120</definedName>
    <definedName name="CHG">'s2'!$C$118</definedName>
    <definedName name="_CHG1">s2a!$C$119</definedName>
    <definedName name="CIVILA">'s4'!$E$53</definedName>
    <definedName name="CL">'s1'!$O$120</definedName>
    <definedName name="CLG">'s2'!$D$118</definedName>
    <definedName name="_CLG1">s2a!$D$119</definedName>
    <definedName name="color" localSheetId="16">[1]s1!$A$104:$A$106,[1]s1!$A$7</definedName>
    <definedName name="color">'s1'!$A$120:$A$122,'s1'!$A$7</definedName>
    <definedName name="COUNTY1">s2a!$S$119</definedName>
    <definedName name="COUNTYOPTION">'s2'!$S$118</definedName>
    <definedName name="COUNTYTOTAL">'s3,s3b, s3d'!$H$173</definedName>
    <definedName name="CUFEE">'s7'!$B$97</definedName>
    <definedName name="DEALERS">zerortn!$B$9:$B$29</definedName>
    <definedName name="Diff">'s6,s6a'!$Q$29</definedName>
    <definedName name="Dist_1">'s6,s6a'!$AD$8:$AD$24</definedName>
    <definedName name="Dist_2">'s6,s6a'!$AE$8:$AE$24</definedName>
    <definedName name="Dist_3">'s6,s6a'!$AF$8:$AF$24</definedName>
    <definedName name="DISTSTUDY" localSheetId="16">[1]s4!#REF!</definedName>
    <definedName name="DISTSTUDY">'s4'!#REF!</definedName>
    <definedName name="DO">'s1'!$P$120</definedName>
    <definedName name="DOG">'s2'!$E$118</definedName>
    <definedName name="_DOG1">s2a!$E$119</definedName>
    <definedName name="EL">'s1'!$Q$120</definedName>
    <definedName name="ELG">'s2'!$F$118</definedName>
    <definedName name="_ELG1">s2a!$F$119</definedName>
    <definedName name="ES">'s1'!$R$120</definedName>
    <definedName name="ESG">'s2'!$G$118</definedName>
    <definedName name="_ESG1">s2a!$G$119</definedName>
    <definedName name="EU">'s1'!$S$120</definedName>
    <definedName name="EUG">'s2'!$H$118</definedName>
    <definedName name="_EUG1">s2a!$H$119</definedName>
    <definedName name="HU">'s1'!$T$120</definedName>
    <definedName name="HUG">'s2'!$I$118</definedName>
    <definedName name="_HUG1">s2a!$I$119</definedName>
    <definedName name="INSFEE">'s7'!$C$97</definedName>
    <definedName name="Jan96_M_F_Stat_s6_List">#REF!</definedName>
    <definedName name="_JET1">'s5'!$C$37</definedName>
    <definedName name="_JET2">'s5'!$E$37</definedName>
    <definedName name="JETTOTAL">'s5'!$B$38</definedName>
    <definedName name="LA">'s1'!$U$120</definedName>
    <definedName name="LAG">'s2'!$J$118</definedName>
    <definedName name="_LAG1">s2a!$J$119</definedName>
    <definedName name="LessAF535">'s4'!$F$10</definedName>
    <definedName name="LessWP535">'s4'!$C$10</definedName>
    <definedName name="LI">'s1'!$V$120</definedName>
    <definedName name="LICFEE">'s4'!$B$52</definedName>
    <definedName name="LIG">'s2'!$K$118</definedName>
    <definedName name="_LIG1">s2a!$K$119</definedName>
    <definedName name="LY">'s1'!$W$120</definedName>
    <definedName name="LYG">'s2'!$L$118</definedName>
    <definedName name="_LYG1">s2a!$L$119</definedName>
    <definedName name="MI">'s1'!$X$120</definedName>
    <definedName name="MIG">'s2'!$M$118</definedName>
    <definedName name="_MIG1">s2a!$M$119</definedName>
    <definedName name="MthDist">'s6,s6a'!$R$8:$R$24</definedName>
    <definedName name="NET12.65">'s4'!$G$8</definedName>
    <definedName name="_NET5">'s4'!$G$9</definedName>
    <definedName name="NET5.35">'s4'!$G$10</definedName>
    <definedName name="NETAV">'s6,s6a'!$V$25</definedName>
    <definedName name="NETCAG">'s4'!$G$15</definedName>
    <definedName name="NETCAG1">'s4'!$G$16</definedName>
    <definedName name="NETCHG">'s4'!$G$17</definedName>
    <definedName name="NETCHG1">'s4'!$G$18</definedName>
    <definedName name="NETCLG">'s4'!$G$19</definedName>
    <definedName name="NETCLG1">'s4'!$G$20</definedName>
    <definedName name="NETDOG">'s4'!$G$21</definedName>
    <definedName name="NETDOG1">'s4'!$G$22</definedName>
    <definedName name="NETELG">'s4'!$G$23</definedName>
    <definedName name="NETELG1">'s4'!$G$24</definedName>
    <definedName name="NETESG">'s4'!$G$25</definedName>
    <definedName name="NETESG1">'s4'!$G$26</definedName>
    <definedName name="NETEUG">'s4'!$G$27</definedName>
    <definedName name="NETEUG1">'s4'!$G$28</definedName>
    <definedName name="NETHUG">'s4'!$G$29</definedName>
    <definedName name="NETHUG1">'s4'!$G$30</definedName>
    <definedName name="NETLAG">'s4'!$G$31</definedName>
    <definedName name="NETLAG1">'s4'!$G$32</definedName>
    <definedName name="NETLIG">'s4'!$G$33</definedName>
    <definedName name="NETLIG1">'s4'!$G$34</definedName>
    <definedName name="NETLYG">'s4'!$G$35</definedName>
    <definedName name="NETLYG1">'s4'!$G$36</definedName>
    <definedName name="NETMIG">'s4'!$G$37</definedName>
    <definedName name="NETMIG1">'s4'!$G$38</definedName>
    <definedName name="NETNYG">'s4'!$G$39</definedName>
    <definedName name="NETNYG1">'s4'!$G$40</definedName>
    <definedName name="NETPEG">'s4'!$G$41</definedName>
    <definedName name="NETPEG1">'s4'!$G$42</definedName>
    <definedName name="NETSTG">'s4'!$G$43</definedName>
    <definedName name="NETSTG1">'s4'!$G$44</definedName>
    <definedName name="NETWAG">'s4'!$G$45</definedName>
    <definedName name="NETWAG1">'s4'!$G$46</definedName>
    <definedName name="NETWHG">'s4'!$G$47</definedName>
    <definedName name="NETWHG1">'s4'!$G$48</definedName>
    <definedName name="NY">'s1'!$Y$120</definedName>
    <definedName name="NYG">'s2'!$N$118</definedName>
    <definedName name="_NYG1">s2a!$N$119</definedName>
    <definedName name="OldClkFig">2701.14</definedName>
    <definedName name="PARKWILD" localSheetId="16">[1]s4!$C$52</definedName>
    <definedName name="PARKWILD">'s4'!$C$53</definedName>
    <definedName name="PE">'s1'!$Z$120</definedName>
    <definedName name="PEG">'s2'!$O$118</definedName>
    <definedName name="_PEG1">s2a!$O$119</definedName>
    <definedName name="_xlnm.Print_Area" localSheetId="16">Journal!$A$1:$G$55</definedName>
    <definedName name="_xlnm.Print_Area" localSheetId="0">'s1'!$A$1:$J$128</definedName>
    <definedName name="_xlnm.Print_Area" localSheetId="2">'s2'!$B$13:$S$118</definedName>
    <definedName name="_xlnm.Print_Area" localSheetId="3">s2a!$B$14:$S$119</definedName>
    <definedName name="_xlnm.Print_Area" localSheetId="5">s3a!$A$1:$K$58</definedName>
    <definedName name="_xlnm.Print_Area" localSheetId="6">s3b!$A$1:$O$42</definedName>
    <definedName name="_xlnm.Print_Area" localSheetId="7">s3c!$A$63:$I$115</definedName>
    <definedName name="_xlnm.Print_Titles" localSheetId="0">'s1'!$A:$A,'s1'!$1:$12</definedName>
    <definedName name="_xlnm.Print_Titles" localSheetId="2">'s2'!$A:$A,'s2'!$1:$11</definedName>
    <definedName name="_xlnm.Print_Titles" localSheetId="3">s2a!$A:$A,s2a!$1:$12</definedName>
    <definedName name="_xlnm.Print_Titles" localSheetId="4">'s3,s3b, s3d'!$31:$35</definedName>
    <definedName name="_xlnm.Print_Titles" localSheetId="5">s3a!$1:$7</definedName>
    <definedName name="_xlnm.Print_Titles" localSheetId="8">'s4'!$1:$7</definedName>
    <definedName name="_xlnm.Print_Titles" localSheetId="9">'s5'!$A:$A,'s5'!$1:$9</definedName>
    <definedName name="_xlnm.Print_Titles" localSheetId="10">s5a!$A:$A,s5a!$1:$8</definedName>
    <definedName name="_xlnm.Print_Titles" localSheetId="12">'s7'!$A:$A,'s7'!$1:$12</definedName>
    <definedName name="_xlnm.Print_Titles" localSheetId="1">zerortn!$1:$7</definedName>
    <definedName name="REFUNDS">'s4'!$D$53</definedName>
    <definedName name="ReportMonth">'s1'!$AO$1</definedName>
    <definedName name="S1_GALS">'s1'!$L$12:$AD$123</definedName>
    <definedName name="S1_MONEY">'s1'!$B$12:$J$122</definedName>
    <definedName name="S1Z_PR">zerortn!$A$1:$G$46</definedName>
    <definedName name="S2_MONEY">'s2'!$B$11:$S$118</definedName>
    <definedName name="S2A_MONEY">s2a!$B$14:$S$119</definedName>
    <definedName name="S3_P1">#REF!</definedName>
    <definedName name="S3_P2">#REF!</definedName>
    <definedName name="S3_P3">#REF!</definedName>
    <definedName name="S3_P4">#REF!</definedName>
    <definedName name="S3A">#REF!</definedName>
    <definedName name="S3C">#REF!</definedName>
    <definedName name="S4_PR">'s4'!$A$1:$G$53</definedName>
    <definedName name="S5_PR">'s5'!$A$1:$F$37</definedName>
    <definedName name="S5A_PR">s5a!$A$1:$W$29</definedName>
    <definedName name="S6_PR">'s6,s6a'!$A$1:$K$25</definedName>
    <definedName name="S6A_PR">'s6,s6a'!$M$1:$U$25</definedName>
    <definedName name="S7_PR">'s7'!$A$12:$S$97</definedName>
    <definedName name="ST">'s1'!$AA$120</definedName>
    <definedName name="ST12.65">'s1'!$D$122</definedName>
    <definedName name="_ST5">'s1'!$E$122</definedName>
    <definedName name="ST5.35">'s1'!$F$122</definedName>
    <definedName name="STG">'s2'!$P$118</definedName>
    <definedName name="_STG1">s2a!$P$119</definedName>
    <definedName name="TapeCF">'s7'!$B$100</definedName>
    <definedName name="TapeGas">'s1'!$J$126</definedName>
    <definedName name="TapeIF">'s7'!$C$100</definedName>
    <definedName name="TapeJet">'s5'!$B$39</definedName>
    <definedName name="TotalCOL">col!$A$1:$C$17</definedName>
    <definedName name="TotalDIS">dis!$A$1:$C$19</definedName>
    <definedName name="TOTALREF">'s4'!$D$53</definedName>
    <definedName name="TOTGAL">'s1'!$B$122</definedName>
    <definedName name="WA">'s1'!$AB$120</definedName>
    <definedName name="WAG">'s2'!$Q$118</definedName>
    <definedName name="_WAG1">s2a!$Q$119</definedName>
    <definedName name="WH">'s1'!$AC$120</definedName>
    <definedName name="WHG">'s2'!$R$118</definedName>
    <definedName name="_WHG1">s2a!$R$119</definedName>
    <definedName name="WILDPARK">'s4'!$C$53</definedName>
  </definedNames>
  <calcPr calcId="145621" fullCalcOnLoad="1" fullPrecision="0"/>
</workbook>
</file>

<file path=xl/calcChain.xml><?xml version="1.0" encoding="utf-8"?>
<calcChain xmlns="http://schemas.openxmlformats.org/spreadsheetml/2006/main">
  <c r="A3" i="11" l="1"/>
  <c r="C24" i="11"/>
  <c r="E24" i="11" s="1"/>
  <c r="C27" i="11"/>
  <c r="B41" i="11"/>
  <c r="B48" i="11"/>
  <c r="B57" i="11"/>
  <c r="B59" i="11"/>
  <c r="A3" i="12"/>
  <c r="C6" i="21"/>
  <c r="C4" i="21" s="1"/>
  <c r="E6" i="21"/>
  <c r="F6" i="21"/>
  <c r="G6" i="21"/>
  <c r="C7" i="21"/>
  <c r="E7" i="21"/>
  <c r="F7" i="21"/>
  <c r="G7" i="21"/>
  <c r="C8" i="21"/>
  <c r="E8" i="21"/>
  <c r="F8" i="21"/>
  <c r="G8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A2" i="1"/>
  <c r="A7" i="1"/>
  <c r="D13" i="1"/>
  <c r="E13" i="1"/>
  <c r="F13" i="1"/>
  <c r="H13" i="1"/>
  <c r="I13" i="1"/>
  <c r="AD13" i="1"/>
  <c r="AF13" i="1"/>
  <c r="AG13" i="1"/>
  <c r="AH13" i="1"/>
  <c r="AI13" i="1"/>
  <c r="AJ13" i="1"/>
  <c r="AK13" i="1"/>
  <c r="AL13" i="1"/>
  <c r="AM13" i="1"/>
  <c r="AN13" i="1"/>
  <c r="AO13" i="1"/>
  <c r="K12" i="3" s="1"/>
  <c r="AP13" i="1"/>
  <c r="L12" i="3" s="1"/>
  <c r="AQ13" i="1"/>
  <c r="M12" i="3" s="1"/>
  <c r="AR13" i="1"/>
  <c r="AS13" i="1"/>
  <c r="AT13" i="1"/>
  <c r="AU13" i="1"/>
  <c r="AV13" i="1"/>
  <c r="D14" i="1"/>
  <c r="E14" i="1"/>
  <c r="F14" i="1"/>
  <c r="H14" i="1"/>
  <c r="I14" i="1"/>
  <c r="AD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D15" i="1"/>
  <c r="E15" i="1"/>
  <c r="F15" i="1"/>
  <c r="H15" i="1"/>
  <c r="I15" i="1"/>
  <c r="AD15" i="1"/>
  <c r="AF15" i="1"/>
  <c r="AG15" i="1"/>
  <c r="C14" i="3" s="1"/>
  <c r="AH15" i="1"/>
  <c r="D14" i="3" s="1"/>
  <c r="AI15" i="1"/>
  <c r="E14" i="3" s="1"/>
  <c r="AJ15" i="1"/>
  <c r="F14" i="3" s="1"/>
  <c r="AK15" i="1"/>
  <c r="AL15" i="1"/>
  <c r="H14" i="3" s="1"/>
  <c r="AM15" i="1"/>
  <c r="AN15" i="1"/>
  <c r="AO15" i="1"/>
  <c r="AP15" i="1"/>
  <c r="AQ15" i="1"/>
  <c r="AR15" i="1"/>
  <c r="AS15" i="1"/>
  <c r="AT15" i="1"/>
  <c r="AU15" i="1"/>
  <c r="AV15" i="1"/>
  <c r="D16" i="1"/>
  <c r="E16" i="1"/>
  <c r="F16" i="1"/>
  <c r="H16" i="1"/>
  <c r="I16" i="1"/>
  <c r="AD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Q15" i="3" s="1"/>
  <c r="AV16" i="1"/>
  <c r="R15" i="3" s="1"/>
  <c r="D17" i="1"/>
  <c r="E17" i="1"/>
  <c r="F17" i="1"/>
  <c r="H17" i="1"/>
  <c r="I17" i="1"/>
  <c r="AD17" i="1"/>
  <c r="AF17" i="1"/>
  <c r="AG17" i="1"/>
  <c r="AH17" i="1"/>
  <c r="AI17" i="1"/>
  <c r="AJ17" i="1"/>
  <c r="F16" i="3" s="1"/>
  <c r="AK17" i="1"/>
  <c r="G16" i="3" s="1"/>
  <c r="AL17" i="1"/>
  <c r="H16" i="3" s="1"/>
  <c r="AM17" i="1"/>
  <c r="I16" i="3" s="1"/>
  <c r="AN17" i="1"/>
  <c r="J16" i="3" s="1"/>
  <c r="AO17" i="1"/>
  <c r="K16" i="3" s="1"/>
  <c r="AP17" i="1"/>
  <c r="AQ17" i="1"/>
  <c r="M16" i="3" s="1"/>
  <c r="AR17" i="1"/>
  <c r="N16" i="3" s="1"/>
  <c r="AS17" i="1"/>
  <c r="O16" i="3" s="1"/>
  <c r="AT17" i="1"/>
  <c r="P16" i="3" s="1"/>
  <c r="AU17" i="1"/>
  <c r="Q16" i="3" s="1"/>
  <c r="AV17" i="1"/>
  <c r="AW17" i="1"/>
  <c r="G17" i="1" s="1"/>
  <c r="J17" i="1" s="1"/>
  <c r="D18" i="1"/>
  <c r="E18" i="1"/>
  <c r="F18" i="1"/>
  <c r="H18" i="1"/>
  <c r="I18" i="1"/>
  <c r="AD18" i="1"/>
  <c r="AF18" i="1"/>
  <c r="AG18" i="1"/>
  <c r="AH18" i="1"/>
  <c r="AI18" i="1"/>
  <c r="AJ18" i="1"/>
  <c r="AK18" i="1"/>
  <c r="AL18" i="1"/>
  <c r="AM18" i="1"/>
  <c r="AN18" i="1"/>
  <c r="AO18" i="1"/>
  <c r="K17" i="3" s="1"/>
  <c r="AP18" i="1"/>
  <c r="L17" i="3" s="1"/>
  <c r="AQ18" i="1"/>
  <c r="M17" i="3" s="1"/>
  <c r="AR18" i="1"/>
  <c r="N17" i="3" s="1"/>
  <c r="AS18" i="1"/>
  <c r="AT18" i="1"/>
  <c r="P17" i="3" s="1"/>
  <c r="AU18" i="1"/>
  <c r="AV18" i="1"/>
  <c r="D19" i="1"/>
  <c r="E19" i="1"/>
  <c r="F19" i="1"/>
  <c r="H19" i="1"/>
  <c r="I19" i="1"/>
  <c r="AD19" i="1"/>
  <c r="AF19" i="1"/>
  <c r="AG19" i="1"/>
  <c r="C18" i="3" s="1"/>
  <c r="AH19" i="1"/>
  <c r="D18" i="3" s="1"/>
  <c r="AI19" i="1"/>
  <c r="E18" i="3" s="1"/>
  <c r="AJ19" i="1"/>
  <c r="F18" i="3" s="1"/>
  <c r="AK19" i="1"/>
  <c r="G18" i="3" s="1"/>
  <c r="AL19" i="1"/>
  <c r="AM19" i="1"/>
  <c r="I18" i="3" s="1"/>
  <c r="AN19" i="1"/>
  <c r="J18" i="3" s="1"/>
  <c r="AO19" i="1"/>
  <c r="AP19" i="1"/>
  <c r="AQ19" i="1"/>
  <c r="AR19" i="1"/>
  <c r="AS19" i="1"/>
  <c r="AT19" i="1"/>
  <c r="AU19" i="1"/>
  <c r="AV19" i="1"/>
  <c r="D20" i="1"/>
  <c r="E20" i="1"/>
  <c r="F20" i="1"/>
  <c r="H20" i="1"/>
  <c r="I20" i="1"/>
  <c r="AD20" i="1"/>
  <c r="AF20" i="1"/>
  <c r="AG20" i="1"/>
  <c r="C19" i="3" s="1"/>
  <c r="AH20" i="1"/>
  <c r="D19" i="3" s="1"/>
  <c r="AI20" i="1"/>
  <c r="E19" i="3" s="1"/>
  <c r="AJ20" i="1"/>
  <c r="F19" i="3" s="1"/>
  <c r="AK20" i="1"/>
  <c r="AL20" i="1"/>
  <c r="H19" i="3" s="1"/>
  <c r="AM20" i="1"/>
  <c r="I19" i="3" s="1"/>
  <c r="AN20" i="1"/>
  <c r="J19" i="3" s="1"/>
  <c r="AO20" i="1"/>
  <c r="K19" i="3" s="1"/>
  <c r="AP20" i="1"/>
  <c r="L19" i="3" s="1"/>
  <c r="AQ20" i="1"/>
  <c r="AR20" i="1"/>
  <c r="AS20" i="1"/>
  <c r="AT20" i="1"/>
  <c r="AU20" i="1"/>
  <c r="AV20" i="1"/>
  <c r="D21" i="1"/>
  <c r="E21" i="1"/>
  <c r="F21" i="1"/>
  <c r="H21" i="1"/>
  <c r="I21" i="1"/>
  <c r="AD21" i="1"/>
  <c r="AF21" i="1"/>
  <c r="AG21" i="1"/>
  <c r="C20" i="3" s="1"/>
  <c r="AH21" i="1"/>
  <c r="D20" i="3" s="1"/>
  <c r="AI21" i="1"/>
  <c r="E20" i="3" s="1"/>
  <c r="AJ21" i="1"/>
  <c r="F20" i="3" s="1"/>
  <c r="AK21" i="1"/>
  <c r="G20" i="3" s="1"/>
  <c r="AL21" i="1"/>
  <c r="H20" i="3" s="1"/>
  <c r="AM21" i="1"/>
  <c r="I20" i="3" s="1"/>
  <c r="AN21" i="1"/>
  <c r="J20" i="3" s="1"/>
  <c r="AO21" i="1"/>
  <c r="AP21" i="1"/>
  <c r="AQ21" i="1"/>
  <c r="M20" i="3" s="1"/>
  <c r="AR21" i="1"/>
  <c r="N20" i="3" s="1"/>
  <c r="AS21" i="1"/>
  <c r="O20" i="3" s="1"/>
  <c r="AT21" i="1"/>
  <c r="P20" i="3" s="1"/>
  <c r="AU21" i="1"/>
  <c r="Q20" i="3" s="1"/>
  <c r="AV21" i="1"/>
  <c r="R20" i="3" s="1"/>
  <c r="D22" i="1"/>
  <c r="E22" i="1"/>
  <c r="F22" i="1"/>
  <c r="G22" i="1"/>
  <c r="H22" i="1"/>
  <c r="I22" i="1"/>
  <c r="AD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D23" i="1"/>
  <c r="E23" i="1"/>
  <c r="F23" i="1"/>
  <c r="H23" i="1"/>
  <c r="I23" i="1"/>
  <c r="AD23" i="1"/>
  <c r="AF23" i="1"/>
  <c r="AG23" i="1"/>
  <c r="AH23" i="1"/>
  <c r="AI23" i="1"/>
  <c r="AJ23" i="1"/>
  <c r="AK23" i="1"/>
  <c r="AL23" i="1"/>
  <c r="AM23" i="1"/>
  <c r="AN23" i="1"/>
  <c r="AO23" i="1"/>
  <c r="AP23" i="1"/>
  <c r="L22" i="3" s="1"/>
  <c r="AQ23" i="1"/>
  <c r="M22" i="3" s="1"/>
  <c r="AR23" i="1"/>
  <c r="N22" i="3" s="1"/>
  <c r="AS23" i="1"/>
  <c r="O22" i="3" s="1"/>
  <c r="AT23" i="1"/>
  <c r="P22" i="3" s="1"/>
  <c r="AU23" i="1"/>
  <c r="Q22" i="3" s="1"/>
  <c r="AV23" i="1"/>
  <c r="R22" i="3" s="1"/>
  <c r="R118" i="3" s="1"/>
  <c r="AW23" i="1"/>
  <c r="G23" i="1" s="1"/>
  <c r="D24" i="1"/>
  <c r="E24" i="1"/>
  <c r="F24" i="1"/>
  <c r="H24" i="1"/>
  <c r="I24" i="1"/>
  <c r="AD24" i="1"/>
  <c r="AF24" i="1"/>
  <c r="AG24" i="1"/>
  <c r="AH24" i="1"/>
  <c r="AI24" i="1"/>
  <c r="AJ24" i="1"/>
  <c r="AK24" i="1"/>
  <c r="AL24" i="1"/>
  <c r="AM24" i="1"/>
  <c r="AN24" i="1"/>
  <c r="J23" i="3" s="1"/>
  <c r="AO24" i="1"/>
  <c r="K23" i="3" s="1"/>
  <c r="AP24" i="1"/>
  <c r="L23" i="3" s="1"/>
  <c r="AQ24" i="1"/>
  <c r="M23" i="3" s="1"/>
  <c r="AR24" i="1"/>
  <c r="N23" i="3" s="1"/>
  <c r="AS24" i="1"/>
  <c r="O23" i="3" s="1"/>
  <c r="AT24" i="1"/>
  <c r="P23" i="3" s="1"/>
  <c r="AU24" i="1"/>
  <c r="Q23" i="3" s="1"/>
  <c r="AV24" i="1"/>
  <c r="R23" i="3" s="1"/>
  <c r="D25" i="1"/>
  <c r="E25" i="1"/>
  <c r="F25" i="1"/>
  <c r="H25" i="1"/>
  <c r="I25" i="1"/>
  <c r="AD25" i="1"/>
  <c r="AF25" i="1"/>
  <c r="AG25" i="1"/>
  <c r="AH25" i="1"/>
  <c r="AI25" i="1"/>
  <c r="E24" i="3" s="1"/>
  <c r="AJ25" i="1"/>
  <c r="F24" i="3" s="1"/>
  <c r="AK25" i="1"/>
  <c r="G24" i="3" s="1"/>
  <c r="AL25" i="1"/>
  <c r="H24" i="3" s="1"/>
  <c r="AM25" i="1"/>
  <c r="I24" i="3" s="1"/>
  <c r="AN25" i="1"/>
  <c r="AO25" i="1"/>
  <c r="AP25" i="1"/>
  <c r="AQ25" i="1"/>
  <c r="AR25" i="1"/>
  <c r="AS25" i="1"/>
  <c r="AT25" i="1"/>
  <c r="AU25" i="1"/>
  <c r="Q24" i="3" s="1"/>
  <c r="AV25" i="1"/>
  <c r="D26" i="1"/>
  <c r="E26" i="1"/>
  <c r="F26" i="1"/>
  <c r="H26" i="1"/>
  <c r="I26" i="1"/>
  <c r="AD26" i="1"/>
  <c r="AF26" i="1"/>
  <c r="AG26" i="1"/>
  <c r="C25" i="3" s="1"/>
  <c r="AH26" i="1"/>
  <c r="D25" i="3" s="1"/>
  <c r="AI26" i="1"/>
  <c r="E25" i="3" s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D27" i="1"/>
  <c r="E27" i="1"/>
  <c r="F27" i="1"/>
  <c r="H27" i="1"/>
  <c r="I27" i="1"/>
  <c r="J27" i="1"/>
  <c r="AD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G27" i="1" s="1"/>
  <c r="D28" i="1"/>
  <c r="E28" i="1"/>
  <c r="F28" i="1"/>
  <c r="H28" i="1"/>
  <c r="I28" i="1"/>
  <c r="AD28" i="1"/>
  <c r="AF28" i="1"/>
  <c r="AG28" i="1"/>
  <c r="AH28" i="1"/>
  <c r="AI28" i="1"/>
  <c r="AJ28" i="1"/>
  <c r="AK28" i="1"/>
  <c r="G27" i="3" s="1"/>
  <c r="AL28" i="1"/>
  <c r="H27" i="3" s="1"/>
  <c r="AM28" i="1"/>
  <c r="I27" i="3" s="1"/>
  <c r="AN28" i="1"/>
  <c r="J27" i="3" s="1"/>
  <c r="AO28" i="1"/>
  <c r="K27" i="3" s="1"/>
  <c r="AP28" i="1"/>
  <c r="AQ28" i="1"/>
  <c r="AR28" i="1"/>
  <c r="N27" i="3" s="1"/>
  <c r="AS28" i="1"/>
  <c r="O27" i="3" s="1"/>
  <c r="AT28" i="1"/>
  <c r="P27" i="3" s="1"/>
  <c r="AU28" i="1"/>
  <c r="Q27" i="3" s="1"/>
  <c r="AV28" i="1"/>
  <c r="R27" i="3" s="1"/>
  <c r="AW28" i="1"/>
  <c r="G28" i="1" s="1"/>
  <c r="D29" i="1"/>
  <c r="E29" i="1"/>
  <c r="F29" i="1"/>
  <c r="H29" i="1"/>
  <c r="I29" i="1"/>
  <c r="AD29" i="1"/>
  <c r="AF29" i="1"/>
  <c r="AG29" i="1"/>
  <c r="C28" i="3" s="1"/>
  <c r="AH29" i="1"/>
  <c r="D28" i="3" s="1"/>
  <c r="AI29" i="1"/>
  <c r="E28" i="3" s="1"/>
  <c r="AJ29" i="1"/>
  <c r="F28" i="3" s="1"/>
  <c r="AK29" i="1"/>
  <c r="G28" i="3" s="1"/>
  <c r="AL29" i="1"/>
  <c r="H28" i="3" s="1"/>
  <c r="AM29" i="1"/>
  <c r="I28" i="3" s="1"/>
  <c r="AN29" i="1"/>
  <c r="J28" i="3" s="1"/>
  <c r="AO29" i="1"/>
  <c r="AP29" i="1"/>
  <c r="L28" i="3" s="1"/>
  <c r="AQ29" i="1"/>
  <c r="M28" i="3" s="1"/>
  <c r="AR29" i="1"/>
  <c r="AS29" i="1"/>
  <c r="O28" i="3" s="1"/>
  <c r="AT29" i="1"/>
  <c r="AU29" i="1"/>
  <c r="AV29" i="1"/>
  <c r="D30" i="1"/>
  <c r="E30" i="1"/>
  <c r="F30" i="1"/>
  <c r="H30" i="1"/>
  <c r="I30" i="1"/>
  <c r="AD30" i="1"/>
  <c r="AF30" i="1"/>
  <c r="AG30" i="1"/>
  <c r="AH30" i="1"/>
  <c r="D29" i="3" s="1"/>
  <c r="AI30" i="1"/>
  <c r="E29" i="3" s="1"/>
  <c r="AJ30" i="1"/>
  <c r="F29" i="3" s="1"/>
  <c r="AK30" i="1"/>
  <c r="G29" i="3" s="1"/>
  <c r="AL30" i="1"/>
  <c r="H29" i="3" s="1"/>
  <c r="AM30" i="1"/>
  <c r="AN30" i="1"/>
  <c r="AO30" i="1"/>
  <c r="AP30" i="1"/>
  <c r="AQ30" i="1"/>
  <c r="AR30" i="1"/>
  <c r="AS30" i="1"/>
  <c r="AT30" i="1"/>
  <c r="AU30" i="1"/>
  <c r="AV30" i="1"/>
  <c r="D31" i="1"/>
  <c r="E31" i="1"/>
  <c r="F31" i="1"/>
  <c r="H31" i="1"/>
  <c r="I31" i="1"/>
  <c r="AD31" i="1"/>
  <c r="AF31" i="1"/>
  <c r="AG31" i="1"/>
  <c r="AH31" i="1"/>
  <c r="D30" i="3" s="1"/>
  <c r="AI31" i="1"/>
  <c r="E30" i="3" s="1"/>
  <c r="AJ31" i="1"/>
  <c r="AK31" i="1"/>
  <c r="AL31" i="1"/>
  <c r="AM31" i="1"/>
  <c r="AN31" i="1"/>
  <c r="AO31" i="1"/>
  <c r="AP31" i="1"/>
  <c r="L30" i="3" s="1"/>
  <c r="AQ31" i="1"/>
  <c r="M30" i="3" s="1"/>
  <c r="AR31" i="1"/>
  <c r="N30" i="3" s="1"/>
  <c r="AS31" i="1"/>
  <c r="O30" i="3" s="1"/>
  <c r="AT31" i="1"/>
  <c r="P30" i="3" s="1"/>
  <c r="AU31" i="1"/>
  <c r="Q30" i="3" s="1"/>
  <c r="AV31" i="1"/>
  <c r="R30" i="3" s="1"/>
  <c r="D32" i="1"/>
  <c r="E32" i="1"/>
  <c r="F32" i="1"/>
  <c r="H32" i="1"/>
  <c r="I32" i="1"/>
  <c r="AD32" i="1"/>
  <c r="AF32" i="1"/>
  <c r="B31" i="3" s="1"/>
  <c r="AG32" i="1"/>
  <c r="C31" i="3" s="1"/>
  <c r="AH32" i="1"/>
  <c r="AI32" i="1"/>
  <c r="AJ32" i="1"/>
  <c r="AK32" i="1"/>
  <c r="AL32" i="1"/>
  <c r="AM32" i="1"/>
  <c r="AN32" i="1"/>
  <c r="AO32" i="1"/>
  <c r="K31" i="3" s="1"/>
  <c r="AP32" i="1"/>
  <c r="L31" i="3" s="1"/>
  <c r="AQ32" i="1"/>
  <c r="M31" i="3" s="1"/>
  <c r="AR32" i="1"/>
  <c r="N31" i="3" s="1"/>
  <c r="AS32" i="1"/>
  <c r="AT32" i="1"/>
  <c r="AU32" i="1"/>
  <c r="Q31" i="3" s="1"/>
  <c r="AV32" i="1"/>
  <c r="R31" i="3" s="1"/>
  <c r="D33" i="1"/>
  <c r="E33" i="1"/>
  <c r="F33" i="1"/>
  <c r="H33" i="1"/>
  <c r="I33" i="1"/>
  <c r="AD33" i="1"/>
  <c r="AF33" i="1"/>
  <c r="B32" i="3" s="1"/>
  <c r="AG33" i="1"/>
  <c r="C32" i="3" s="1"/>
  <c r="AH33" i="1"/>
  <c r="AI33" i="1"/>
  <c r="AJ33" i="1"/>
  <c r="F32" i="3" s="1"/>
  <c r="AK33" i="1"/>
  <c r="G32" i="3" s="1"/>
  <c r="AL33" i="1"/>
  <c r="H32" i="3" s="1"/>
  <c r="AM33" i="1"/>
  <c r="I32" i="3" s="1"/>
  <c r="AN33" i="1"/>
  <c r="J32" i="3" s="1"/>
  <c r="AO33" i="1"/>
  <c r="K32" i="3" s="1"/>
  <c r="AP33" i="1"/>
  <c r="AQ33" i="1"/>
  <c r="AR33" i="1"/>
  <c r="AS33" i="1"/>
  <c r="AT33" i="1"/>
  <c r="AU33" i="1"/>
  <c r="Q32" i="3" s="1"/>
  <c r="AV33" i="1"/>
  <c r="R32" i="3" s="1"/>
  <c r="AW33" i="1"/>
  <c r="G33" i="1" s="1"/>
  <c r="D34" i="1"/>
  <c r="E34" i="1"/>
  <c r="F34" i="1"/>
  <c r="H34" i="1"/>
  <c r="I34" i="1"/>
  <c r="AD34" i="1"/>
  <c r="AF34" i="1"/>
  <c r="AG34" i="1"/>
  <c r="C33" i="3" s="1"/>
  <c r="AH34" i="1"/>
  <c r="D33" i="3" s="1"/>
  <c r="AI34" i="1"/>
  <c r="E33" i="3" s="1"/>
  <c r="AJ34" i="1"/>
  <c r="AK34" i="1"/>
  <c r="AL34" i="1"/>
  <c r="AM34" i="1"/>
  <c r="AN34" i="1"/>
  <c r="AO34" i="1"/>
  <c r="AP34" i="1"/>
  <c r="L33" i="3" s="1"/>
  <c r="AQ34" i="1"/>
  <c r="M33" i="3" s="1"/>
  <c r="AR34" i="1"/>
  <c r="N33" i="3" s="1"/>
  <c r="AS34" i="1"/>
  <c r="O33" i="3" s="1"/>
  <c r="AT34" i="1"/>
  <c r="P33" i="3" s="1"/>
  <c r="AU34" i="1"/>
  <c r="AV34" i="1"/>
  <c r="D35" i="1"/>
  <c r="E35" i="1"/>
  <c r="F35" i="1"/>
  <c r="H35" i="1"/>
  <c r="I35" i="1"/>
  <c r="AD35" i="1"/>
  <c r="AF35" i="1"/>
  <c r="AG35" i="1"/>
  <c r="C34" i="3" s="1"/>
  <c r="AH35" i="1"/>
  <c r="D34" i="3" s="1"/>
  <c r="AI35" i="1"/>
  <c r="E34" i="3" s="1"/>
  <c r="AJ35" i="1"/>
  <c r="F34" i="3" s="1"/>
  <c r="AK35" i="1"/>
  <c r="AL35" i="1"/>
  <c r="AM35" i="1"/>
  <c r="AN35" i="1"/>
  <c r="J34" i="3" s="1"/>
  <c r="AO35" i="1"/>
  <c r="K34" i="3" s="1"/>
  <c r="AP35" i="1"/>
  <c r="L34" i="3" s="1"/>
  <c r="AQ35" i="1"/>
  <c r="M34" i="3" s="1"/>
  <c r="AR35" i="1"/>
  <c r="AS35" i="1"/>
  <c r="AT35" i="1"/>
  <c r="AU35" i="1"/>
  <c r="AV35" i="1"/>
  <c r="D36" i="1"/>
  <c r="E36" i="1"/>
  <c r="F36" i="1"/>
  <c r="H36" i="1"/>
  <c r="I36" i="1"/>
  <c r="AD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5" i="3" s="1"/>
  <c r="AR36" i="1"/>
  <c r="N35" i="3" s="1"/>
  <c r="AS36" i="1"/>
  <c r="O35" i="3" s="1"/>
  <c r="AT36" i="1"/>
  <c r="P35" i="3" s="1"/>
  <c r="AU36" i="1"/>
  <c r="Q35" i="3" s="1"/>
  <c r="AV36" i="1"/>
  <c r="R35" i="3" s="1"/>
  <c r="AW36" i="1"/>
  <c r="G36" i="1" s="1"/>
  <c r="J36" i="1" s="1"/>
  <c r="D37" i="1"/>
  <c r="E37" i="1"/>
  <c r="F37" i="1"/>
  <c r="H37" i="1"/>
  <c r="I37" i="1"/>
  <c r="AD37" i="1"/>
  <c r="AF37" i="1"/>
  <c r="AG37" i="1"/>
  <c r="AH37" i="1"/>
  <c r="AI37" i="1"/>
  <c r="AJ37" i="1"/>
  <c r="F36" i="3" s="1"/>
  <c r="AK37" i="1"/>
  <c r="G36" i="3" s="1"/>
  <c r="AL37" i="1"/>
  <c r="H36" i="3" s="1"/>
  <c r="AM37" i="1"/>
  <c r="I36" i="3" s="1"/>
  <c r="AN37" i="1"/>
  <c r="J36" i="3" s="1"/>
  <c r="AO37" i="1"/>
  <c r="K36" i="3" s="1"/>
  <c r="AP37" i="1"/>
  <c r="L36" i="3" s="1"/>
  <c r="AQ37" i="1"/>
  <c r="M36" i="3" s="1"/>
  <c r="AR37" i="1"/>
  <c r="N36" i="3" s="1"/>
  <c r="AS37" i="1"/>
  <c r="O36" i="3" s="1"/>
  <c r="AT37" i="1"/>
  <c r="P36" i="3" s="1"/>
  <c r="AU37" i="1"/>
  <c r="Q36" i="3" s="1"/>
  <c r="AV37" i="1"/>
  <c r="R36" i="3" s="1"/>
  <c r="D38" i="1"/>
  <c r="E38" i="1"/>
  <c r="F38" i="1"/>
  <c r="H38" i="1"/>
  <c r="I38" i="1"/>
  <c r="AD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R37" i="3" s="1"/>
  <c r="D39" i="1"/>
  <c r="E39" i="1"/>
  <c r="F39" i="1"/>
  <c r="H39" i="1"/>
  <c r="I39" i="1"/>
  <c r="AD39" i="1"/>
  <c r="AF39" i="1"/>
  <c r="AG39" i="1"/>
  <c r="C38" i="3" s="1"/>
  <c r="AH39" i="1"/>
  <c r="D38" i="3" s="1"/>
  <c r="AI39" i="1"/>
  <c r="E38" i="3" s="1"/>
  <c r="AJ39" i="1"/>
  <c r="F38" i="3" s="1"/>
  <c r="AK39" i="1"/>
  <c r="G38" i="3" s="1"/>
  <c r="AL39" i="1"/>
  <c r="H38" i="3" s="1"/>
  <c r="AM39" i="1"/>
  <c r="I38" i="3" s="1"/>
  <c r="AN39" i="1"/>
  <c r="J38" i="3" s="1"/>
  <c r="AO39" i="1"/>
  <c r="K38" i="3" s="1"/>
  <c r="AP39" i="1"/>
  <c r="L38" i="3" s="1"/>
  <c r="AQ39" i="1"/>
  <c r="M38" i="3" s="1"/>
  <c r="AR39" i="1"/>
  <c r="N38" i="3" s="1"/>
  <c r="AS39" i="1"/>
  <c r="O38" i="3" s="1"/>
  <c r="AT39" i="1"/>
  <c r="P38" i="3" s="1"/>
  <c r="AU39" i="1"/>
  <c r="Q38" i="3" s="1"/>
  <c r="AV39" i="1"/>
  <c r="D40" i="1"/>
  <c r="E40" i="1"/>
  <c r="F40" i="1"/>
  <c r="H40" i="1"/>
  <c r="I40" i="1"/>
  <c r="AD40" i="1"/>
  <c r="AF40" i="1"/>
  <c r="AG40" i="1"/>
  <c r="C39" i="3" s="1"/>
  <c r="AH40" i="1"/>
  <c r="D39" i="3" s="1"/>
  <c r="AI40" i="1"/>
  <c r="AJ40" i="1"/>
  <c r="AK40" i="1"/>
  <c r="AL40" i="1"/>
  <c r="AM40" i="1"/>
  <c r="AN40" i="1"/>
  <c r="J39" i="3" s="1"/>
  <c r="AO40" i="1"/>
  <c r="K39" i="3" s="1"/>
  <c r="AP40" i="1"/>
  <c r="L39" i="3" s="1"/>
  <c r="AQ40" i="1"/>
  <c r="M39" i="3" s="1"/>
  <c r="AR40" i="1"/>
  <c r="N39" i="3" s="1"/>
  <c r="AS40" i="1"/>
  <c r="AT40" i="1"/>
  <c r="AU40" i="1"/>
  <c r="AV40" i="1"/>
  <c r="D41" i="1"/>
  <c r="E41" i="1"/>
  <c r="F41" i="1"/>
  <c r="H41" i="1"/>
  <c r="I41" i="1"/>
  <c r="AD41" i="1"/>
  <c r="AF41" i="1"/>
  <c r="AG41" i="1"/>
  <c r="AH41" i="1"/>
  <c r="AI41" i="1"/>
  <c r="AJ41" i="1"/>
  <c r="AK41" i="1"/>
  <c r="AL41" i="1"/>
  <c r="AM41" i="1"/>
  <c r="AN41" i="1"/>
  <c r="AO41" i="1"/>
  <c r="AP41" i="1"/>
  <c r="L40" i="3" s="1"/>
  <c r="AQ41" i="1"/>
  <c r="AR41" i="1"/>
  <c r="AS41" i="1"/>
  <c r="AT41" i="1"/>
  <c r="AU41" i="1"/>
  <c r="AV41" i="1"/>
  <c r="AW41" i="1"/>
  <c r="G41" i="1" s="1"/>
  <c r="D42" i="1"/>
  <c r="E42" i="1"/>
  <c r="F42" i="1"/>
  <c r="H42" i="1"/>
  <c r="I42" i="1"/>
  <c r="AD42" i="1"/>
  <c r="AF42" i="1"/>
  <c r="AG42" i="1"/>
  <c r="AH42" i="1"/>
  <c r="AI42" i="1"/>
  <c r="AJ42" i="1"/>
  <c r="AK42" i="1"/>
  <c r="AL42" i="1"/>
  <c r="AM42" i="1"/>
  <c r="AN42" i="1"/>
  <c r="AO42" i="1"/>
  <c r="K41" i="3" s="1"/>
  <c r="AP42" i="1"/>
  <c r="L41" i="3" s="1"/>
  <c r="AQ42" i="1"/>
  <c r="M41" i="3" s="1"/>
  <c r="AR42" i="1"/>
  <c r="N41" i="3" s="1"/>
  <c r="AS42" i="1"/>
  <c r="O41" i="3" s="1"/>
  <c r="AT42" i="1"/>
  <c r="P41" i="3" s="1"/>
  <c r="AU42" i="1"/>
  <c r="AV42" i="1"/>
  <c r="D43" i="1"/>
  <c r="E43" i="1"/>
  <c r="F43" i="1"/>
  <c r="F120" i="1" s="1"/>
  <c r="F122" i="1" s="1"/>
  <c r="H43" i="1"/>
  <c r="I43" i="1"/>
  <c r="AD43" i="1"/>
  <c r="AF43" i="1"/>
  <c r="AG43" i="1"/>
  <c r="C42" i="3" s="1"/>
  <c r="AH43" i="1"/>
  <c r="D42" i="3" s="1"/>
  <c r="AI43" i="1"/>
  <c r="AJ43" i="1"/>
  <c r="AK43" i="1"/>
  <c r="G42" i="3" s="1"/>
  <c r="AL43" i="1"/>
  <c r="AM43" i="1"/>
  <c r="AN43" i="1"/>
  <c r="AO43" i="1"/>
  <c r="AP43" i="1"/>
  <c r="AQ43" i="1"/>
  <c r="AR43" i="1"/>
  <c r="AS43" i="1"/>
  <c r="AT43" i="1"/>
  <c r="P42" i="3" s="1"/>
  <c r="AU43" i="1"/>
  <c r="AV43" i="1"/>
  <c r="D44" i="1"/>
  <c r="E44" i="1"/>
  <c r="F44" i="1"/>
  <c r="H44" i="1"/>
  <c r="I44" i="1"/>
  <c r="AD44" i="1"/>
  <c r="AF44" i="1"/>
  <c r="AG44" i="1"/>
  <c r="C43" i="3" s="1"/>
  <c r="AH44" i="1"/>
  <c r="D43" i="3" s="1"/>
  <c r="AI44" i="1"/>
  <c r="E43" i="3" s="1"/>
  <c r="AJ44" i="1"/>
  <c r="F43" i="3" s="1"/>
  <c r="AK44" i="1"/>
  <c r="G43" i="3" s="1"/>
  <c r="AL44" i="1"/>
  <c r="H43" i="3" s="1"/>
  <c r="AM44" i="1"/>
  <c r="I43" i="3" s="1"/>
  <c r="AN44" i="1"/>
  <c r="J43" i="3" s="1"/>
  <c r="AO44" i="1"/>
  <c r="K43" i="3" s="1"/>
  <c r="AP44" i="1"/>
  <c r="L43" i="3" s="1"/>
  <c r="AQ44" i="1"/>
  <c r="M43" i="3" s="1"/>
  <c r="AR44" i="1"/>
  <c r="N43" i="3" s="1"/>
  <c r="AS44" i="1"/>
  <c r="O43" i="3" s="1"/>
  <c r="AT44" i="1"/>
  <c r="P43" i="3" s="1"/>
  <c r="AU44" i="1"/>
  <c r="Q43" i="3" s="1"/>
  <c r="AV44" i="1"/>
  <c r="D45" i="1"/>
  <c r="E45" i="1"/>
  <c r="F45" i="1"/>
  <c r="H45" i="1"/>
  <c r="I45" i="1"/>
  <c r="AD45" i="1"/>
  <c r="AF45" i="1"/>
  <c r="AG45" i="1"/>
  <c r="AH45" i="1"/>
  <c r="AI45" i="1"/>
  <c r="AJ45" i="1"/>
  <c r="AK45" i="1"/>
  <c r="AL45" i="1"/>
  <c r="AM45" i="1"/>
  <c r="I44" i="3" s="1"/>
  <c r="AN45" i="1"/>
  <c r="J44" i="3" s="1"/>
  <c r="AO45" i="1"/>
  <c r="K44" i="3" s="1"/>
  <c r="AP45" i="1"/>
  <c r="L44" i="3" s="1"/>
  <c r="AQ45" i="1"/>
  <c r="M44" i="3" s="1"/>
  <c r="AR45" i="1"/>
  <c r="N44" i="3" s="1"/>
  <c r="AS45" i="1"/>
  <c r="O44" i="3" s="1"/>
  <c r="AT45" i="1"/>
  <c r="P44" i="3" s="1"/>
  <c r="AU45" i="1"/>
  <c r="Q44" i="3" s="1"/>
  <c r="AV45" i="1"/>
  <c r="D46" i="1"/>
  <c r="E46" i="1"/>
  <c r="F46" i="1"/>
  <c r="H46" i="1"/>
  <c r="I46" i="1"/>
  <c r="AD46" i="1"/>
  <c r="AF46" i="1"/>
  <c r="AG46" i="1"/>
  <c r="C45" i="3" s="1"/>
  <c r="AH46" i="1"/>
  <c r="D45" i="3" s="1"/>
  <c r="AI46" i="1"/>
  <c r="E45" i="3" s="1"/>
  <c r="AJ46" i="1"/>
  <c r="F45" i="3" s="1"/>
  <c r="AK46" i="1"/>
  <c r="G45" i="3" s="1"/>
  <c r="AL46" i="1"/>
  <c r="AM46" i="1"/>
  <c r="AN46" i="1"/>
  <c r="AO46" i="1"/>
  <c r="AP46" i="1"/>
  <c r="AQ46" i="1"/>
  <c r="AR46" i="1"/>
  <c r="AS46" i="1"/>
  <c r="AT46" i="1"/>
  <c r="AU46" i="1"/>
  <c r="AV46" i="1"/>
  <c r="AW46" i="1"/>
  <c r="G46" i="1" s="1"/>
  <c r="D47" i="1"/>
  <c r="E47" i="1"/>
  <c r="F47" i="1"/>
  <c r="H47" i="1"/>
  <c r="I47" i="1"/>
  <c r="AD47" i="1"/>
  <c r="AF47" i="1"/>
  <c r="AG47" i="1"/>
  <c r="C46" i="3" s="1"/>
  <c r="AH47" i="1"/>
  <c r="D46" i="3" s="1"/>
  <c r="AI47" i="1"/>
  <c r="AJ47" i="1"/>
  <c r="AK47" i="1"/>
  <c r="AL47" i="1"/>
  <c r="AM47" i="1"/>
  <c r="AN47" i="1"/>
  <c r="AO47" i="1"/>
  <c r="AP47" i="1"/>
  <c r="AQ47" i="1"/>
  <c r="AR47" i="1"/>
  <c r="N46" i="3" s="1"/>
  <c r="AS47" i="1"/>
  <c r="AT47" i="1"/>
  <c r="AU47" i="1"/>
  <c r="AV47" i="1"/>
  <c r="D48" i="1"/>
  <c r="E48" i="1"/>
  <c r="F48" i="1"/>
  <c r="H48" i="1"/>
  <c r="I48" i="1"/>
  <c r="AD48" i="1"/>
  <c r="AF48" i="1"/>
  <c r="AG48" i="1"/>
  <c r="C47" i="3" s="1"/>
  <c r="AH48" i="1"/>
  <c r="D47" i="3" s="1"/>
  <c r="AI48" i="1"/>
  <c r="E47" i="3" s="1"/>
  <c r="AJ48" i="1"/>
  <c r="F47" i="3" s="1"/>
  <c r="AK48" i="1"/>
  <c r="G47" i="3" s="1"/>
  <c r="AL48" i="1"/>
  <c r="H47" i="3" s="1"/>
  <c r="AM48" i="1"/>
  <c r="I47" i="3" s="1"/>
  <c r="AN48" i="1"/>
  <c r="J47" i="3" s="1"/>
  <c r="AO48" i="1"/>
  <c r="AP48" i="1"/>
  <c r="AQ48" i="1"/>
  <c r="AR48" i="1"/>
  <c r="AS48" i="1"/>
  <c r="AT48" i="1"/>
  <c r="AU48" i="1"/>
  <c r="AV48" i="1"/>
  <c r="D49" i="1"/>
  <c r="E49" i="1"/>
  <c r="F49" i="1"/>
  <c r="H49" i="1"/>
  <c r="I49" i="1"/>
  <c r="AD49" i="1"/>
  <c r="AF49" i="1"/>
  <c r="B48" i="3" s="1"/>
  <c r="AG49" i="1"/>
  <c r="C48" i="3" s="1"/>
  <c r="AH49" i="1"/>
  <c r="D48" i="3" s="1"/>
  <c r="AI49" i="1"/>
  <c r="E48" i="3" s="1"/>
  <c r="AJ49" i="1"/>
  <c r="F48" i="3" s="1"/>
  <c r="AK49" i="1"/>
  <c r="G48" i="3" s="1"/>
  <c r="AL49" i="1"/>
  <c r="H48" i="3" s="1"/>
  <c r="AM49" i="1"/>
  <c r="I48" i="3" s="1"/>
  <c r="AN49" i="1"/>
  <c r="J48" i="3" s="1"/>
  <c r="AO49" i="1"/>
  <c r="K48" i="3" s="1"/>
  <c r="AP49" i="1"/>
  <c r="L48" i="3" s="1"/>
  <c r="AQ49" i="1"/>
  <c r="M48" i="3" s="1"/>
  <c r="AR49" i="1"/>
  <c r="N48" i="3" s="1"/>
  <c r="AS49" i="1"/>
  <c r="O48" i="3" s="1"/>
  <c r="AT49" i="1"/>
  <c r="P48" i="3" s="1"/>
  <c r="AU49" i="1"/>
  <c r="Q48" i="3" s="1"/>
  <c r="AV49" i="1"/>
  <c r="R48" i="3" s="1"/>
  <c r="D50" i="1"/>
  <c r="E50" i="1"/>
  <c r="F50" i="1"/>
  <c r="H50" i="1"/>
  <c r="I50" i="1"/>
  <c r="AD50" i="1"/>
  <c r="AF50" i="1"/>
  <c r="AG50" i="1"/>
  <c r="AH50" i="1"/>
  <c r="AI50" i="1"/>
  <c r="AJ50" i="1"/>
  <c r="AK50" i="1"/>
  <c r="AL50" i="1"/>
  <c r="H49" i="3" s="1"/>
  <c r="AM50" i="1"/>
  <c r="AN50" i="1"/>
  <c r="AO50" i="1"/>
  <c r="K49" i="3" s="1"/>
  <c r="AP50" i="1"/>
  <c r="L49" i="3" s="1"/>
  <c r="AQ50" i="1"/>
  <c r="M49" i="3" s="1"/>
  <c r="AR50" i="1"/>
  <c r="N49" i="3" s="1"/>
  <c r="AS50" i="1"/>
  <c r="O49" i="3" s="1"/>
  <c r="AT50" i="1"/>
  <c r="P49" i="3" s="1"/>
  <c r="AU50" i="1"/>
  <c r="Q49" i="3" s="1"/>
  <c r="AV50" i="1"/>
  <c r="R49" i="3" s="1"/>
  <c r="AW50" i="1"/>
  <c r="G50" i="1" s="1"/>
  <c r="J50" i="1" s="1"/>
  <c r="D51" i="1"/>
  <c r="E51" i="1"/>
  <c r="F51" i="1"/>
  <c r="G51" i="1"/>
  <c r="H51" i="1"/>
  <c r="I51" i="1"/>
  <c r="AD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D52" i="1"/>
  <c r="E52" i="1"/>
  <c r="F52" i="1"/>
  <c r="H52" i="1"/>
  <c r="I52" i="1"/>
  <c r="AD52" i="1"/>
  <c r="AF52" i="1"/>
  <c r="AG52" i="1"/>
  <c r="C51" i="3" s="1"/>
  <c r="AH52" i="1"/>
  <c r="D51" i="3" s="1"/>
  <c r="AI52" i="1"/>
  <c r="AJ52" i="1"/>
  <c r="AK52" i="1"/>
  <c r="AL52" i="1"/>
  <c r="AM52" i="1"/>
  <c r="AN52" i="1"/>
  <c r="AO52" i="1"/>
  <c r="AP52" i="1"/>
  <c r="L51" i="3" s="1"/>
  <c r="AQ52" i="1"/>
  <c r="AR52" i="1"/>
  <c r="AS52" i="1"/>
  <c r="AT52" i="1"/>
  <c r="AU52" i="1"/>
  <c r="AV52" i="1"/>
  <c r="R51" i="3" s="1"/>
  <c r="D53" i="1"/>
  <c r="E53" i="1"/>
  <c r="F53" i="1"/>
  <c r="H53" i="1"/>
  <c r="I53" i="1"/>
  <c r="AD53" i="1"/>
  <c r="AF53" i="1"/>
  <c r="AG53" i="1"/>
  <c r="C52" i="3" s="1"/>
  <c r="AH53" i="1"/>
  <c r="D52" i="3" s="1"/>
  <c r="AI53" i="1"/>
  <c r="E52" i="3" s="1"/>
  <c r="AJ53" i="1"/>
  <c r="F52" i="3" s="1"/>
  <c r="AK53" i="1"/>
  <c r="G52" i="3" s="1"/>
  <c r="AL53" i="1"/>
  <c r="H52" i="3" s="1"/>
  <c r="AM53" i="1"/>
  <c r="I52" i="3" s="1"/>
  <c r="AN53" i="1"/>
  <c r="J52" i="3" s="1"/>
  <c r="AO53" i="1"/>
  <c r="K52" i="3" s="1"/>
  <c r="AP53" i="1"/>
  <c r="AQ53" i="1"/>
  <c r="AR53" i="1"/>
  <c r="AS53" i="1"/>
  <c r="O52" i="3" s="1"/>
  <c r="AT53" i="1"/>
  <c r="AU53" i="1"/>
  <c r="AV53" i="1"/>
  <c r="D54" i="1"/>
  <c r="E54" i="1"/>
  <c r="F54" i="1"/>
  <c r="H54" i="1"/>
  <c r="I54" i="1"/>
  <c r="AD54" i="1"/>
  <c r="AF54" i="1"/>
  <c r="AG54" i="1"/>
  <c r="C53" i="3" s="1"/>
  <c r="AH54" i="1"/>
  <c r="D53" i="3" s="1"/>
  <c r="AI54" i="1"/>
  <c r="E53" i="3" s="1"/>
  <c r="AJ54" i="1"/>
  <c r="F53" i="3" s="1"/>
  <c r="AK54" i="1"/>
  <c r="G53" i="3" s="1"/>
  <c r="AL54" i="1"/>
  <c r="H53" i="3" s="1"/>
  <c r="AM54" i="1"/>
  <c r="I53" i="3" s="1"/>
  <c r="AN54" i="1"/>
  <c r="J53" i="3" s="1"/>
  <c r="AO54" i="1"/>
  <c r="K53" i="3" s="1"/>
  <c r="AP54" i="1"/>
  <c r="L53" i="3" s="1"/>
  <c r="AQ54" i="1"/>
  <c r="M53" i="3" s="1"/>
  <c r="AR54" i="1"/>
  <c r="N53" i="3" s="1"/>
  <c r="AS54" i="1"/>
  <c r="O53" i="3" s="1"/>
  <c r="AT54" i="1"/>
  <c r="P53" i="3" s="1"/>
  <c r="AU54" i="1"/>
  <c r="Q53" i="3" s="1"/>
  <c r="AV54" i="1"/>
  <c r="D55" i="1"/>
  <c r="E55" i="1"/>
  <c r="F55" i="1"/>
  <c r="H55" i="1"/>
  <c r="I55" i="1"/>
  <c r="AD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4" i="3" s="1"/>
  <c r="AR55" i="1"/>
  <c r="AS55" i="1"/>
  <c r="AT55" i="1"/>
  <c r="P54" i="3" s="1"/>
  <c r="AU55" i="1"/>
  <c r="Q54" i="3" s="1"/>
  <c r="AV55" i="1"/>
  <c r="R54" i="3" s="1"/>
  <c r="AW55" i="1"/>
  <c r="G55" i="1" s="1"/>
  <c r="D56" i="1"/>
  <c r="E56" i="1"/>
  <c r="F56" i="1"/>
  <c r="H56" i="1"/>
  <c r="I56" i="1"/>
  <c r="AD56" i="1"/>
  <c r="AF56" i="1"/>
  <c r="AG56" i="1"/>
  <c r="AH56" i="1"/>
  <c r="AI56" i="1"/>
  <c r="AJ56" i="1"/>
  <c r="AK56" i="1"/>
  <c r="AL56" i="1"/>
  <c r="AM56" i="1"/>
  <c r="AN56" i="1"/>
  <c r="AO56" i="1"/>
  <c r="K55" i="3" s="1"/>
  <c r="AP56" i="1"/>
  <c r="L55" i="3" s="1"/>
  <c r="AQ56" i="1"/>
  <c r="M55" i="3" s="1"/>
  <c r="AR56" i="1"/>
  <c r="N55" i="3" s="1"/>
  <c r="AS56" i="1"/>
  <c r="O55" i="3" s="1"/>
  <c r="AT56" i="1"/>
  <c r="P55" i="3" s="1"/>
  <c r="AU56" i="1"/>
  <c r="Q55" i="3" s="1"/>
  <c r="AV56" i="1"/>
  <c r="R55" i="3" s="1"/>
  <c r="D57" i="1"/>
  <c r="E57" i="1"/>
  <c r="F57" i="1"/>
  <c r="H57" i="1"/>
  <c r="I57" i="1"/>
  <c r="AD57" i="1"/>
  <c r="AF57" i="1"/>
  <c r="AG57" i="1"/>
  <c r="C56" i="3" s="1"/>
  <c r="AH57" i="1"/>
  <c r="D56" i="3" s="1"/>
  <c r="AI57" i="1"/>
  <c r="AJ57" i="1"/>
  <c r="AK57" i="1"/>
  <c r="AL57" i="1"/>
  <c r="AM57" i="1"/>
  <c r="AN57" i="1"/>
  <c r="AO57" i="1"/>
  <c r="AP57" i="1"/>
  <c r="AQ57" i="1"/>
  <c r="AR57" i="1"/>
  <c r="AS57" i="1"/>
  <c r="AT57" i="1"/>
  <c r="P56" i="3" s="1"/>
  <c r="AU57" i="1"/>
  <c r="Q56" i="3" s="1"/>
  <c r="AV57" i="1"/>
  <c r="R56" i="3" s="1"/>
  <c r="D58" i="1"/>
  <c r="E58" i="1"/>
  <c r="F58" i="1"/>
  <c r="H58" i="1"/>
  <c r="I58" i="1"/>
  <c r="AD58" i="1"/>
  <c r="AF58" i="1"/>
  <c r="AG58" i="1"/>
  <c r="C57" i="3" s="1"/>
  <c r="AH58" i="1"/>
  <c r="D57" i="3" s="1"/>
  <c r="AI58" i="1"/>
  <c r="E57" i="3" s="1"/>
  <c r="AJ58" i="1"/>
  <c r="F57" i="3" s="1"/>
  <c r="AK58" i="1"/>
  <c r="G57" i="3" s="1"/>
  <c r="AL58" i="1"/>
  <c r="H57" i="3" s="1"/>
  <c r="AM58" i="1"/>
  <c r="I57" i="3" s="1"/>
  <c r="AN58" i="1"/>
  <c r="J57" i="3" s="1"/>
  <c r="AO58" i="1"/>
  <c r="K57" i="3" s="1"/>
  <c r="AP58" i="1"/>
  <c r="L57" i="3" s="1"/>
  <c r="AQ58" i="1"/>
  <c r="M57" i="3" s="1"/>
  <c r="AR58" i="1"/>
  <c r="AS58" i="1"/>
  <c r="AT58" i="1"/>
  <c r="AU58" i="1"/>
  <c r="AV58" i="1"/>
  <c r="D59" i="1"/>
  <c r="E59" i="1"/>
  <c r="F59" i="1"/>
  <c r="H59" i="1"/>
  <c r="I59" i="1"/>
  <c r="AD59" i="1"/>
  <c r="AF59" i="1"/>
  <c r="AG59" i="1"/>
  <c r="C58" i="3" s="1"/>
  <c r="AH59" i="1"/>
  <c r="D58" i="3" s="1"/>
  <c r="AI59" i="1"/>
  <c r="E58" i="3" s="1"/>
  <c r="AJ59" i="1"/>
  <c r="F58" i="3" s="1"/>
  <c r="AK59" i="1"/>
  <c r="G58" i="3" s="1"/>
  <c r="AL59" i="1"/>
  <c r="H58" i="3" s="1"/>
  <c r="AM59" i="1"/>
  <c r="I58" i="3" s="1"/>
  <c r="AN59" i="1"/>
  <c r="J58" i="3" s="1"/>
  <c r="AO59" i="1"/>
  <c r="AP59" i="1"/>
  <c r="L58" i="3" s="1"/>
  <c r="AQ59" i="1"/>
  <c r="M58" i="3" s="1"/>
  <c r="AR59" i="1"/>
  <c r="N58" i="3" s="1"/>
  <c r="AS59" i="1"/>
  <c r="O58" i="3" s="1"/>
  <c r="AT59" i="1"/>
  <c r="P58" i="3" s="1"/>
  <c r="AU59" i="1"/>
  <c r="Q58" i="3" s="1"/>
  <c r="AV59" i="1"/>
  <c r="D60" i="1"/>
  <c r="E60" i="1"/>
  <c r="F60" i="1"/>
  <c r="H60" i="1"/>
  <c r="I60" i="1"/>
  <c r="AD60" i="1"/>
  <c r="AF60" i="1"/>
  <c r="AG60" i="1"/>
  <c r="AH60" i="1"/>
  <c r="AI60" i="1"/>
  <c r="AJ60" i="1"/>
  <c r="F59" i="3" s="1"/>
  <c r="AK60" i="1"/>
  <c r="G59" i="3" s="1"/>
  <c r="AL60" i="1"/>
  <c r="H59" i="3" s="1"/>
  <c r="AM60" i="1"/>
  <c r="I59" i="3" s="1"/>
  <c r="AN60" i="1"/>
  <c r="J59" i="3" s="1"/>
  <c r="AO60" i="1"/>
  <c r="K59" i="3" s="1"/>
  <c r="AP60" i="1"/>
  <c r="AQ60" i="1"/>
  <c r="AR60" i="1"/>
  <c r="AS60" i="1"/>
  <c r="AT60" i="1"/>
  <c r="AU60" i="1"/>
  <c r="Q59" i="3" s="1"/>
  <c r="AV60" i="1"/>
  <c r="D61" i="1"/>
  <c r="E61" i="1"/>
  <c r="F61" i="1"/>
  <c r="H61" i="1"/>
  <c r="I61" i="1"/>
  <c r="AD61" i="1"/>
  <c r="AF61" i="1"/>
  <c r="AG61" i="1"/>
  <c r="AH61" i="1"/>
  <c r="AI61" i="1"/>
  <c r="AJ61" i="1"/>
  <c r="AK61" i="1"/>
  <c r="AL61" i="1"/>
  <c r="AM61" i="1"/>
  <c r="AN61" i="1"/>
  <c r="J60" i="3" s="1"/>
  <c r="AO61" i="1"/>
  <c r="K60" i="3" s="1"/>
  <c r="AP61" i="1"/>
  <c r="L60" i="3" s="1"/>
  <c r="AQ61" i="1"/>
  <c r="AR61" i="1"/>
  <c r="N60" i="3" s="1"/>
  <c r="AS61" i="1"/>
  <c r="O60" i="3" s="1"/>
  <c r="AT61" i="1"/>
  <c r="P60" i="3" s="1"/>
  <c r="AU61" i="1"/>
  <c r="Q60" i="3" s="1"/>
  <c r="AV61" i="1"/>
  <c r="R60" i="3" s="1"/>
  <c r="D62" i="1"/>
  <c r="E62" i="1"/>
  <c r="F62" i="1"/>
  <c r="H62" i="1"/>
  <c r="I62" i="1"/>
  <c r="AD62" i="1"/>
  <c r="AF62" i="1"/>
  <c r="AG62" i="1"/>
  <c r="C61" i="3" s="1"/>
  <c r="AH62" i="1"/>
  <c r="D61" i="3" s="1"/>
  <c r="AI62" i="1"/>
  <c r="E61" i="3" s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D63" i="1"/>
  <c r="E63" i="1"/>
  <c r="F63" i="1"/>
  <c r="H63" i="1"/>
  <c r="I63" i="1"/>
  <c r="AD63" i="1"/>
  <c r="AF63" i="1"/>
  <c r="AG63" i="1"/>
  <c r="C62" i="3" s="1"/>
  <c r="AH63" i="1"/>
  <c r="AI63" i="1"/>
  <c r="AJ63" i="1"/>
  <c r="F62" i="3" s="1"/>
  <c r="AK63" i="1"/>
  <c r="G62" i="3" s="1"/>
  <c r="AL63" i="1"/>
  <c r="H62" i="3" s="1"/>
  <c r="AM63" i="1"/>
  <c r="I62" i="3" s="1"/>
  <c r="AN63" i="1"/>
  <c r="J62" i="3" s="1"/>
  <c r="AO63" i="1"/>
  <c r="K62" i="3" s="1"/>
  <c r="AP63" i="1"/>
  <c r="L62" i="3" s="1"/>
  <c r="AQ63" i="1"/>
  <c r="M62" i="3" s="1"/>
  <c r="AR63" i="1"/>
  <c r="N62" i="3" s="1"/>
  <c r="AS63" i="1"/>
  <c r="AT63" i="1"/>
  <c r="AU63" i="1"/>
  <c r="Q62" i="3" s="1"/>
  <c r="AV63" i="1"/>
  <c r="R62" i="3" s="1"/>
  <c r="D64" i="1"/>
  <c r="E64" i="1"/>
  <c r="F64" i="1"/>
  <c r="H64" i="1"/>
  <c r="I64" i="1"/>
  <c r="AD64" i="1"/>
  <c r="AF64" i="1"/>
  <c r="AG64" i="1"/>
  <c r="C63" i="3" s="1"/>
  <c r="AH64" i="1"/>
  <c r="AI64" i="1"/>
  <c r="E63" i="3" s="1"/>
  <c r="AJ64" i="1"/>
  <c r="F63" i="3" s="1"/>
  <c r="AK64" i="1"/>
  <c r="G63" i="3" s="1"/>
  <c r="AL64" i="1"/>
  <c r="H63" i="3" s="1"/>
  <c r="AM64" i="1"/>
  <c r="I63" i="3" s="1"/>
  <c r="AN64" i="1"/>
  <c r="J63" i="3" s="1"/>
  <c r="AO64" i="1"/>
  <c r="K63" i="3" s="1"/>
  <c r="AP64" i="1"/>
  <c r="L63" i="3" s="1"/>
  <c r="AQ64" i="1"/>
  <c r="M63" i="3" s="1"/>
  <c r="AR64" i="1"/>
  <c r="N63" i="3" s="1"/>
  <c r="AS64" i="1"/>
  <c r="O63" i="3" s="1"/>
  <c r="AT64" i="1"/>
  <c r="AU64" i="1"/>
  <c r="Q63" i="3" s="1"/>
  <c r="AV64" i="1"/>
  <c r="R63" i="3" s="1"/>
  <c r="D65" i="1"/>
  <c r="E65" i="1"/>
  <c r="F65" i="1"/>
  <c r="H65" i="1"/>
  <c r="I65" i="1"/>
  <c r="AD65" i="1"/>
  <c r="AF65" i="1"/>
  <c r="AG65" i="1"/>
  <c r="AH65" i="1"/>
  <c r="AI65" i="1"/>
  <c r="AJ65" i="1"/>
  <c r="AK65" i="1"/>
  <c r="AL65" i="1"/>
  <c r="AM65" i="1"/>
  <c r="AN65" i="1"/>
  <c r="AO65" i="1"/>
  <c r="AP65" i="1"/>
  <c r="L64" i="3" s="1"/>
  <c r="AQ65" i="1"/>
  <c r="M64" i="3" s="1"/>
  <c r="AR65" i="1"/>
  <c r="N64" i="3" s="1"/>
  <c r="AS65" i="1"/>
  <c r="O64" i="3" s="1"/>
  <c r="AT65" i="1"/>
  <c r="P64" i="3" s="1"/>
  <c r="AU65" i="1"/>
  <c r="Q64" i="3" s="1"/>
  <c r="AV65" i="1"/>
  <c r="R64" i="3" s="1"/>
  <c r="D66" i="1"/>
  <c r="E66" i="1"/>
  <c r="F66" i="1"/>
  <c r="G66" i="1"/>
  <c r="H66" i="1"/>
  <c r="I66" i="1"/>
  <c r="J66" i="1"/>
  <c r="AD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D67" i="1"/>
  <c r="E67" i="1"/>
  <c r="F67" i="1"/>
  <c r="G67" i="1"/>
  <c r="H67" i="1"/>
  <c r="I67" i="1"/>
  <c r="AD67" i="1"/>
  <c r="AF67" i="1"/>
  <c r="AG67" i="1"/>
  <c r="AH67" i="1"/>
  <c r="AI67" i="1"/>
  <c r="AJ67" i="1"/>
  <c r="AK67" i="1"/>
  <c r="AL67" i="1"/>
  <c r="AM67" i="1"/>
  <c r="AN67" i="1"/>
  <c r="J66" i="3" s="1"/>
  <c r="AO67" i="1"/>
  <c r="K66" i="3" s="1"/>
  <c r="AP67" i="1"/>
  <c r="L66" i="3" s="1"/>
  <c r="AQ67" i="1"/>
  <c r="M66" i="3" s="1"/>
  <c r="AR67" i="1"/>
  <c r="N66" i="3" s="1"/>
  <c r="AS67" i="1"/>
  <c r="AT67" i="1"/>
  <c r="AU67" i="1"/>
  <c r="AV67" i="1"/>
  <c r="AW67" i="1"/>
  <c r="D68" i="1"/>
  <c r="E68" i="1"/>
  <c r="F68" i="1"/>
  <c r="H68" i="1"/>
  <c r="I68" i="1"/>
  <c r="AD68" i="1"/>
  <c r="AF68" i="1"/>
  <c r="AG68" i="1"/>
  <c r="AH68" i="1"/>
  <c r="AI68" i="1"/>
  <c r="AJ68" i="1"/>
  <c r="AK68" i="1"/>
  <c r="G67" i="3" s="1"/>
  <c r="AL68" i="1"/>
  <c r="AM68" i="1"/>
  <c r="AN68" i="1"/>
  <c r="AO68" i="1"/>
  <c r="K67" i="3" s="1"/>
  <c r="AP68" i="1"/>
  <c r="L67" i="3" s="1"/>
  <c r="AQ68" i="1"/>
  <c r="M67" i="3" s="1"/>
  <c r="AR68" i="1"/>
  <c r="AS68" i="1"/>
  <c r="AT68" i="1"/>
  <c r="AU68" i="1"/>
  <c r="AV68" i="1"/>
  <c r="D69" i="1"/>
  <c r="E69" i="1"/>
  <c r="F69" i="1"/>
  <c r="H69" i="1"/>
  <c r="I69" i="1"/>
  <c r="AD69" i="1"/>
  <c r="AF69" i="1"/>
  <c r="AG69" i="1"/>
  <c r="AH69" i="1"/>
  <c r="AI69" i="1"/>
  <c r="AJ69" i="1"/>
  <c r="F68" i="3" s="1"/>
  <c r="AK69" i="1"/>
  <c r="G68" i="3" s="1"/>
  <c r="AL69" i="1"/>
  <c r="H68" i="3" s="1"/>
  <c r="AM69" i="1"/>
  <c r="I68" i="3" s="1"/>
  <c r="AN69" i="1"/>
  <c r="J68" i="3" s="1"/>
  <c r="AO69" i="1"/>
  <c r="K68" i="3" s="1"/>
  <c r="AP69" i="1"/>
  <c r="L68" i="3" s="1"/>
  <c r="AQ69" i="1"/>
  <c r="M68" i="3" s="1"/>
  <c r="AR69" i="1"/>
  <c r="N68" i="3" s="1"/>
  <c r="AS69" i="1"/>
  <c r="O68" i="3" s="1"/>
  <c r="AT69" i="1"/>
  <c r="P68" i="3" s="1"/>
  <c r="AU69" i="1"/>
  <c r="Q68" i="3" s="1"/>
  <c r="AV69" i="1"/>
  <c r="D70" i="1"/>
  <c r="E70" i="1"/>
  <c r="F70" i="1"/>
  <c r="H70" i="1"/>
  <c r="I70" i="1"/>
  <c r="AD70" i="1"/>
  <c r="AF70" i="1"/>
  <c r="AG70" i="1"/>
  <c r="C69" i="3" s="1"/>
  <c r="AH70" i="1"/>
  <c r="D69" i="3" s="1"/>
  <c r="AI70" i="1"/>
  <c r="E69" i="3" s="1"/>
  <c r="AJ70" i="1"/>
  <c r="F69" i="3" s="1"/>
  <c r="AK70" i="1"/>
  <c r="G69" i="3" s="1"/>
  <c r="AL70" i="1"/>
  <c r="H69" i="3" s="1"/>
  <c r="AM70" i="1"/>
  <c r="I69" i="3" s="1"/>
  <c r="AN70" i="1"/>
  <c r="J69" i="3" s="1"/>
  <c r="AO70" i="1"/>
  <c r="K69" i="3" s="1"/>
  <c r="AP70" i="1"/>
  <c r="AQ70" i="1"/>
  <c r="AR70" i="1"/>
  <c r="AS70" i="1"/>
  <c r="AT70" i="1"/>
  <c r="AU70" i="1"/>
  <c r="AV70" i="1"/>
  <c r="D71" i="1"/>
  <c r="E71" i="1"/>
  <c r="F71" i="1"/>
  <c r="G71" i="1"/>
  <c r="H71" i="1"/>
  <c r="I71" i="1"/>
  <c r="AD71" i="1"/>
  <c r="AF71" i="1"/>
  <c r="B70" i="3" s="1"/>
  <c r="AG71" i="1"/>
  <c r="C70" i="3" s="1"/>
  <c r="AH71" i="1"/>
  <c r="D70" i="3" s="1"/>
  <c r="AI71" i="1"/>
  <c r="E70" i="3" s="1"/>
  <c r="AJ71" i="1"/>
  <c r="AK71" i="1"/>
  <c r="AL71" i="1"/>
  <c r="H70" i="3" s="1"/>
  <c r="AM71" i="1"/>
  <c r="I70" i="3" s="1"/>
  <c r="AN71" i="1"/>
  <c r="J70" i="3" s="1"/>
  <c r="AO71" i="1"/>
  <c r="K70" i="3" s="1"/>
  <c r="AP71" i="1"/>
  <c r="AQ71" i="1"/>
  <c r="AR71" i="1"/>
  <c r="AS71" i="1"/>
  <c r="AT71" i="1"/>
  <c r="AU71" i="1"/>
  <c r="AV71" i="1"/>
  <c r="AW71" i="1"/>
  <c r="D72" i="1"/>
  <c r="E72" i="1"/>
  <c r="F72" i="1"/>
  <c r="H72" i="1"/>
  <c r="I72" i="1"/>
  <c r="AD72" i="1"/>
  <c r="AF72" i="1"/>
  <c r="AG72" i="1"/>
  <c r="C71" i="3" s="1"/>
  <c r="AH72" i="1"/>
  <c r="D71" i="3" s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D73" i="1"/>
  <c r="E73" i="1"/>
  <c r="F73" i="1"/>
  <c r="H73" i="1"/>
  <c r="I73" i="1"/>
  <c r="AD73" i="1"/>
  <c r="AF73" i="1"/>
  <c r="AG73" i="1"/>
  <c r="AH73" i="1"/>
  <c r="AI73" i="1"/>
  <c r="AJ73" i="1"/>
  <c r="AK73" i="1"/>
  <c r="AL73" i="1"/>
  <c r="AM73" i="1"/>
  <c r="AN73" i="1"/>
  <c r="AO73" i="1"/>
  <c r="K72" i="3" s="1"/>
  <c r="AP73" i="1"/>
  <c r="L72" i="3" s="1"/>
  <c r="AQ73" i="1"/>
  <c r="M72" i="3" s="1"/>
  <c r="AR73" i="1"/>
  <c r="AS73" i="1"/>
  <c r="AT73" i="1"/>
  <c r="AU73" i="1"/>
  <c r="AV73" i="1"/>
  <c r="D74" i="1"/>
  <c r="E74" i="1"/>
  <c r="F74" i="1"/>
  <c r="H74" i="1"/>
  <c r="I74" i="1"/>
  <c r="AD74" i="1"/>
  <c r="AF74" i="1"/>
  <c r="AG74" i="1"/>
  <c r="C73" i="3" s="1"/>
  <c r="AH74" i="1"/>
  <c r="D73" i="3" s="1"/>
  <c r="AI74" i="1"/>
  <c r="E73" i="3" s="1"/>
  <c r="AJ74" i="1"/>
  <c r="F73" i="3" s="1"/>
  <c r="AK74" i="1"/>
  <c r="G73" i="3" s="1"/>
  <c r="AL74" i="1"/>
  <c r="H73" i="3" s="1"/>
  <c r="AM74" i="1"/>
  <c r="I73" i="3" s="1"/>
  <c r="AN74" i="1"/>
  <c r="J73" i="3" s="1"/>
  <c r="AO74" i="1"/>
  <c r="K73" i="3" s="1"/>
  <c r="AP74" i="1"/>
  <c r="L73" i="3" s="1"/>
  <c r="AQ74" i="1"/>
  <c r="M73" i="3" s="1"/>
  <c r="AR74" i="1"/>
  <c r="N73" i="3" s="1"/>
  <c r="AS74" i="1"/>
  <c r="O73" i="3" s="1"/>
  <c r="AT74" i="1"/>
  <c r="P73" i="3" s="1"/>
  <c r="AU74" i="1"/>
  <c r="AV74" i="1"/>
  <c r="D75" i="1"/>
  <c r="E75" i="1"/>
  <c r="F75" i="1"/>
  <c r="H75" i="1"/>
  <c r="I75" i="1"/>
  <c r="AD75" i="1"/>
  <c r="AF75" i="1"/>
  <c r="AG75" i="1"/>
  <c r="AH75" i="1"/>
  <c r="D74" i="3" s="1"/>
  <c r="AI75" i="1"/>
  <c r="E74" i="3" s="1"/>
  <c r="AJ75" i="1"/>
  <c r="F74" i="3" s="1"/>
  <c r="AK75" i="1"/>
  <c r="G74" i="3" s="1"/>
  <c r="AL75" i="1"/>
  <c r="H74" i="3" s="1"/>
  <c r="AM75" i="1"/>
  <c r="I74" i="3" s="1"/>
  <c r="AN75" i="1"/>
  <c r="AO75" i="1"/>
  <c r="AP75" i="1"/>
  <c r="AQ75" i="1"/>
  <c r="AR75" i="1"/>
  <c r="AS75" i="1"/>
  <c r="AT75" i="1"/>
  <c r="AU75" i="1"/>
  <c r="AV75" i="1"/>
  <c r="D76" i="1"/>
  <c r="E76" i="1"/>
  <c r="F76" i="1"/>
  <c r="H76" i="1"/>
  <c r="I76" i="1"/>
  <c r="AD76" i="1"/>
  <c r="AF76" i="1"/>
  <c r="AG76" i="1"/>
  <c r="AH76" i="1"/>
  <c r="AI76" i="1"/>
  <c r="AJ76" i="1"/>
  <c r="AW76" i="1" s="1"/>
  <c r="G76" i="1" s="1"/>
  <c r="J76" i="1" s="1"/>
  <c r="AK76" i="1"/>
  <c r="AL76" i="1"/>
  <c r="AM76" i="1"/>
  <c r="AN76" i="1"/>
  <c r="AO76" i="1"/>
  <c r="AP76" i="1"/>
  <c r="AQ76" i="1"/>
  <c r="AR76" i="1"/>
  <c r="AS76" i="1"/>
  <c r="AT76" i="1"/>
  <c r="AU76" i="1"/>
  <c r="AV76" i="1"/>
  <c r="D77" i="1"/>
  <c r="E77" i="1"/>
  <c r="F77" i="1"/>
  <c r="H77" i="1"/>
  <c r="I77" i="1"/>
  <c r="AD77" i="1"/>
  <c r="AF77" i="1"/>
  <c r="AG77" i="1"/>
  <c r="AH77" i="1"/>
  <c r="AI77" i="1"/>
  <c r="AJ77" i="1"/>
  <c r="AK77" i="1"/>
  <c r="AL77" i="1"/>
  <c r="AM77" i="1"/>
  <c r="AN77" i="1"/>
  <c r="AO77" i="1"/>
  <c r="AP77" i="1"/>
  <c r="L76" i="3" s="1"/>
  <c r="AQ77" i="1"/>
  <c r="AR77" i="1"/>
  <c r="AS77" i="1"/>
  <c r="AT77" i="1"/>
  <c r="AU77" i="1"/>
  <c r="Q76" i="3" s="1"/>
  <c r="AV77" i="1"/>
  <c r="R76" i="3" s="1"/>
  <c r="D78" i="1"/>
  <c r="E78" i="1"/>
  <c r="F78" i="1"/>
  <c r="H78" i="1"/>
  <c r="I78" i="1"/>
  <c r="AD78" i="1"/>
  <c r="AF78" i="1"/>
  <c r="AG78" i="1"/>
  <c r="C77" i="3" s="1"/>
  <c r="AH78" i="1"/>
  <c r="D77" i="3" s="1"/>
  <c r="AI78" i="1"/>
  <c r="E77" i="3" s="1"/>
  <c r="AJ78" i="1"/>
  <c r="F77" i="3" s="1"/>
  <c r="AK78" i="1"/>
  <c r="G77" i="3" s="1"/>
  <c r="AL78" i="1"/>
  <c r="H77" i="3" s="1"/>
  <c r="AM78" i="1"/>
  <c r="I77" i="3" s="1"/>
  <c r="AN78" i="1"/>
  <c r="AO78" i="1"/>
  <c r="AP78" i="1"/>
  <c r="AQ78" i="1"/>
  <c r="AR78" i="1"/>
  <c r="AS78" i="1"/>
  <c r="AT78" i="1"/>
  <c r="AU78" i="1"/>
  <c r="AV78" i="1"/>
  <c r="R77" i="3" s="1"/>
  <c r="D79" i="1"/>
  <c r="E79" i="1"/>
  <c r="F79" i="1"/>
  <c r="H79" i="1"/>
  <c r="I79" i="1"/>
  <c r="AD79" i="1"/>
  <c r="AF79" i="1"/>
  <c r="AG79" i="1"/>
  <c r="C78" i="3" s="1"/>
  <c r="AH79" i="1"/>
  <c r="D78" i="3" s="1"/>
  <c r="AI79" i="1"/>
  <c r="E78" i="3" s="1"/>
  <c r="AJ79" i="1"/>
  <c r="F78" i="3" s="1"/>
  <c r="AK79" i="1"/>
  <c r="G78" i="3" s="1"/>
  <c r="AL79" i="1"/>
  <c r="H78" i="3" s="1"/>
  <c r="AM79" i="1"/>
  <c r="I78" i="3" s="1"/>
  <c r="AN79" i="1"/>
  <c r="J78" i="3" s="1"/>
  <c r="AO79" i="1"/>
  <c r="K78" i="3" s="1"/>
  <c r="AP79" i="1"/>
  <c r="L78" i="3" s="1"/>
  <c r="AQ79" i="1"/>
  <c r="M78" i="3" s="1"/>
  <c r="AR79" i="1"/>
  <c r="N78" i="3" s="1"/>
  <c r="AS79" i="1"/>
  <c r="AT79" i="1"/>
  <c r="AU79" i="1"/>
  <c r="AV79" i="1"/>
  <c r="D80" i="1"/>
  <c r="E80" i="1"/>
  <c r="F80" i="1"/>
  <c r="H80" i="1"/>
  <c r="I80" i="1"/>
  <c r="AD80" i="1"/>
  <c r="AF80" i="1"/>
  <c r="AG80" i="1"/>
  <c r="C79" i="3" s="1"/>
  <c r="AH80" i="1"/>
  <c r="D79" i="3" s="1"/>
  <c r="AI80" i="1"/>
  <c r="E79" i="3" s="1"/>
  <c r="AJ80" i="1"/>
  <c r="AK80" i="1"/>
  <c r="G79" i="3" s="1"/>
  <c r="AL80" i="1"/>
  <c r="H79" i="3" s="1"/>
  <c r="AM80" i="1"/>
  <c r="AN80" i="1"/>
  <c r="AO80" i="1"/>
  <c r="AP80" i="1"/>
  <c r="AQ80" i="1"/>
  <c r="AR80" i="1"/>
  <c r="AS80" i="1"/>
  <c r="AT80" i="1"/>
  <c r="AU80" i="1"/>
  <c r="AV80" i="1"/>
  <c r="D81" i="1"/>
  <c r="E81" i="1"/>
  <c r="F81" i="1"/>
  <c r="H81" i="1"/>
  <c r="I81" i="1"/>
  <c r="AD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M80" i="3" s="1"/>
  <c r="AR81" i="1"/>
  <c r="N80" i="3" s="1"/>
  <c r="AS81" i="1"/>
  <c r="O80" i="3" s="1"/>
  <c r="AT81" i="1"/>
  <c r="P80" i="3" s="1"/>
  <c r="AU81" i="1"/>
  <c r="Q80" i="3" s="1"/>
  <c r="AV81" i="1"/>
  <c r="D82" i="1"/>
  <c r="E82" i="1"/>
  <c r="F82" i="1"/>
  <c r="H82" i="1"/>
  <c r="I82" i="1"/>
  <c r="AD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M81" i="3" s="1"/>
  <c r="AR82" i="1"/>
  <c r="N81" i="3" s="1"/>
  <c r="AS82" i="1"/>
  <c r="O81" i="3" s="1"/>
  <c r="AT82" i="1"/>
  <c r="P81" i="3" s="1"/>
  <c r="AU82" i="1"/>
  <c r="Q81" i="3" s="1"/>
  <c r="AV82" i="1"/>
  <c r="R81" i="3" s="1"/>
  <c r="D83" i="1"/>
  <c r="E83" i="1"/>
  <c r="F83" i="1"/>
  <c r="H83" i="1"/>
  <c r="I83" i="1"/>
  <c r="AD83" i="1"/>
  <c r="AF83" i="1"/>
  <c r="AG83" i="1"/>
  <c r="C82" i="3" s="1"/>
  <c r="AH83" i="1"/>
  <c r="D82" i="3" s="1"/>
  <c r="AI83" i="1"/>
  <c r="E82" i="3" s="1"/>
  <c r="AJ83" i="1"/>
  <c r="F82" i="3" s="1"/>
  <c r="AK83" i="1"/>
  <c r="G82" i="3" s="1"/>
  <c r="AL83" i="1"/>
  <c r="H82" i="3" s="1"/>
  <c r="AM83" i="1"/>
  <c r="I82" i="3" s="1"/>
  <c r="AN83" i="1"/>
  <c r="J82" i="3" s="1"/>
  <c r="AO83" i="1"/>
  <c r="K82" i="3" s="1"/>
  <c r="AP83" i="1"/>
  <c r="AQ83" i="1"/>
  <c r="AR83" i="1"/>
  <c r="AS83" i="1"/>
  <c r="AT83" i="1"/>
  <c r="AU83" i="1"/>
  <c r="AV83" i="1"/>
  <c r="D84" i="1"/>
  <c r="E84" i="1"/>
  <c r="F84" i="1"/>
  <c r="H84" i="1"/>
  <c r="I84" i="1"/>
  <c r="AD84" i="1"/>
  <c r="AF84" i="1"/>
  <c r="AG84" i="1"/>
  <c r="AH84" i="1"/>
  <c r="AI84" i="1"/>
  <c r="AJ84" i="1"/>
  <c r="AK84" i="1"/>
  <c r="AL84" i="1"/>
  <c r="H83" i="3" s="1"/>
  <c r="AM84" i="1"/>
  <c r="I83" i="3" s="1"/>
  <c r="AN84" i="1"/>
  <c r="J83" i="3" s="1"/>
  <c r="AO84" i="1"/>
  <c r="K83" i="3" s="1"/>
  <c r="AP84" i="1"/>
  <c r="L83" i="3" s="1"/>
  <c r="AQ84" i="1"/>
  <c r="AR84" i="1"/>
  <c r="AS84" i="1"/>
  <c r="AT84" i="1"/>
  <c r="AU84" i="1"/>
  <c r="AV84" i="1"/>
  <c r="D85" i="1"/>
  <c r="E85" i="1"/>
  <c r="F85" i="1"/>
  <c r="H85" i="1"/>
  <c r="I85" i="1"/>
  <c r="AD85" i="1"/>
  <c r="AF85" i="1"/>
  <c r="AG85" i="1"/>
  <c r="C84" i="3" s="1"/>
  <c r="AH85" i="1"/>
  <c r="D84" i="3" s="1"/>
  <c r="AI85" i="1"/>
  <c r="E84" i="3" s="1"/>
  <c r="AJ85" i="1"/>
  <c r="F84" i="3" s="1"/>
  <c r="AK85" i="1"/>
  <c r="G84" i="3" s="1"/>
  <c r="AL85" i="1"/>
  <c r="H84" i="3" s="1"/>
  <c r="AM85" i="1"/>
  <c r="I84" i="3" s="1"/>
  <c r="AN85" i="1"/>
  <c r="AO85" i="1"/>
  <c r="AP85" i="1"/>
  <c r="AQ85" i="1"/>
  <c r="AR85" i="1"/>
  <c r="AS85" i="1"/>
  <c r="AT85" i="1"/>
  <c r="AU85" i="1"/>
  <c r="AV85" i="1"/>
  <c r="D86" i="1"/>
  <c r="E86" i="1"/>
  <c r="F86" i="1"/>
  <c r="H86" i="1"/>
  <c r="I86" i="1"/>
  <c r="AD86" i="1"/>
  <c r="AF86" i="1"/>
  <c r="AG86" i="1"/>
  <c r="AH86" i="1"/>
  <c r="AI86" i="1"/>
  <c r="AJ86" i="1"/>
  <c r="F85" i="3" s="1"/>
  <c r="AK86" i="1"/>
  <c r="G85" i="3" s="1"/>
  <c r="AL86" i="1"/>
  <c r="H85" i="3" s="1"/>
  <c r="AM86" i="1"/>
  <c r="I85" i="3" s="1"/>
  <c r="AN86" i="1"/>
  <c r="J85" i="3" s="1"/>
  <c r="AO86" i="1"/>
  <c r="K85" i="3" s="1"/>
  <c r="AP86" i="1"/>
  <c r="AQ86" i="1"/>
  <c r="AR86" i="1"/>
  <c r="N85" i="3" s="1"/>
  <c r="AS86" i="1"/>
  <c r="O85" i="3" s="1"/>
  <c r="AT86" i="1"/>
  <c r="P85" i="3" s="1"/>
  <c r="AU86" i="1"/>
  <c r="Q85" i="3" s="1"/>
  <c r="AV86" i="1"/>
  <c r="D87" i="1"/>
  <c r="E87" i="1"/>
  <c r="F87" i="1"/>
  <c r="H87" i="1"/>
  <c r="AD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M86" i="3" s="1"/>
  <c r="AR87" i="1"/>
  <c r="N86" i="3" s="1"/>
  <c r="AS87" i="1"/>
  <c r="O86" i="3" s="1"/>
  <c r="AT87" i="1"/>
  <c r="P86" i="3" s="1"/>
  <c r="AU87" i="1"/>
  <c r="Q86" i="3" s="1"/>
  <c r="AV87" i="1"/>
  <c r="R86" i="3" s="1"/>
  <c r="AW87" i="1"/>
  <c r="G87" i="1" s="1"/>
  <c r="D88" i="1"/>
  <c r="E88" i="1"/>
  <c r="F88" i="1"/>
  <c r="H88" i="1"/>
  <c r="I88" i="1"/>
  <c r="AD88" i="1"/>
  <c r="AF88" i="1"/>
  <c r="AG88" i="1"/>
  <c r="C87" i="3" s="1"/>
  <c r="AH88" i="1"/>
  <c r="AI88" i="1"/>
  <c r="AJ88" i="1"/>
  <c r="AK88" i="1"/>
  <c r="AL88" i="1"/>
  <c r="AM88" i="1"/>
  <c r="AN88" i="1"/>
  <c r="AO88" i="1"/>
  <c r="AP88" i="1"/>
  <c r="AQ88" i="1"/>
  <c r="AR88" i="1"/>
  <c r="AS88" i="1"/>
  <c r="O87" i="3" s="1"/>
  <c r="AT88" i="1"/>
  <c r="P87" i="3" s="1"/>
  <c r="AU88" i="1"/>
  <c r="Q87" i="3" s="1"/>
  <c r="AV88" i="1"/>
  <c r="R87" i="3" s="1"/>
  <c r="D89" i="1"/>
  <c r="E89" i="1"/>
  <c r="F89" i="1"/>
  <c r="H89" i="1"/>
  <c r="I89" i="1"/>
  <c r="AD89" i="1"/>
  <c r="AF89" i="1"/>
  <c r="AG89" i="1"/>
  <c r="AH89" i="1"/>
  <c r="AI89" i="1"/>
  <c r="AJ89" i="1"/>
  <c r="AK89" i="1"/>
  <c r="AL89" i="1"/>
  <c r="AM89" i="1"/>
  <c r="AN89" i="1"/>
  <c r="AO89" i="1"/>
  <c r="K88" i="3" s="1"/>
  <c r="AP89" i="1"/>
  <c r="AQ89" i="1"/>
  <c r="AR89" i="1"/>
  <c r="AS89" i="1"/>
  <c r="AT89" i="1"/>
  <c r="AU89" i="1"/>
  <c r="Q88" i="3" s="1"/>
  <c r="AV89" i="1"/>
  <c r="D90" i="1"/>
  <c r="E90" i="1"/>
  <c r="F90" i="1"/>
  <c r="H90" i="1"/>
  <c r="I90" i="1"/>
  <c r="AD90" i="1"/>
  <c r="AF90" i="1"/>
  <c r="AG90" i="1"/>
  <c r="C89" i="3" s="1"/>
  <c r="AH90" i="1"/>
  <c r="D89" i="3" s="1"/>
  <c r="AI90" i="1"/>
  <c r="E89" i="3" s="1"/>
  <c r="AJ90" i="1"/>
  <c r="F89" i="3" s="1"/>
  <c r="AK90" i="1"/>
  <c r="G89" i="3" s="1"/>
  <c r="AL90" i="1"/>
  <c r="H89" i="3" s="1"/>
  <c r="AM90" i="1"/>
  <c r="I89" i="3" s="1"/>
  <c r="AN90" i="1"/>
  <c r="J89" i="3" s="1"/>
  <c r="AO90" i="1"/>
  <c r="K89" i="3" s="1"/>
  <c r="AP90" i="1"/>
  <c r="L89" i="3" s="1"/>
  <c r="AQ90" i="1"/>
  <c r="M89" i="3" s="1"/>
  <c r="AR90" i="1"/>
  <c r="N89" i="3" s="1"/>
  <c r="AS90" i="1"/>
  <c r="O89" i="3" s="1"/>
  <c r="AT90" i="1"/>
  <c r="P89" i="3" s="1"/>
  <c r="AU90" i="1"/>
  <c r="AV90" i="1"/>
  <c r="D91" i="1"/>
  <c r="E91" i="1"/>
  <c r="F91" i="1"/>
  <c r="H91" i="1"/>
  <c r="I91" i="1"/>
  <c r="AD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O90" i="3" s="1"/>
  <c r="AT91" i="1"/>
  <c r="P90" i="3" s="1"/>
  <c r="AU91" i="1"/>
  <c r="Q90" i="3" s="1"/>
  <c r="AV91" i="1"/>
  <c r="R90" i="3" s="1"/>
  <c r="D92" i="1"/>
  <c r="E92" i="1"/>
  <c r="F92" i="1"/>
  <c r="H92" i="1"/>
  <c r="I92" i="1"/>
  <c r="AD92" i="1"/>
  <c r="AF92" i="1"/>
  <c r="AG92" i="1"/>
  <c r="C91" i="3" s="1"/>
  <c r="AH92" i="1"/>
  <c r="D91" i="3" s="1"/>
  <c r="AI92" i="1"/>
  <c r="E91" i="3" s="1"/>
  <c r="AJ92" i="1"/>
  <c r="AK92" i="1"/>
  <c r="G91" i="3" s="1"/>
  <c r="AL92" i="1"/>
  <c r="H91" i="3" s="1"/>
  <c r="AM92" i="1"/>
  <c r="I91" i="3" s="1"/>
  <c r="AN92" i="1"/>
  <c r="J91" i="3" s="1"/>
  <c r="AO92" i="1"/>
  <c r="K91" i="3" s="1"/>
  <c r="AP92" i="1"/>
  <c r="AQ92" i="1"/>
  <c r="M91" i="3" s="1"/>
  <c r="AR92" i="1"/>
  <c r="N91" i="3" s="1"/>
  <c r="AS92" i="1"/>
  <c r="O91" i="3" s="1"/>
  <c r="AT92" i="1"/>
  <c r="AU92" i="1"/>
  <c r="AV92" i="1"/>
  <c r="AW92" i="1"/>
  <c r="G92" i="1" s="1"/>
  <c r="D93" i="1"/>
  <c r="E93" i="1"/>
  <c r="F93" i="1"/>
  <c r="H93" i="1"/>
  <c r="I93" i="1"/>
  <c r="AD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D94" i="1"/>
  <c r="E94" i="1"/>
  <c r="F94" i="1"/>
  <c r="H94" i="1"/>
  <c r="I94" i="1"/>
  <c r="AD94" i="1"/>
  <c r="AF94" i="1"/>
  <c r="AG94" i="1"/>
  <c r="AH94" i="1"/>
  <c r="AI94" i="1"/>
  <c r="AJ94" i="1"/>
  <c r="AK94" i="1"/>
  <c r="AL94" i="1"/>
  <c r="H93" i="3" s="1"/>
  <c r="AM94" i="1"/>
  <c r="I93" i="3" s="1"/>
  <c r="AN94" i="1"/>
  <c r="AO94" i="1"/>
  <c r="AP94" i="1"/>
  <c r="AQ94" i="1"/>
  <c r="AR94" i="1"/>
  <c r="AS94" i="1"/>
  <c r="O93" i="3" s="1"/>
  <c r="AT94" i="1"/>
  <c r="P93" i="3" s="1"/>
  <c r="AU94" i="1"/>
  <c r="Q93" i="3" s="1"/>
  <c r="AV94" i="1"/>
  <c r="D95" i="1"/>
  <c r="E95" i="1"/>
  <c r="F95" i="1"/>
  <c r="H95" i="1"/>
  <c r="I95" i="1"/>
  <c r="AD95" i="1"/>
  <c r="AF95" i="1"/>
  <c r="B94" i="3" s="1"/>
  <c r="AG95" i="1"/>
  <c r="C94" i="3" s="1"/>
  <c r="AH95" i="1"/>
  <c r="D94" i="3" s="1"/>
  <c r="AI95" i="1"/>
  <c r="E94" i="3" s="1"/>
  <c r="AJ95" i="1"/>
  <c r="F94" i="3" s="1"/>
  <c r="AK95" i="1"/>
  <c r="G94" i="3" s="1"/>
  <c r="AL95" i="1"/>
  <c r="H94" i="3" s="1"/>
  <c r="AM95" i="1"/>
  <c r="I94" i="3" s="1"/>
  <c r="AN95" i="1"/>
  <c r="J94" i="3" s="1"/>
  <c r="AO95" i="1"/>
  <c r="K94" i="3" s="1"/>
  <c r="AP95" i="1"/>
  <c r="L94" i="3" s="1"/>
  <c r="AQ95" i="1"/>
  <c r="M94" i="3" s="1"/>
  <c r="AR95" i="1"/>
  <c r="N94" i="3" s="1"/>
  <c r="AS95" i="1"/>
  <c r="O94" i="3" s="1"/>
  <c r="AT95" i="1"/>
  <c r="P94" i="3" s="1"/>
  <c r="AU95" i="1"/>
  <c r="Q94" i="3" s="1"/>
  <c r="AV95" i="1"/>
  <c r="R94" i="3" s="1"/>
  <c r="AW95" i="1"/>
  <c r="G95" i="1" s="1"/>
  <c r="J95" i="1" s="1"/>
  <c r="D96" i="1"/>
  <c r="E96" i="1"/>
  <c r="F96" i="1"/>
  <c r="H96" i="1"/>
  <c r="I96" i="1"/>
  <c r="AD96" i="1"/>
  <c r="AF96" i="1"/>
  <c r="AG96" i="1"/>
  <c r="C95" i="3" s="1"/>
  <c r="AH96" i="1"/>
  <c r="D95" i="3" s="1"/>
  <c r="AI96" i="1"/>
  <c r="E95" i="3" s="1"/>
  <c r="AJ96" i="1"/>
  <c r="F95" i="3" s="1"/>
  <c r="AK96" i="1"/>
  <c r="G95" i="3" s="1"/>
  <c r="AL96" i="1"/>
  <c r="H95" i="3" s="1"/>
  <c r="AM96" i="1"/>
  <c r="I95" i="3" s="1"/>
  <c r="AN96" i="1"/>
  <c r="J95" i="3" s="1"/>
  <c r="AO96" i="1"/>
  <c r="K95" i="3" s="1"/>
  <c r="AP96" i="1"/>
  <c r="L95" i="3" s="1"/>
  <c r="AQ96" i="1"/>
  <c r="M95" i="3" s="1"/>
  <c r="AR96" i="1"/>
  <c r="N95" i="3" s="1"/>
  <c r="AS96" i="1"/>
  <c r="AT96" i="1"/>
  <c r="AU96" i="1"/>
  <c r="AV96" i="1"/>
  <c r="D97" i="1"/>
  <c r="E97" i="1"/>
  <c r="F97" i="1"/>
  <c r="H97" i="1"/>
  <c r="I97" i="1"/>
  <c r="AD97" i="1"/>
  <c r="AF97" i="1"/>
  <c r="AG97" i="1"/>
  <c r="AH97" i="1"/>
  <c r="AI97" i="1"/>
  <c r="E96" i="3" s="1"/>
  <c r="AJ97" i="1"/>
  <c r="F96" i="3" s="1"/>
  <c r="AK97" i="1"/>
  <c r="G96" i="3" s="1"/>
  <c r="AL97" i="1"/>
  <c r="AM97" i="1"/>
  <c r="AN97" i="1"/>
  <c r="AO97" i="1"/>
  <c r="AP97" i="1"/>
  <c r="AQ97" i="1"/>
  <c r="AR97" i="1"/>
  <c r="AS97" i="1"/>
  <c r="O96" i="3" s="1"/>
  <c r="AT97" i="1"/>
  <c r="AU97" i="1"/>
  <c r="AV97" i="1"/>
  <c r="AW97" i="1"/>
  <c r="G97" i="1" s="1"/>
  <c r="D98" i="1"/>
  <c r="E98" i="1"/>
  <c r="F98" i="1"/>
  <c r="H98" i="1"/>
  <c r="I98" i="1"/>
  <c r="AD98" i="1"/>
  <c r="AF98" i="1"/>
  <c r="AG98" i="1"/>
  <c r="C97" i="3" s="1"/>
  <c r="AH98" i="1"/>
  <c r="D97" i="3" s="1"/>
  <c r="AI98" i="1"/>
  <c r="E97" i="3" s="1"/>
  <c r="AJ98" i="1"/>
  <c r="F97" i="3" s="1"/>
  <c r="AK98" i="1"/>
  <c r="G97" i="3" s="1"/>
  <c r="AL98" i="1"/>
  <c r="H97" i="3" s="1"/>
  <c r="AM98" i="1"/>
  <c r="I97" i="3" s="1"/>
  <c r="AN98" i="1"/>
  <c r="J97" i="3" s="1"/>
  <c r="AO98" i="1"/>
  <c r="AP98" i="1"/>
  <c r="AQ98" i="1"/>
  <c r="AR98" i="1"/>
  <c r="AS98" i="1"/>
  <c r="AT98" i="1"/>
  <c r="P97" i="3" s="1"/>
  <c r="AU98" i="1"/>
  <c r="AV98" i="1"/>
  <c r="D99" i="1"/>
  <c r="E99" i="1"/>
  <c r="F99" i="1"/>
  <c r="H99" i="1"/>
  <c r="I99" i="1"/>
  <c r="AD99" i="1"/>
  <c r="AF99" i="1"/>
  <c r="AG99" i="1"/>
  <c r="AH99" i="1"/>
  <c r="AI99" i="1"/>
  <c r="AJ99" i="1"/>
  <c r="AK99" i="1"/>
  <c r="AL99" i="1"/>
  <c r="AM99" i="1"/>
  <c r="AN99" i="1"/>
  <c r="AO99" i="1"/>
  <c r="K98" i="3" s="1"/>
  <c r="AP99" i="1"/>
  <c r="AQ99" i="1"/>
  <c r="AR99" i="1"/>
  <c r="AS99" i="1"/>
  <c r="AT99" i="1"/>
  <c r="AU99" i="1"/>
  <c r="Q98" i="3" s="1"/>
  <c r="AV99" i="1"/>
  <c r="R98" i="3" s="1"/>
  <c r="AW99" i="1"/>
  <c r="G99" i="1" s="1"/>
  <c r="J99" i="1" s="1"/>
  <c r="D100" i="1"/>
  <c r="E100" i="1"/>
  <c r="F100" i="1"/>
  <c r="H100" i="1"/>
  <c r="I100" i="1"/>
  <c r="AD100" i="1"/>
  <c r="AF100" i="1"/>
  <c r="B99" i="3" s="1"/>
  <c r="AG100" i="1"/>
  <c r="C99" i="3" s="1"/>
  <c r="AH100" i="1"/>
  <c r="D99" i="3" s="1"/>
  <c r="AI100" i="1"/>
  <c r="E99" i="3" s="1"/>
  <c r="AJ100" i="1"/>
  <c r="F99" i="3" s="1"/>
  <c r="AK100" i="1"/>
  <c r="G99" i="3" s="1"/>
  <c r="AL100" i="1"/>
  <c r="H99" i="3" s="1"/>
  <c r="AM100" i="1"/>
  <c r="I99" i="3" s="1"/>
  <c r="AN100" i="1"/>
  <c r="J99" i="3" s="1"/>
  <c r="AO100" i="1"/>
  <c r="K99" i="3" s="1"/>
  <c r="AP100" i="1"/>
  <c r="L99" i="3" s="1"/>
  <c r="AQ100" i="1"/>
  <c r="M99" i="3" s="1"/>
  <c r="AR100" i="1"/>
  <c r="N99" i="3" s="1"/>
  <c r="AS100" i="1"/>
  <c r="O99" i="3" s="1"/>
  <c r="AT100" i="1"/>
  <c r="P99" i="3" s="1"/>
  <c r="AU100" i="1"/>
  <c r="AV100" i="1"/>
  <c r="R99" i="3" s="1"/>
  <c r="AW100" i="1"/>
  <c r="G100" i="1" s="1"/>
  <c r="J100" i="1" s="1"/>
  <c r="D101" i="1"/>
  <c r="E101" i="1"/>
  <c r="F101" i="1"/>
  <c r="H101" i="1"/>
  <c r="I101" i="1"/>
  <c r="AD101" i="1"/>
  <c r="AF101" i="1"/>
  <c r="AG101" i="1"/>
  <c r="C100" i="3" s="1"/>
  <c r="AH101" i="1"/>
  <c r="AI101" i="1"/>
  <c r="AJ101" i="1"/>
  <c r="AK101" i="1"/>
  <c r="AL101" i="1"/>
  <c r="AM101" i="1"/>
  <c r="AN101" i="1"/>
  <c r="AO101" i="1"/>
  <c r="AP101" i="1"/>
  <c r="AQ101" i="1"/>
  <c r="M100" i="3" s="1"/>
  <c r="AR101" i="1"/>
  <c r="N100" i="3" s="1"/>
  <c r="AS101" i="1"/>
  <c r="AT101" i="1"/>
  <c r="P100" i="3" s="1"/>
  <c r="AU101" i="1"/>
  <c r="Q100" i="3" s="1"/>
  <c r="AV101" i="1"/>
  <c r="R100" i="3" s="1"/>
  <c r="D102" i="1"/>
  <c r="E102" i="1"/>
  <c r="F102" i="1"/>
  <c r="H102" i="1"/>
  <c r="I102" i="1"/>
  <c r="AD102" i="1"/>
  <c r="AF102" i="1"/>
  <c r="AG102" i="1"/>
  <c r="AH102" i="1"/>
  <c r="AI102" i="1"/>
  <c r="AJ102" i="1"/>
  <c r="AK102" i="1"/>
  <c r="AL102" i="1"/>
  <c r="H101" i="3" s="1"/>
  <c r="AM102" i="1"/>
  <c r="AN102" i="1"/>
  <c r="AO102" i="1"/>
  <c r="AP102" i="1"/>
  <c r="AQ102" i="1"/>
  <c r="AR102" i="1"/>
  <c r="AS102" i="1"/>
  <c r="AT102" i="1"/>
  <c r="P101" i="3" s="1"/>
  <c r="AU102" i="1"/>
  <c r="Q101" i="3" s="1"/>
  <c r="AV102" i="1"/>
  <c r="R101" i="3" s="1"/>
  <c r="AW102" i="1"/>
  <c r="G102" i="1" s="1"/>
  <c r="J102" i="1" s="1"/>
  <c r="D103" i="1"/>
  <c r="E103" i="1"/>
  <c r="F103" i="1"/>
  <c r="H103" i="1"/>
  <c r="I103" i="1"/>
  <c r="AD103" i="1"/>
  <c r="AF103" i="1"/>
  <c r="AG103" i="1"/>
  <c r="C102" i="3" s="1"/>
  <c r="AH103" i="1"/>
  <c r="D102" i="3" s="1"/>
  <c r="AI103" i="1"/>
  <c r="E102" i="3" s="1"/>
  <c r="AJ103" i="1"/>
  <c r="F102" i="3" s="1"/>
  <c r="AK103" i="1"/>
  <c r="G102" i="3" s="1"/>
  <c r="AL103" i="1"/>
  <c r="H102" i="3" s="1"/>
  <c r="AM103" i="1"/>
  <c r="I102" i="3" s="1"/>
  <c r="AN103" i="1"/>
  <c r="AO103" i="1"/>
  <c r="AP103" i="1"/>
  <c r="AQ103" i="1"/>
  <c r="AR103" i="1"/>
  <c r="AS103" i="1"/>
  <c r="O102" i="3" s="1"/>
  <c r="AT103" i="1"/>
  <c r="P102" i="3" s="1"/>
  <c r="AU103" i="1"/>
  <c r="AV103" i="1"/>
  <c r="R102" i="3" s="1"/>
  <c r="D104" i="1"/>
  <c r="E104" i="1"/>
  <c r="F104" i="1"/>
  <c r="H104" i="1"/>
  <c r="I104" i="1"/>
  <c r="AD104" i="1"/>
  <c r="AF104" i="1"/>
  <c r="AG104" i="1"/>
  <c r="C103" i="3" s="1"/>
  <c r="AH104" i="1"/>
  <c r="D103" i="3" s="1"/>
  <c r="AI104" i="1"/>
  <c r="E103" i="3" s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D105" i="1"/>
  <c r="E105" i="1"/>
  <c r="F105" i="1"/>
  <c r="H105" i="1"/>
  <c r="I105" i="1"/>
  <c r="AD105" i="1"/>
  <c r="AF105" i="1"/>
  <c r="B104" i="3" s="1"/>
  <c r="AG105" i="1"/>
  <c r="C104" i="3" s="1"/>
  <c r="AH105" i="1"/>
  <c r="D104" i="3" s="1"/>
  <c r="AI105" i="1"/>
  <c r="E104" i="3" s="1"/>
  <c r="AJ105" i="1"/>
  <c r="AK105" i="1"/>
  <c r="G104" i="3" s="1"/>
  <c r="AL105" i="1"/>
  <c r="H104" i="3" s="1"/>
  <c r="AM105" i="1"/>
  <c r="AN105" i="1"/>
  <c r="AO105" i="1"/>
  <c r="K104" i="3" s="1"/>
  <c r="AP105" i="1"/>
  <c r="L104" i="3" s="1"/>
  <c r="AQ105" i="1"/>
  <c r="M104" i="3" s="1"/>
  <c r="AR105" i="1"/>
  <c r="N104" i="3" s="1"/>
  <c r="AS105" i="1"/>
  <c r="AT105" i="1"/>
  <c r="AU105" i="1"/>
  <c r="AV105" i="1"/>
  <c r="AW105" i="1"/>
  <c r="G105" i="1" s="1"/>
  <c r="D106" i="1"/>
  <c r="E106" i="1"/>
  <c r="F106" i="1"/>
  <c r="H106" i="1"/>
  <c r="I106" i="1"/>
  <c r="AD106" i="1"/>
  <c r="AF106" i="1"/>
  <c r="AG106" i="1"/>
  <c r="C105" i="3" s="1"/>
  <c r="AH106" i="1"/>
  <c r="D105" i="3" s="1"/>
  <c r="AI106" i="1"/>
  <c r="E105" i="3" s="1"/>
  <c r="AJ106" i="1"/>
  <c r="F105" i="3" s="1"/>
  <c r="AK106" i="1"/>
  <c r="G105" i="3" s="1"/>
  <c r="AL106" i="1"/>
  <c r="H105" i="3" s="1"/>
  <c r="AM106" i="1"/>
  <c r="I105" i="3" s="1"/>
  <c r="AN106" i="1"/>
  <c r="J105" i="3" s="1"/>
  <c r="AO106" i="1"/>
  <c r="K105" i="3" s="1"/>
  <c r="AP106" i="1"/>
  <c r="L105" i="3" s="1"/>
  <c r="AQ106" i="1"/>
  <c r="M105" i="3" s="1"/>
  <c r="AR106" i="1"/>
  <c r="N105" i="3" s="1"/>
  <c r="AS106" i="1"/>
  <c r="O105" i="3" s="1"/>
  <c r="AT106" i="1"/>
  <c r="P105" i="3" s="1"/>
  <c r="AU106" i="1"/>
  <c r="Q105" i="3" s="1"/>
  <c r="AV106" i="1"/>
  <c r="D107" i="1"/>
  <c r="E107" i="1"/>
  <c r="F107" i="1"/>
  <c r="H107" i="1"/>
  <c r="I107" i="1"/>
  <c r="AD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Q106" i="3" s="1"/>
  <c r="AV107" i="1"/>
  <c r="R106" i="3" s="1"/>
  <c r="AW107" i="1"/>
  <c r="G107" i="1" s="1"/>
  <c r="J107" i="1" s="1"/>
  <c r="D108" i="1"/>
  <c r="E108" i="1"/>
  <c r="F108" i="1"/>
  <c r="H108" i="1"/>
  <c r="I108" i="1"/>
  <c r="AD108" i="1"/>
  <c r="AF108" i="1"/>
  <c r="B107" i="3" s="1"/>
  <c r="AG108" i="1"/>
  <c r="C107" i="3" s="1"/>
  <c r="AH108" i="1"/>
  <c r="D107" i="3" s="1"/>
  <c r="AI108" i="1"/>
  <c r="E107" i="3" s="1"/>
  <c r="AJ108" i="1"/>
  <c r="F107" i="3" s="1"/>
  <c r="AK108" i="1"/>
  <c r="G107" i="3" s="1"/>
  <c r="AL108" i="1"/>
  <c r="H107" i="3" s="1"/>
  <c r="AM108" i="1"/>
  <c r="AN108" i="1"/>
  <c r="AO108" i="1"/>
  <c r="AP108" i="1"/>
  <c r="AQ108" i="1"/>
  <c r="AR108" i="1"/>
  <c r="N107" i="3" s="1"/>
  <c r="AS108" i="1"/>
  <c r="O107" i="3" s="1"/>
  <c r="AT108" i="1"/>
  <c r="P107" i="3" s="1"/>
  <c r="AU108" i="1"/>
  <c r="Q107" i="3" s="1"/>
  <c r="AV108" i="1"/>
  <c r="R107" i="3" s="1"/>
  <c r="AW108" i="1"/>
  <c r="G108" i="1" s="1"/>
  <c r="J108" i="1" s="1"/>
  <c r="D109" i="1"/>
  <c r="E109" i="1"/>
  <c r="F109" i="1"/>
  <c r="H109" i="1"/>
  <c r="I109" i="1"/>
  <c r="AD109" i="1"/>
  <c r="AF109" i="1"/>
  <c r="AG109" i="1"/>
  <c r="AH109" i="1"/>
  <c r="AI109" i="1"/>
  <c r="AJ109" i="1"/>
  <c r="AK109" i="1"/>
  <c r="AL109" i="1"/>
  <c r="AM109" i="1"/>
  <c r="I108" i="3" s="1"/>
  <c r="AN109" i="1"/>
  <c r="J108" i="3" s="1"/>
  <c r="AO109" i="1"/>
  <c r="AP109" i="1"/>
  <c r="AQ109" i="1"/>
  <c r="AR109" i="1"/>
  <c r="AS109" i="1"/>
  <c r="AT109" i="1"/>
  <c r="AU109" i="1"/>
  <c r="AV109" i="1"/>
  <c r="D110" i="1"/>
  <c r="E110" i="1"/>
  <c r="F110" i="1"/>
  <c r="H110" i="1"/>
  <c r="I110" i="1"/>
  <c r="AD110" i="1"/>
  <c r="AF110" i="1"/>
  <c r="AG110" i="1"/>
  <c r="C109" i="3" s="1"/>
  <c r="AH110" i="1"/>
  <c r="D109" i="3" s="1"/>
  <c r="AI110" i="1"/>
  <c r="E109" i="3" s="1"/>
  <c r="AJ110" i="1"/>
  <c r="F109" i="3" s="1"/>
  <c r="AK110" i="1"/>
  <c r="G109" i="3" s="1"/>
  <c r="AL110" i="1"/>
  <c r="AM110" i="1"/>
  <c r="I109" i="3" s="1"/>
  <c r="AN110" i="1"/>
  <c r="J109" i="3" s="1"/>
  <c r="AO110" i="1"/>
  <c r="K109" i="3" s="1"/>
  <c r="AP110" i="1"/>
  <c r="L109" i="3" s="1"/>
  <c r="AQ110" i="1"/>
  <c r="M109" i="3" s="1"/>
  <c r="AR110" i="1"/>
  <c r="AS110" i="1"/>
  <c r="O109" i="3" s="1"/>
  <c r="AT110" i="1"/>
  <c r="P109" i="3" s="1"/>
  <c r="AU110" i="1"/>
  <c r="AV110" i="1"/>
  <c r="D111" i="1"/>
  <c r="E111" i="1"/>
  <c r="F111" i="1"/>
  <c r="H111" i="1"/>
  <c r="I111" i="1"/>
  <c r="AD111" i="1"/>
  <c r="AF111" i="1"/>
  <c r="AG111" i="1"/>
  <c r="AH111" i="1"/>
  <c r="AI111" i="1"/>
  <c r="AJ111" i="1"/>
  <c r="F110" i="3" s="1"/>
  <c r="AK111" i="1"/>
  <c r="G110" i="3" s="1"/>
  <c r="AL111" i="1"/>
  <c r="H110" i="3" s="1"/>
  <c r="AM111" i="1"/>
  <c r="I110" i="3" s="1"/>
  <c r="AN111" i="1"/>
  <c r="J110" i="3" s="1"/>
  <c r="AO111" i="1"/>
  <c r="K110" i="3" s="1"/>
  <c r="AP111" i="1"/>
  <c r="L110" i="3" s="1"/>
  <c r="AQ111" i="1"/>
  <c r="M110" i="3" s="1"/>
  <c r="AR111" i="1"/>
  <c r="N110" i="3" s="1"/>
  <c r="AS111" i="1"/>
  <c r="AT111" i="1"/>
  <c r="AU111" i="1"/>
  <c r="AV111" i="1"/>
  <c r="D112" i="1"/>
  <c r="E112" i="1"/>
  <c r="F112" i="1"/>
  <c r="H112" i="1"/>
  <c r="I112" i="1"/>
  <c r="AD112" i="1"/>
  <c r="AF112" i="1"/>
  <c r="AG112" i="1"/>
  <c r="AH112" i="1"/>
  <c r="AI112" i="1"/>
  <c r="AJ112" i="1"/>
  <c r="AK112" i="1"/>
  <c r="AL112" i="1"/>
  <c r="AM112" i="1"/>
  <c r="I111" i="3" s="1"/>
  <c r="AN112" i="1"/>
  <c r="AO112" i="1"/>
  <c r="AP112" i="1"/>
  <c r="AQ112" i="1"/>
  <c r="AR112" i="1"/>
  <c r="AS112" i="1"/>
  <c r="AT112" i="1"/>
  <c r="AU112" i="1"/>
  <c r="Q111" i="3" s="1"/>
  <c r="AV112" i="1"/>
  <c r="R111" i="3" s="1"/>
  <c r="AW112" i="1"/>
  <c r="G112" i="1" s="1"/>
  <c r="D113" i="1"/>
  <c r="E113" i="1"/>
  <c r="F113" i="1"/>
  <c r="H113" i="1"/>
  <c r="I113" i="1"/>
  <c r="AD113" i="1"/>
  <c r="AF113" i="1"/>
  <c r="B112" i="3" s="1"/>
  <c r="AG113" i="1"/>
  <c r="C112" i="3" s="1"/>
  <c r="AH113" i="1"/>
  <c r="D112" i="3" s="1"/>
  <c r="AI113" i="1"/>
  <c r="E112" i="3" s="1"/>
  <c r="AJ113" i="1"/>
  <c r="F112" i="3" s="1"/>
  <c r="AK113" i="1"/>
  <c r="G112" i="3" s="1"/>
  <c r="AL113" i="1"/>
  <c r="AM113" i="1"/>
  <c r="AN113" i="1"/>
  <c r="AO113" i="1"/>
  <c r="AP113" i="1"/>
  <c r="AQ113" i="1"/>
  <c r="M112" i="3" s="1"/>
  <c r="AR113" i="1"/>
  <c r="N112" i="3" s="1"/>
  <c r="AS113" i="1"/>
  <c r="O112" i="3" s="1"/>
  <c r="AT113" i="1"/>
  <c r="P112" i="3" s="1"/>
  <c r="AU113" i="1"/>
  <c r="Q112" i="3" s="1"/>
  <c r="AV113" i="1"/>
  <c r="R112" i="3" s="1"/>
  <c r="D114" i="1"/>
  <c r="E114" i="1"/>
  <c r="F114" i="1"/>
  <c r="H114" i="1"/>
  <c r="I114" i="1"/>
  <c r="AD114" i="1"/>
  <c r="AF114" i="1"/>
  <c r="AG114" i="1"/>
  <c r="AH114" i="1"/>
  <c r="AI114" i="1"/>
  <c r="AJ114" i="1"/>
  <c r="AK114" i="1"/>
  <c r="AL114" i="1"/>
  <c r="AM114" i="1"/>
  <c r="I113" i="3" s="1"/>
  <c r="AN114" i="1"/>
  <c r="J113" i="3" s="1"/>
  <c r="AO114" i="1"/>
  <c r="K113" i="3" s="1"/>
  <c r="AP114" i="1"/>
  <c r="L113" i="3" s="1"/>
  <c r="AQ114" i="1"/>
  <c r="M113" i="3" s="1"/>
  <c r="AR114" i="1"/>
  <c r="N113" i="3" s="1"/>
  <c r="AS114" i="1"/>
  <c r="AT114" i="1"/>
  <c r="AU114" i="1"/>
  <c r="AV114" i="1"/>
  <c r="D115" i="1"/>
  <c r="E115" i="1"/>
  <c r="F115" i="1"/>
  <c r="H115" i="1"/>
  <c r="I115" i="1"/>
  <c r="AD115" i="1"/>
  <c r="AF115" i="1"/>
  <c r="B114" i="3" s="1"/>
  <c r="AG115" i="1"/>
  <c r="C114" i="3" s="1"/>
  <c r="AH115" i="1"/>
  <c r="D114" i="3" s="1"/>
  <c r="AI115" i="1"/>
  <c r="AJ115" i="1"/>
  <c r="F114" i="3" s="1"/>
  <c r="AK115" i="1"/>
  <c r="AL115" i="1"/>
  <c r="AM115" i="1"/>
  <c r="I114" i="3" s="1"/>
  <c r="AN115" i="1"/>
  <c r="J114" i="3" s="1"/>
  <c r="AO115" i="1"/>
  <c r="AP115" i="1"/>
  <c r="AQ115" i="1"/>
  <c r="AR115" i="1"/>
  <c r="AS115" i="1"/>
  <c r="AT115" i="1"/>
  <c r="AU115" i="1"/>
  <c r="Q114" i="3" s="1"/>
  <c r="AV115" i="1"/>
  <c r="R114" i="3" s="1"/>
  <c r="D116" i="1"/>
  <c r="E116" i="1"/>
  <c r="F116" i="1"/>
  <c r="H116" i="1"/>
  <c r="I116" i="1"/>
  <c r="AD116" i="1"/>
  <c r="AF116" i="1"/>
  <c r="AG116" i="1"/>
  <c r="C115" i="3" s="1"/>
  <c r="AH116" i="1"/>
  <c r="D115" i="3" s="1"/>
  <c r="AI116" i="1"/>
  <c r="E115" i="3" s="1"/>
  <c r="AJ116" i="1"/>
  <c r="F115" i="3" s="1"/>
  <c r="AK116" i="1"/>
  <c r="G115" i="3" s="1"/>
  <c r="AL116" i="1"/>
  <c r="AM116" i="1"/>
  <c r="AN116" i="1"/>
  <c r="AO116" i="1"/>
  <c r="K115" i="3" s="1"/>
  <c r="AP116" i="1"/>
  <c r="L115" i="3" s="1"/>
  <c r="AQ116" i="1"/>
  <c r="M115" i="3" s="1"/>
  <c r="AR116" i="1"/>
  <c r="AS116" i="1"/>
  <c r="AT116" i="1"/>
  <c r="AU116" i="1"/>
  <c r="AV116" i="1"/>
  <c r="D117" i="1"/>
  <c r="E117" i="1"/>
  <c r="F117" i="1"/>
  <c r="H117" i="1"/>
  <c r="I117" i="1"/>
  <c r="AD117" i="1"/>
  <c r="AF117" i="1"/>
  <c r="B116" i="3" s="1"/>
  <c r="AG117" i="1"/>
  <c r="AH117" i="1"/>
  <c r="AI117" i="1"/>
  <c r="E116" i="3" s="1"/>
  <c r="AJ117" i="1"/>
  <c r="F116" i="3" s="1"/>
  <c r="AK117" i="1"/>
  <c r="G116" i="3" s="1"/>
  <c r="AL117" i="1"/>
  <c r="H116" i="3" s="1"/>
  <c r="AM117" i="1"/>
  <c r="AN117" i="1"/>
  <c r="AO117" i="1"/>
  <c r="AP117" i="1"/>
  <c r="AQ117" i="1"/>
  <c r="AR117" i="1"/>
  <c r="AS117" i="1"/>
  <c r="O116" i="3" s="1"/>
  <c r="AT117" i="1"/>
  <c r="AU117" i="1"/>
  <c r="AV117" i="1"/>
  <c r="R116" i="3" s="1"/>
  <c r="S116" i="3" s="1"/>
  <c r="D118" i="1"/>
  <c r="E118" i="1"/>
  <c r="F118" i="1"/>
  <c r="H118" i="1"/>
  <c r="I118" i="1"/>
  <c r="AD118" i="1"/>
  <c r="AF118" i="1"/>
  <c r="AG118" i="1"/>
  <c r="C117" i="3" s="1"/>
  <c r="AH118" i="1"/>
  <c r="D117" i="3" s="1"/>
  <c r="AI118" i="1"/>
  <c r="E117" i="3" s="1"/>
  <c r="AJ118" i="1"/>
  <c r="AK118" i="1"/>
  <c r="AL118" i="1"/>
  <c r="AM118" i="1"/>
  <c r="AN118" i="1"/>
  <c r="AO118" i="1"/>
  <c r="K117" i="3" s="1"/>
  <c r="AP118" i="1"/>
  <c r="L117" i="3" s="1"/>
  <c r="AQ118" i="1"/>
  <c r="M117" i="3" s="1"/>
  <c r="AR118" i="1"/>
  <c r="N117" i="3" s="1"/>
  <c r="AS118" i="1"/>
  <c r="AT118" i="1"/>
  <c r="P117" i="3" s="1"/>
  <c r="AU118" i="1"/>
  <c r="Q117" i="3" s="1"/>
  <c r="AV118" i="1"/>
  <c r="R117" i="3" s="1"/>
  <c r="B120" i="1"/>
  <c r="C120" i="1"/>
  <c r="B121" i="1" s="1"/>
  <c r="M120" i="1"/>
  <c r="M123" i="1" s="1"/>
  <c r="N120" i="1"/>
  <c r="N123" i="1" s="1"/>
  <c r="O120" i="1"/>
  <c r="P120" i="1"/>
  <c r="Q120" i="1"/>
  <c r="R120" i="1"/>
  <c r="S120" i="1"/>
  <c r="T120" i="1"/>
  <c r="B17" i="17" s="1"/>
  <c r="U120" i="1"/>
  <c r="V120" i="1"/>
  <c r="W120" i="1"/>
  <c r="X120" i="1"/>
  <c r="B21" i="17" s="1"/>
  <c r="Y120" i="1"/>
  <c r="B22" i="17" s="1"/>
  <c r="Z120" i="1"/>
  <c r="B23" i="17" s="1"/>
  <c r="AA120" i="1"/>
  <c r="AB120" i="1"/>
  <c r="AC120" i="1"/>
  <c r="AC122" i="1" s="1"/>
  <c r="M122" i="1"/>
  <c r="N122" i="1"/>
  <c r="T122" i="1"/>
  <c r="U122" i="1"/>
  <c r="V122" i="1"/>
  <c r="W122" i="1"/>
  <c r="X122" i="1"/>
  <c r="Y122" i="1"/>
  <c r="Z122" i="1"/>
  <c r="AA122" i="1"/>
  <c r="AB122" i="1"/>
  <c r="T123" i="1"/>
  <c r="U123" i="1"/>
  <c r="V123" i="1"/>
  <c r="W123" i="1"/>
  <c r="X123" i="1"/>
  <c r="Y123" i="1"/>
  <c r="Z123" i="1"/>
  <c r="AA123" i="1"/>
  <c r="AB123" i="1"/>
  <c r="AC123" i="1"/>
  <c r="AC128" i="1" s="1"/>
  <c r="J124" i="1"/>
  <c r="AB124" i="1"/>
  <c r="AB129" i="1" s="1"/>
  <c r="J126" i="1"/>
  <c r="M128" i="1"/>
  <c r="N128" i="1"/>
  <c r="AB132" i="1"/>
  <c r="AB133" i="1"/>
  <c r="A2" i="3"/>
  <c r="B12" i="3"/>
  <c r="C12" i="3"/>
  <c r="D12" i="3"/>
  <c r="E12" i="3"/>
  <c r="F12" i="3"/>
  <c r="G12" i="3"/>
  <c r="H12" i="3"/>
  <c r="I12" i="3"/>
  <c r="N12" i="3"/>
  <c r="O12" i="3"/>
  <c r="P12" i="3"/>
  <c r="Q12" i="3"/>
  <c r="R12" i="3"/>
  <c r="N13" i="3"/>
  <c r="O13" i="3"/>
  <c r="P13" i="3"/>
  <c r="Q13" i="3"/>
  <c r="R13" i="3"/>
  <c r="G14" i="3"/>
  <c r="I14" i="3"/>
  <c r="J14" i="3"/>
  <c r="K14" i="3"/>
  <c r="L14" i="3"/>
  <c r="M14" i="3"/>
  <c r="N14" i="3"/>
  <c r="O14" i="3"/>
  <c r="P14" i="3"/>
  <c r="Q14" i="3"/>
  <c r="R14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L16" i="3"/>
  <c r="R16" i="3"/>
  <c r="S16" i="3"/>
  <c r="B17" i="3"/>
  <c r="C17" i="3"/>
  <c r="D17" i="3"/>
  <c r="E17" i="3"/>
  <c r="F17" i="3"/>
  <c r="G17" i="3"/>
  <c r="H17" i="3"/>
  <c r="I17" i="3"/>
  <c r="O17" i="3"/>
  <c r="Q17" i="3"/>
  <c r="R17" i="3"/>
  <c r="H18" i="3"/>
  <c r="K18" i="3"/>
  <c r="L18" i="3"/>
  <c r="M18" i="3"/>
  <c r="N18" i="3"/>
  <c r="O18" i="3"/>
  <c r="P18" i="3"/>
  <c r="Q18" i="3"/>
  <c r="R18" i="3"/>
  <c r="G19" i="3"/>
  <c r="M19" i="3"/>
  <c r="N19" i="3"/>
  <c r="O19" i="3"/>
  <c r="P19" i="3"/>
  <c r="Q19" i="3"/>
  <c r="R19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S21" i="3" s="1"/>
  <c r="M21" i="3"/>
  <c r="N21" i="3"/>
  <c r="O21" i="3"/>
  <c r="P21" i="3"/>
  <c r="Q21" i="3"/>
  <c r="R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C24" i="3"/>
  <c r="D24" i="3"/>
  <c r="J24" i="3"/>
  <c r="K24" i="3"/>
  <c r="L24" i="3"/>
  <c r="M24" i="3"/>
  <c r="N24" i="3"/>
  <c r="O24" i="3"/>
  <c r="P24" i="3"/>
  <c r="R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S26" i="3" s="1"/>
  <c r="Q26" i="3"/>
  <c r="R26" i="3"/>
  <c r="B27" i="3"/>
  <c r="C27" i="3"/>
  <c r="D27" i="3"/>
  <c r="E27" i="3"/>
  <c r="F27" i="3"/>
  <c r="L27" i="3"/>
  <c r="M27" i="3"/>
  <c r="K28" i="3"/>
  <c r="N28" i="3"/>
  <c r="P28" i="3"/>
  <c r="Q28" i="3"/>
  <c r="R28" i="3"/>
  <c r="B29" i="3"/>
  <c r="C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F30" i="3"/>
  <c r="G30" i="3"/>
  <c r="H30" i="3"/>
  <c r="I30" i="3"/>
  <c r="J30" i="3"/>
  <c r="K30" i="3"/>
  <c r="D31" i="3"/>
  <c r="E31" i="3"/>
  <c r="F31" i="3"/>
  <c r="G31" i="3"/>
  <c r="H31" i="3"/>
  <c r="I31" i="3"/>
  <c r="O31" i="3"/>
  <c r="P31" i="3"/>
  <c r="D32" i="3"/>
  <c r="E32" i="3"/>
  <c r="L32" i="3"/>
  <c r="M32" i="3"/>
  <c r="N32" i="3"/>
  <c r="O32" i="3"/>
  <c r="P32" i="3"/>
  <c r="F33" i="3"/>
  <c r="G33" i="3"/>
  <c r="H33" i="3"/>
  <c r="I33" i="3"/>
  <c r="J33" i="3"/>
  <c r="K33" i="3"/>
  <c r="Q33" i="3"/>
  <c r="R33" i="3"/>
  <c r="G34" i="3"/>
  <c r="H34" i="3"/>
  <c r="I34" i="3"/>
  <c r="N34" i="3"/>
  <c r="O34" i="3"/>
  <c r="P34" i="3"/>
  <c r="Q34" i="3"/>
  <c r="R34" i="3"/>
  <c r="B35" i="3"/>
  <c r="C35" i="3"/>
  <c r="D35" i="3"/>
  <c r="E35" i="3"/>
  <c r="F35" i="3"/>
  <c r="G35" i="3"/>
  <c r="H35" i="3"/>
  <c r="I35" i="3"/>
  <c r="J35" i="3"/>
  <c r="K35" i="3"/>
  <c r="L35" i="3"/>
  <c r="B36" i="3"/>
  <c r="C36" i="3"/>
  <c r="D36" i="3"/>
  <c r="E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8" i="3"/>
  <c r="E39" i="3"/>
  <c r="F39" i="3"/>
  <c r="G39" i="3"/>
  <c r="H39" i="3"/>
  <c r="I39" i="3"/>
  <c r="O39" i="3"/>
  <c r="P39" i="3"/>
  <c r="Q39" i="3"/>
  <c r="R39" i="3"/>
  <c r="B40" i="3"/>
  <c r="C40" i="3"/>
  <c r="D40" i="3"/>
  <c r="E40" i="3"/>
  <c r="F40" i="3"/>
  <c r="G40" i="3"/>
  <c r="H40" i="3"/>
  <c r="I40" i="3"/>
  <c r="J40" i="3"/>
  <c r="K40" i="3"/>
  <c r="M40" i="3"/>
  <c r="S40" i="3" s="1"/>
  <c r="N40" i="3"/>
  <c r="O40" i="3"/>
  <c r="P40" i="3"/>
  <c r="Q40" i="3"/>
  <c r="R40" i="3"/>
  <c r="C41" i="3"/>
  <c r="D41" i="3"/>
  <c r="E41" i="3"/>
  <c r="F41" i="3"/>
  <c r="G41" i="3"/>
  <c r="H41" i="3"/>
  <c r="I41" i="3"/>
  <c r="J41" i="3"/>
  <c r="Q41" i="3"/>
  <c r="R41" i="3"/>
  <c r="E42" i="3"/>
  <c r="F42" i="3"/>
  <c r="H42" i="3"/>
  <c r="I42" i="3"/>
  <c r="J42" i="3"/>
  <c r="K42" i="3"/>
  <c r="L42" i="3"/>
  <c r="M42" i="3"/>
  <c r="N42" i="3"/>
  <c r="O42" i="3"/>
  <c r="Q42" i="3"/>
  <c r="R42" i="3"/>
  <c r="R43" i="3"/>
  <c r="B44" i="3"/>
  <c r="C44" i="3"/>
  <c r="D44" i="3"/>
  <c r="E44" i="3"/>
  <c r="F44" i="3"/>
  <c r="G44" i="3"/>
  <c r="R44" i="3"/>
  <c r="B45" i="3"/>
  <c r="H45" i="3"/>
  <c r="I45" i="3"/>
  <c r="J45" i="3"/>
  <c r="K45" i="3"/>
  <c r="L45" i="3"/>
  <c r="M45" i="3"/>
  <c r="N45" i="3"/>
  <c r="O45" i="3"/>
  <c r="P45" i="3"/>
  <c r="Q45" i="3"/>
  <c r="R45" i="3"/>
  <c r="S45" i="3"/>
  <c r="B46" i="3"/>
  <c r="E46" i="3"/>
  <c r="F46" i="3"/>
  <c r="G46" i="3"/>
  <c r="H46" i="3"/>
  <c r="I46" i="3"/>
  <c r="J46" i="3"/>
  <c r="K46" i="3"/>
  <c r="L46" i="3"/>
  <c r="M46" i="3"/>
  <c r="O46" i="3"/>
  <c r="P46" i="3"/>
  <c r="Q46" i="3"/>
  <c r="R46" i="3"/>
  <c r="K47" i="3"/>
  <c r="L47" i="3"/>
  <c r="M47" i="3"/>
  <c r="N47" i="3"/>
  <c r="O47" i="3"/>
  <c r="P47" i="3"/>
  <c r="Q47" i="3"/>
  <c r="R47" i="3"/>
  <c r="B49" i="3"/>
  <c r="C49" i="3"/>
  <c r="D49" i="3"/>
  <c r="E49" i="3"/>
  <c r="F49" i="3"/>
  <c r="G49" i="3"/>
  <c r="I49" i="3"/>
  <c r="J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E51" i="3"/>
  <c r="F51" i="3"/>
  <c r="G51" i="3"/>
  <c r="H51" i="3"/>
  <c r="I51" i="3"/>
  <c r="J51" i="3"/>
  <c r="K51" i="3"/>
  <c r="M51" i="3"/>
  <c r="N51" i="3"/>
  <c r="O51" i="3"/>
  <c r="P51" i="3"/>
  <c r="Q51" i="3"/>
  <c r="L52" i="3"/>
  <c r="M52" i="3"/>
  <c r="N52" i="3"/>
  <c r="P52" i="3"/>
  <c r="Q52" i="3"/>
  <c r="R52" i="3"/>
  <c r="R53" i="3"/>
  <c r="B54" i="3"/>
  <c r="C54" i="3"/>
  <c r="D54" i="3"/>
  <c r="E54" i="3"/>
  <c r="F54" i="3"/>
  <c r="G54" i="3"/>
  <c r="H54" i="3"/>
  <c r="I54" i="3"/>
  <c r="J54" i="3"/>
  <c r="K54" i="3"/>
  <c r="L54" i="3"/>
  <c r="N54" i="3"/>
  <c r="O54" i="3"/>
  <c r="B55" i="3"/>
  <c r="C55" i="3"/>
  <c r="D55" i="3"/>
  <c r="E55" i="3"/>
  <c r="F55" i="3"/>
  <c r="G55" i="3"/>
  <c r="H55" i="3"/>
  <c r="I55" i="3"/>
  <c r="J55" i="3"/>
  <c r="E56" i="3"/>
  <c r="F56" i="3"/>
  <c r="G56" i="3"/>
  <c r="H56" i="3"/>
  <c r="I56" i="3"/>
  <c r="J56" i="3"/>
  <c r="K56" i="3"/>
  <c r="L56" i="3"/>
  <c r="M56" i="3"/>
  <c r="N56" i="3"/>
  <c r="O56" i="3"/>
  <c r="N57" i="3"/>
  <c r="O57" i="3"/>
  <c r="P57" i="3"/>
  <c r="Q57" i="3"/>
  <c r="R57" i="3"/>
  <c r="B58" i="3"/>
  <c r="K58" i="3"/>
  <c r="R58" i="3"/>
  <c r="S58" i="3"/>
  <c r="B59" i="3"/>
  <c r="C59" i="3"/>
  <c r="D59" i="3"/>
  <c r="E59" i="3"/>
  <c r="L59" i="3"/>
  <c r="M59" i="3"/>
  <c r="N59" i="3"/>
  <c r="O59" i="3"/>
  <c r="P59" i="3"/>
  <c r="R59" i="3"/>
  <c r="C60" i="3"/>
  <c r="D60" i="3"/>
  <c r="E60" i="3"/>
  <c r="F60" i="3"/>
  <c r="G60" i="3"/>
  <c r="H60" i="3"/>
  <c r="I60" i="3"/>
  <c r="M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B62" i="3"/>
  <c r="D62" i="3"/>
  <c r="E62" i="3"/>
  <c r="O62" i="3"/>
  <c r="P62" i="3"/>
  <c r="D63" i="3"/>
  <c r="P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6" i="3"/>
  <c r="C66" i="3"/>
  <c r="D66" i="3"/>
  <c r="E66" i="3"/>
  <c r="F66" i="3"/>
  <c r="G66" i="3"/>
  <c r="H66" i="3"/>
  <c r="I66" i="3"/>
  <c r="O66" i="3"/>
  <c r="P66" i="3"/>
  <c r="Q66" i="3"/>
  <c r="R66" i="3"/>
  <c r="S66" i="3"/>
  <c r="B67" i="3"/>
  <c r="C67" i="3"/>
  <c r="D67" i="3"/>
  <c r="E67" i="3"/>
  <c r="F67" i="3"/>
  <c r="H67" i="3"/>
  <c r="I67" i="3"/>
  <c r="J67" i="3"/>
  <c r="N67" i="3"/>
  <c r="O67" i="3"/>
  <c r="P67" i="3"/>
  <c r="Q67" i="3"/>
  <c r="R67" i="3"/>
  <c r="B68" i="3"/>
  <c r="C68" i="3"/>
  <c r="D68" i="3"/>
  <c r="E68" i="3"/>
  <c r="R68" i="3"/>
  <c r="L69" i="3"/>
  <c r="M69" i="3"/>
  <c r="N69" i="3"/>
  <c r="O69" i="3"/>
  <c r="P69" i="3"/>
  <c r="Q69" i="3"/>
  <c r="R69" i="3"/>
  <c r="F70" i="3"/>
  <c r="G70" i="3"/>
  <c r="L70" i="3"/>
  <c r="M70" i="3"/>
  <c r="N70" i="3"/>
  <c r="O70" i="3"/>
  <c r="P70" i="3"/>
  <c r="Q70" i="3"/>
  <c r="R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B72" i="3"/>
  <c r="C72" i="3"/>
  <c r="D72" i="3"/>
  <c r="E72" i="3"/>
  <c r="F72" i="3"/>
  <c r="G72" i="3"/>
  <c r="H72" i="3"/>
  <c r="I72" i="3"/>
  <c r="J72" i="3"/>
  <c r="N72" i="3"/>
  <c r="O72" i="3"/>
  <c r="P72" i="3"/>
  <c r="Q72" i="3"/>
  <c r="R72" i="3"/>
  <c r="Q73" i="3"/>
  <c r="R73" i="3"/>
  <c r="C74" i="3"/>
  <c r="J74" i="3"/>
  <c r="K74" i="3"/>
  <c r="L74" i="3"/>
  <c r="M74" i="3"/>
  <c r="N74" i="3"/>
  <c r="O74" i="3"/>
  <c r="P74" i="3"/>
  <c r="Q74" i="3"/>
  <c r="R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C76" i="3"/>
  <c r="D76" i="3"/>
  <c r="E76" i="3"/>
  <c r="F76" i="3"/>
  <c r="G76" i="3"/>
  <c r="H76" i="3"/>
  <c r="I76" i="3"/>
  <c r="J76" i="3"/>
  <c r="K76" i="3"/>
  <c r="M76" i="3"/>
  <c r="N76" i="3"/>
  <c r="O76" i="3"/>
  <c r="P76" i="3"/>
  <c r="J77" i="3"/>
  <c r="K77" i="3"/>
  <c r="L77" i="3"/>
  <c r="M77" i="3"/>
  <c r="N77" i="3"/>
  <c r="O77" i="3"/>
  <c r="P77" i="3"/>
  <c r="Q77" i="3"/>
  <c r="O78" i="3"/>
  <c r="P78" i="3"/>
  <c r="Q78" i="3"/>
  <c r="R78" i="3"/>
  <c r="F79" i="3"/>
  <c r="I79" i="3"/>
  <c r="J79" i="3"/>
  <c r="K79" i="3"/>
  <c r="L79" i="3"/>
  <c r="M79" i="3"/>
  <c r="N79" i="3"/>
  <c r="O79" i="3"/>
  <c r="P79" i="3"/>
  <c r="Q79" i="3"/>
  <c r="R79" i="3"/>
  <c r="B80" i="3"/>
  <c r="S80" i="3" s="1"/>
  <c r="C80" i="3"/>
  <c r="D80" i="3"/>
  <c r="E80" i="3"/>
  <c r="F80" i="3"/>
  <c r="G80" i="3"/>
  <c r="H80" i="3"/>
  <c r="I80" i="3"/>
  <c r="J80" i="3"/>
  <c r="K80" i="3"/>
  <c r="L80" i="3"/>
  <c r="R80" i="3"/>
  <c r="B81" i="3"/>
  <c r="C81" i="3"/>
  <c r="D81" i="3"/>
  <c r="E81" i="3"/>
  <c r="F81" i="3"/>
  <c r="G81" i="3"/>
  <c r="H81" i="3"/>
  <c r="I81" i="3"/>
  <c r="J81" i="3"/>
  <c r="K81" i="3"/>
  <c r="L82" i="3"/>
  <c r="M82" i="3"/>
  <c r="N82" i="3"/>
  <c r="O82" i="3"/>
  <c r="P82" i="3"/>
  <c r="Q82" i="3"/>
  <c r="R82" i="3"/>
  <c r="B83" i="3"/>
  <c r="C83" i="3"/>
  <c r="D83" i="3"/>
  <c r="E83" i="3"/>
  <c r="F83" i="3"/>
  <c r="G83" i="3"/>
  <c r="M83" i="3"/>
  <c r="N83" i="3"/>
  <c r="O83" i="3"/>
  <c r="P83" i="3"/>
  <c r="Q83" i="3"/>
  <c r="R83" i="3"/>
  <c r="J84" i="3"/>
  <c r="K84" i="3"/>
  <c r="L84" i="3"/>
  <c r="M84" i="3"/>
  <c r="N84" i="3"/>
  <c r="O84" i="3"/>
  <c r="P84" i="3"/>
  <c r="Q84" i="3"/>
  <c r="R84" i="3"/>
  <c r="B85" i="3"/>
  <c r="C85" i="3"/>
  <c r="D85" i="3"/>
  <c r="E85" i="3"/>
  <c r="L85" i="3"/>
  <c r="M85" i="3"/>
  <c r="R85" i="3"/>
  <c r="S85" i="3"/>
  <c r="B86" i="3"/>
  <c r="C86" i="3"/>
  <c r="D86" i="3"/>
  <c r="E86" i="3"/>
  <c r="F86" i="3"/>
  <c r="G86" i="3"/>
  <c r="H86" i="3"/>
  <c r="I86" i="3"/>
  <c r="J86" i="3"/>
  <c r="K86" i="3"/>
  <c r="L86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L88" i="3"/>
  <c r="M88" i="3"/>
  <c r="N88" i="3"/>
  <c r="O88" i="3"/>
  <c r="P88" i="3"/>
  <c r="R88" i="3"/>
  <c r="Q89" i="3"/>
  <c r="R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B91" i="3"/>
  <c r="F91" i="3"/>
  <c r="L91" i="3"/>
  <c r="P91" i="3"/>
  <c r="Q91" i="3"/>
  <c r="R91" i="3"/>
  <c r="S91" i="3"/>
  <c r="B92" i="3"/>
  <c r="S92" i="3" s="1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B93" i="3"/>
  <c r="C93" i="3"/>
  <c r="D93" i="3"/>
  <c r="E93" i="3"/>
  <c r="F93" i="3"/>
  <c r="G93" i="3"/>
  <c r="J93" i="3"/>
  <c r="K93" i="3"/>
  <c r="L93" i="3"/>
  <c r="M93" i="3"/>
  <c r="N93" i="3"/>
  <c r="R93" i="3"/>
  <c r="O95" i="3"/>
  <c r="P95" i="3"/>
  <c r="Q95" i="3"/>
  <c r="R95" i="3"/>
  <c r="B96" i="3"/>
  <c r="C96" i="3"/>
  <c r="D96" i="3"/>
  <c r="H96" i="3"/>
  <c r="I96" i="3"/>
  <c r="J96" i="3"/>
  <c r="K96" i="3"/>
  <c r="L96" i="3"/>
  <c r="M96" i="3"/>
  <c r="N96" i="3"/>
  <c r="P96" i="3"/>
  <c r="Q96" i="3"/>
  <c r="R96" i="3"/>
  <c r="S96" i="3"/>
  <c r="K97" i="3"/>
  <c r="L97" i="3"/>
  <c r="M97" i="3"/>
  <c r="N97" i="3"/>
  <c r="O97" i="3"/>
  <c r="Q97" i="3"/>
  <c r="R97" i="3"/>
  <c r="B98" i="3"/>
  <c r="C98" i="3"/>
  <c r="D98" i="3"/>
  <c r="E98" i="3"/>
  <c r="F98" i="3"/>
  <c r="G98" i="3"/>
  <c r="H98" i="3"/>
  <c r="I98" i="3"/>
  <c r="J98" i="3"/>
  <c r="L98" i="3"/>
  <c r="M98" i="3"/>
  <c r="N98" i="3"/>
  <c r="O98" i="3"/>
  <c r="P98" i="3"/>
  <c r="Q99" i="3"/>
  <c r="D100" i="3"/>
  <c r="E100" i="3"/>
  <c r="F100" i="3"/>
  <c r="G100" i="3"/>
  <c r="H100" i="3"/>
  <c r="I100" i="3"/>
  <c r="J100" i="3"/>
  <c r="K100" i="3"/>
  <c r="L100" i="3"/>
  <c r="O100" i="3"/>
  <c r="B101" i="3"/>
  <c r="C101" i="3"/>
  <c r="D101" i="3"/>
  <c r="E101" i="3"/>
  <c r="F101" i="3"/>
  <c r="G101" i="3"/>
  <c r="I101" i="3"/>
  <c r="J101" i="3"/>
  <c r="K101" i="3"/>
  <c r="L101" i="3"/>
  <c r="M101" i="3"/>
  <c r="N101" i="3"/>
  <c r="O101" i="3"/>
  <c r="J102" i="3"/>
  <c r="K102" i="3"/>
  <c r="L102" i="3"/>
  <c r="M102" i="3"/>
  <c r="N102" i="3"/>
  <c r="Q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F104" i="3"/>
  <c r="I104" i="3"/>
  <c r="J104" i="3"/>
  <c r="O104" i="3"/>
  <c r="P104" i="3"/>
  <c r="Q104" i="3"/>
  <c r="R104" i="3"/>
  <c r="R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I107" i="3"/>
  <c r="J107" i="3"/>
  <c r="K107" i="3"/>
  <c r="L107" i="3"/>
  <c r="M107" i="3"/>
  <c r="B108" i="3"/>
  <c r="C108" i="3"/>
  <c r="D108" i="3"/>
  <c r="E108" i="3"/>
  <c r="F108" i="3"/>
  <c r="G108" i="3"/>
  <c r="H108" i="3"/>
  <c r="K108" i="3"/>
  <c r="L108" i="3"/>
  <c r="M108" i="3"/>
  <c r="N108" i="3"/>
  <c r="O108" i="3"/>
  <c r="P108" i="3"/>
  <c r="Q108" i="3"/>
  <c r="R108" i="3"/>
  <c r="B109" i="3"/>
  <c r="N109" i="3"/>
  <c r="Q109" i="3"/>
  <c r="R109" i="3"/>
  <c r="C110" i="3"/>
  <c r="D110" i="3"/>
  <c r="E110" i="3"/>
  <c r="O110" i="3"/>
  <c r="P110" i="3"/>
  <c r="Q110" i="3"/>
  <c r="R110" i="3"/>
  <c r="B111" i="3"/>
  <c r="C111" i="3"/>
  <c r="D111" i="3"/>
  <c r="E111" i="3"/>
  <c r="F111" i="3"/>
  <c r="G111" i="3"/>
  <c r="H111" i="3"/>
  <c r="J111" i="3"/>
  <c r="K111" i="3"/>
  <c r="L111" i="3"/>
  <c r="M111" i="3"/>
  <c r="N111" i="3"/>
  <c r="O111" i="3"/>
  <c r="P111" i="3"/>
  <c r="H112" i="3"/>
  <c r="I112" i="3"/>
  <c r="J112" i="3"/>
  <c r="K112" i="3"/>
  <c r="L112" i="3"/>
  <c r="B113" i="3"/>
  <c r="C113" i="3"/>
  <c r="D113" i="3"/>
  <c r="E113" i="3"/>
  <c r="F113" i="3"/>
  <c r="G113" i="3"/>
  <c r="H113" i="3"/>
  <c r="O113" i="3"/>
  <c r="P113" i="3"/>
  <c r="Q113" i="3"/>
  <c r="R113" i="3"/>
  <c r="E114" i="3"/>
  <c r="G114" i="3"/>
  <c r="H114" i="3"/>
  <c r="K114" i="3"/>
  <c r="L114" i="3"/>
  <c r="M114" i="3"/>
  <c r="N114" i="3"/>
  <c r="O114" i="3"/>
  <c r="P114" i="3"/>
  <c r="H115" i="3"/>
  <c r="I115" i="3"/>
  <c r="J115" i="3"/>
  <c r="N115" i="3"/>
  <c r="O115" i="3"/>
  <c r="P115" i="3"/>
  <c r="Q115" i="3"/>
  <c r="R115" i="3"/>
  <c r="C116" i="3"/>
  <c r="D116" i="3"/>
  <c r="I116" i="3"/>
  <c r="J116" i="3"/>
  <c r="K116" i="3"/>
  <c r="L116" i="3"/>
  <c r="M116" i="3"/>
  <c r="N116" i="3"/>
  <c r="P116" i="3"/>
  <c r="Q116" i="3"/>
  <c r="F117" i="3"/>
  <c r="G117" i="3"/>
  <c r="H117" i="3"/>
  <c r="I117" i="3"/>
  <c r="J117" i="3"/>
  <c r="O117" i="3"/>
  <c r="Q123" i="3"/>
  <c r="A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B83" i="4"/>
  <c r="S83" i="4" s="1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B86" i="4"/>
  <c r="S86" i="4" s="1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B102" i="4"/>
  <c r="C102" i="4"/>
  <c r="D102" i="4"/>
  <c r="E102" i="4"/>
  <c r="F102" i="4"/>
  <c r="G102" i="4"/>
  <c r="H102" i="4"/>
  <c r="I102" i="4"/>
  <c r="J102" i="4"/>
  <c r="K102" i="4"/>
  <c r="L102" i="4"/>
  <c r="S102" i="4" s="1"/>
  <c r="M102" i="4"/>
  <c r="N102" i="4"/>
  <c r="O102" i="4"/>
  <c r="P102" i="4"/>
  <c r="Q102" i="4"/>
  <c r="R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2" i="17"/>
  <c r="K2" i="17"/>
  <c r="I3" i="17"/>
  <c r="I4" i="17"/>
  <c r="B10" i="17"/>
  <c r="N10" i="17"/>
  <c r="B11" i="17"/>
  <c r="D9" i="18" s="1"/>
  <c r="N11" i="17"/>
  <c r="N27" i="17" s="1"/>
  <c r="B12" i="17"/>
  <c r="D12" i="18" s="1"/>
  <c r="N12" i="17"/>
  <c r="N13" i="17"/>
  <c r="B14" i="17"/>
  <c r="N14" i="17"/>
  <c r="N15" i="17"/>
  <c r="N16" i="17"/>
  <c r="N17" i="17"/>
  <c r="B18" i="17"/>
  <c r="D31" i="18" s="1"/>
  <c r="N18" i="17"/>
  <c r="B19" i="17"/>
  <c r="D34" i="18" s="1"/>
  <c r="N19" i="17"/>
  <c r="B20" i="17"/>
  <c r="D37" i="18" s="1"/>
  <c r="E20" i="17"/>
  <c r="G37" i="18" s="1"/>
  <c r="N20" i="17"/>
  <c r="N21" i="17"/>
  <c r="N22" i="17"/>
  <c r="N23" i="17"/>
  <c r="B24" i="17"/>
  <c r="D50" i="18" s="1"/>
  <c r="N24" i="17"/>
  <c r="B25" i="17"/>
  <c r="D51" i="18" s="1"/>
  <c r="N25" i="17"/>
  <c r="N26" i="17"/>
  <c r="E27" i="17"/>
  <c r="A31" i="17"/>
  <c r="E54" i="17"/>
  <c r="B4" i="19" s="1"/>
  <c r="F54" i="17"/>
  <c r="A59" i="17"/>
  <c r="D85" i="17"/>
  <c r="E85" i="17"/>
  <c r="F85" i="17"/>
  <c r="G85" i="17"/>
  <c r="N107" i="17"/>
  <c r="N108" i="17"/>
  <c r="N109" i="17"/>
  <c r="S109" i="17"/>
  <c r="L110" i="17"/>
  <c r="N110" i="17"/>
  <c r="N111" i="17"/>
  <c r="N112" i="17"/>
  <c r="L113" i="17"/>
  <c r="M113" i="17"/>
  <c r="N113" i="17"/>
  <c r="O107" i="17" s="1"/>
  <c r="A117" i="17"/>
  <c r="A2" i="18"/>
  <c r="G8" i="18"/>
  <c r="G9" i="18"/>
  <c r="I11" i="18"/>
  <c r="G12" i="18"/>
  <c r="I18" i="18"/>
  <c r="G19" i="18"/>
  <c r="D20" i="18"/>
  <c r="G20" i="18"/>
  <c r="I25" i="18"/>
  <c r="G26" i="18"/>
  <c r="G27" i="18"/>
  <c r="G28" i="18"/>
  <c r="I30" i="18"/>
  <c r="G31" i="18"/>
  <c r="I33" i="18"/>
  <c r="G34" i="18"/>
  <c r="I36" i="18"/>
  <c r="I40" i="18"/>
  <c r="D41" i="18"/>
  <c r="G41" i="18"/>
  <c r="D42" i="18"/>
  <c r="G42" i="18"/>
  <c r="I46" i="18"/>
  <c r="D47" i="18"/>
  <c r="G47" i="18"/>
  <c r="I49" i="18"/>
  <c r="G50" i="18"/>
  <c r="G51" i="18"/>
  <c r="I54" i="18"/>
  <c r="G55" i="18"/>
  <c r="I57" i="18"/>
  <c r="H4" i="19"/>
  <c r="H25" i="19" s="1"/>
  <c r="H42" i="19" s="1"/>
  <c r="H5" i="19"/>
  <c r="H26" i="19" s="1"/>
  <c r="H6" i="19"/>
  <c r="H7" i="19"/>
  <c r="H8" i="19"/>
  <c r="H9" i="19"/>
  <c r="H10" i="19"/>
  <c r="H31" i="19" s="1"/>
  <c r="H11" i="19"/>
  <c r="H32" i="19" s="1"/>
  <c r="H12" i="19"/>
  <c r="H33" i="19" s="1"/>
  <c r="H13" i="19"/>
  <c r="H14" i="19"/>
  <c r="H15" i="19"/>
  <c r="H16" i="19"/>
  <c r="H17" i="19"/>
  <c r="H18" i="19"/>
  <c r="H39" i="19" s="1"/>
  <c r="H19" i="19"/>
  <c r="H40" i="19" s="1"/>
  <c r="H20" i="19"/>
  <c r="H41" i="19" s="1"/>
  <c r="F21" i="19"/>
  <c r="J25" i="19"/>
  <c r="K25" i="19"/>
  <c r="J26" i="19"/>
  <c r="K26" i="19"/>
  <c r="T26" i="19"/>
  <c r="H27" i="19"/>
  <c r="J27" i="19"/>
  <c r="K27" i="19"/>
  <c r="H28" i="19"/>
  <c r="J28" i="19"/>
  <c r="K28" i="19" s="1"/>
  <c r="H29" i="19"/>
  <c r="J29" i="19"/>
  <c r="K29" i="19"/>
  <c r="C30" i="19"/>
  <c r="H30" i="19"/>
  <c r="J30" i="19"/>
  <c r="K30" i="19" s="1"/>
  <c r="J31" i="19"/>
  <c r="K31" i="19" s="1"/>
  <c r="J32" i="19"/>
  <c r="K32" i="19"/>
  <c r="T32" i="19"/>
  <c r="J33" i="19"/>
  <c r="K33" i="19"/>
  <c r="H34" i="19"/>
  <c r="J34" i="19"/>
  <c r="K34" i="19"/>
  <c r="T34" i="19"/>
  <c r="H35" i="19"/>
  <c r="J35" i="19"/>
  <c r="K35" i="19"/>
  <c r="H36" i="19"/>
  <c r="J36" i="19"/>
  <c r="K36" i="19"/>
  <c r="T36" i="19"/>
  <c r="H37" i="19"/>
  <c r="J37" i="19"/>
  <c r="K37" i="19" s="1"/>
  <c r="T37" i="19"/>
  <c r="H38" i="19"/>
  <c r="J38" i="19"/>
  <c r="K38" i="19"/>
  <c r="J39" i="19"/>
  <c r="K39" i="19" s="1"/>
  <c r="T39" i="19"/>
  <c r="J40" i="19"/>
  <c r="K40" i="19"/>
  <c r="J41" i="19"/>
  <c r="K41" i="19"/>
  <c r="T41" i="19"/>
  <c r="B42" i="19"/>
  <c r="C41" i="19" s="1"/>
  <c r="D42" i="19"/>
  <c r="E41" i="19" s="1"/>
  <c r="K42" i="19"/>
  <c r="B4" i="20"/>
  <c r="H4" i="20"/>
  <c r="H5" i="20"/>
  <c r="H6" i="20"/>
  <c r="H7" i="20"/>
  <c r="H8" i="20"/>
  <c r="J35" i="20" s="1"/>
  <c r="H9" i="20"/>
  <c r="D89" i="20" s="1"/>
  <c r="H10" i="20"/>
  <c r="D90" i="20" s="1"/>
  <c r="H11" i="20"/>
  <c r="J42" i="20" s="1"/>
  <c r="H12" i="20"/>
  <c r="H13" i="20"/>
  <c r="H14" i="20"/>
  <c r="H15" i="20"/>
  <c r="H16" i="20"/>
  <c r="D103" i="20" s="1"/>
  <c r="H17" i="20"/>
  <c r="H18" i="20"/>
  <c r="H19" i="20"/>
  <c r="H20" i="20"/>
  <c r="F21" i="20"/>
  <c r="E25" i="20"/>
  <c r="G25" i="20"/>
  <c r="J25" i="20"/>
  <c r="L25" i="20"/>
  <c r="E26" i="20"/>
  <c r="J26" i="20"/>
  <c r="L26" i="20"/>
  <c r="M26" i="20"/>
  <c r="E27" i="20"/>
  <c r="W27" i="20"/>
  <c r="E28" i="20"/>
  <c r="J28" i="20"/>
  <c r="L28" i="20"/>
  <c r="M28" i="20"/>
  <c r="E29" i="20"/>
  <c r="W29" i="20"/>
  <c r="E30" i="20"/>
  <c r="W30" i="20"/>
  <c r="E31" i="20"/>
  <c r="W31" i="20"/>
  <c r="E32" i="20"/>
  <c r="W32" i="20"/>
  <c r="E33" i="20"/>
  <c r="W33" i="20"/>
  <c r="C34" i="20"/>
  <c r="E34" i="20"/>
  <c r="G34" i="20"/>
  <c r="H34" i="20"/>
  <c r="J34" i="20"/>
  <c r="L34" i="20"/>
  <c r="M34" i="20"/>
  <c r="E35" i="20"/>
  <c r="L35" i="20"/>
  <c r="M35" i="20"/>
  <c r="E36" i="20"/>
  <c r="W36" i="20"/>
  <c r="E37" i="20"/>
  <c r="W37" i="20"/>
  <c r="E38" i="20"/>
  <c r="W38" i="20"/>
  <c r="E39" i="20"/>
  <c r="W39" i="20"/>
  <c r="C40" i="20"/>
  <c r="E40" i="20"/>
  <c r="L40" i="20"/>
  <c r="M40" i="20"/>
  <c r="E41" i="20"/>
  <c r="J41" i="20"/>
  <c r="L41" i="20"/>
  <c r="M41" i="20"/>
  <c r="E42" i="20"/>
  <c r="L42" i="20"/>
  <c r="M42" i="20" s="1"/>
  <c r="E43" i="20"/>
  <c r="W43" i="20"/>
  <c r="E44" i="20"/>
  <c r="G44" i="20"/>
  <c r="J44" i="20"/>
  <c r="L44" i="20"/>
  <c r="M44" i="20"/>
  <c r="E45" i="20"/>
  <c r="G45" i="20"/>
  <c r="J45" i="20"/>
  <c r="L45" i="20"/>
  <c r="M45" i="20"/>
  <c r="E46" i="20"/>
  <c r="W46" i="20"/>
  <c r="E47" i="20"/>
  <c r="J47" i="20"/>
  <c r="L47" i="20"/>
  <c r="M47" i="20"/>
  <c r="E48" i="20"/>
  <c r="W48" i="20"/>
  <c r="E49" i="20"/>
  <c r="W49" i="20"/>
  <c r="E50" i="20"/>
  <c r="L50" i="20"/>
  <c r="M50" i="20"/>
  <c r="E51" i="20"/>
  <c r="G51" i="20"/>
  <c r="J51" i="20"/>
  <c r="L51" i="20"/>
  <c r="M51" i="20"/>
  <c r="E52" i="20"/>
  <c r="G52" i="20"/>
  <c r="L52" i="20"/>
  <c r="M52" i="20" s="1"/>
  <c r="E53" i="20"/>
  <c r="W53" i="20"/>
  <c r="E54" i="20"/>
  <c r="G54" i="20"/>
  <c r="L54" i="20"/>
  <c r="M54" i="20"/>
  <c r="E55" i="20"/>
  <c r="G55" i="20"/>
  <c r="L55" i="20"/>
  <c r="M55" i="20"/>
  <c r="E56" i="20"/>
  <c r="W56" i="20"/>
  <c r="E57" i="20"/>
  <c r="W57" i="20"/>
  <c r="E58" i="20"/>
  <c r="L58" i="20"/>
  <c r="M58" i="20"/>
  <c r="E59" i="20"/>
  <c r="W59" i="20"/>
  <c r="B60" i="20"/>
  <c r="C45" i="20" s="1"/>
  <c r="H45" i="20" s="1"/>
  <c r="D60" i="20"/>
  <c r="F60" i="20"/>
  <c r="A64" i="20"/>
  <c r="D71" i="20"/>
  <c r="D72" i="20"/>
  <c r="F74" i="20"/>
  <c r="I74" i="20"/>
  <c r="D75" i="20"/>
  <c r="F81" i="20"/>
  <c r="I81" i="20"/>
  <c r="D82" i="20"/>
  <c r="D83" i="20"/>
  <c r="F88" i="20"/>
  <c r="I88" i="20"/>
  <c r="D91" i="20"/>
  <c r="F93" i="20"/>
  <c r="I93" i="20"/>
  <c r="D94" i="20"/>
  <c r="D95" i="20"/>
  <c r="F97" i="20"/>
  <c r="I97" i="20"/>
  <c r="D98" i="20"/>
  <c r="I101" i="20"/>
  <c r="F106" i="20"/>
  <c r="I106" i="20"/>
  <c r="F111" i="20"/>
  <c r="I111" i="20"/>
  <c r="F114" i="20"/>
  <c r="I114" i="20"/>
  <c r="A2" i="6"/>
  <c r="D49" i="6"/>
  <c r="B50" i="6"/>
  <c r="G50" i="6"/>
  <c r="B51" i="6"/>
  <c r="G51" i="6"/>
  <c r="G52" i="6"/>
  <c r="C53" i="6"/>
  <c r="C15" i="12" s="1"/>
  <c r="D53" i="6"/>
  <c r="C14" i="12" s="1"/>
  <c r="A2" i="7"/>
  <c r="C10" i="7"/>
  <c r="E10" i="7"/>
  <c r="E37" i="7" s="1"/>
  <c r="C11" i="12" s="1"/>
  <c r="F10" i="7"/>
  <c r="C11" i="7"/>
  <c r="F11" i="7" s="1"/>
  <c r="E11" i="7"/>
  <c r="C12" i="7"/>
  <c r="E12" i="7"/>
  <c r="F12" i="7" s="1"/>
  <c r="C13" i="7"/>
  <c r="E13" i="7"/>
  <c r="F13" i="7"/>
  <c r="C14" i="7"/>
  <c r="E14" i="7"/>
  <c r="C15" i="7"/>
  <c r="F15" i="7" s="1"/>
  <c r="E15" i="7"/>
  <c r="C16" i="7"/>
  <c r="E16" i="7"/>
  <c r="F16" i="7"/>
  <c r="C17" i="7"/>
  <c r="E17" i="7"/>
  <c r="F17" i="7"/>
  <c r="C18" i="7"/>
  <c r="E18" i="7"/>
  <c r="F18" i="7" s="1"/>
  <c r="C19" i="7"/>
  <c r="E19" i="7"/>
  <c r="F19" i="7"/>
  <c r="C20" i="7"/>
  <c r="E20" i="7"/>
  <c r="F20" i="7"/>
  <c r="C21" i="7"/>
  <c r="E21" i="7"/>
  <c r="F21" i="7"/>
  <c r="C22" i="7"/>
  <c r="E22" i="7"/>
  <c r="F22" i="7"/>
  <c r="C23" i="7"/>
  <c r="E23" i="7"/>
  <c r="F23" i="7"/>
  <c r="C24" i="7"/>
  <c r="E24" i="7"/>
  <c r="F24" i="7"/>
  <c r="C25" i="7"/>
  <c r="E25" i="7"/>
  <c r="F25" i="7"/>
  <c r="C26" i="7"/>
  <c r="E26" i="7"/>
  <c r="F26" i="7"/>
  <c r="C27" i="7"/>
  <c r="E27" i="7"/>
  <c r="F27" i="7"/>
  <c r="C28" i="7"/>
  <c r="E28" i="7"/>
  <c r="F28" i="7"/>
  <c r="C29" i="7"/>
  <c r="E29" i="7"/>
  <c r="F29" i="7"/>
  <c r="C30" i="7"/>
  <c r="E30" i="7"/>
  <c r="F30" i="7"/>
  <c r="C31" i="7"/>
  <c r="E31" i="7"/>
  <c r="F31" i="7"/>
  <c r="C32" i="7"/>
  <c r="E32" i="7"/>
  <c r="F32" i="7"/>
  <c r="C33" i="7"/>
  <c r="F33" i="7" s="1"/>
  <c r="E33" i="7"/>
  <c r="C34" i="7"/>
  <c r="E34" i="7"/>
  <c r="F34" i="7" s="1"/>
  <c r="C35" i="7"/>
  <c r="E35" i="7"/>
  <c r="F35" i="7"/>
  <c r="B37" i="7"/>
  <c r="D37" i="7"/>
  <c r="A2" i="8"/>
  <c r="T9" i="8"/>
  <c r="U9" i="8"/>
  <c r="V9" i="8"/>
  <c r="V29" i="8" s="1"/>
  <c r="T10" i="8"/>
  <c r="U10" i="8"/>
  <c r="W10" i="8"/>
  <c r="T11" i="8"/>
  <c r="U11" i="8"/>
  <c r="V11" i="8"/>
  <c r="W11" i="8"/>
  <c r="T12" i="8"/>
  <c r="W12" i="8" s="1"/>
  <c r="U12" i="8"/>
  <c r="T13" i="8"/>
  <c r="U13" i="8"/>
  <c r="W13" i="8"/>
  <c r="T14" i="8"/>
  <c r="U14" i="8"/>
  <c r="D15" i="8"/>
  <c r="E15" i="8"/>
  <c r="T15" i="8"/>
  <c r="U15" i="8"/>
  <c r="W15" i="8"/>
  <c r="D16" i="8"/>
  <c r="D29" i="8" s="1"/>
  <c r="E16" i="8"/>
  <c r="E29" i="8" s="1"/>
  <c r="T16" i="8"/>
  <c r="U16" i="8"/>
  <c r="W16" i="8"/>
  <c r="F17" i="8"/>
  <c r="F29" i="8" s="1"/>
  <c r="T17" i="8"/>
  <c r="U17" i="8"/>
  <c r="W17" i="8"/>
  <c r="G18" i="8"/>
  <c r="G29" i="8" s="1"/>
  <c r="T18" i="8"/>
  <c r="U18" i="8"/>
  <c r="W18" i="8"/>
  <c r="T19" i="8"/>
  <c r="U19" i="8"/>
  <c r="W19" i="8"/>
  <c r="T20" i="8"/>
  <c r="U20" i="8"/>
  <c r="W20" i="8"/>
  <c r="T21" i="8"/>
  <c r="U21" i="8"/>
  <c r="W21" i="8"/>
  <c r="T22" i="8"/>
  <c r="W22" i="8" s="1"/>
  <c r="U22" i="8"/>
  <c r="R23" i="8"/>
  <c r="T23" i="8"/>
  <c r="U23" i="8"/>
  <c r="W23" i="8"/>
  <c r="T24" i="8"/>
  <c r="U24" i="8"/>
  <c r="W24" i="8"/>
  <c r="T25" i="8"/>
  <c r="W25" i="8" s="1"/>
  <c r="U25" i="8"/>
  <c r="T26" i="8"/>
  <c r="U26" i="8"/>
  <c r="W26" i="8"/>
  <c r="T27" i="8"/>
  <c r="W27" i="8" s="1"/>
  <c r="U27" i="8"/>
  <c r="B29" i="8"/>
  <c r="C29" i="8"/>
  <c r="H29" i="8"/>
  <c r="I29" i="8"/>
  <c r="J29" i="8"/>
  <c r="K29" i="8"/>
  <c r="L29" i="8"/>
  <c r="M29" i="8"/>
  <c r="N29" i="8"/>
  <c r="O29" i="8"/>
  <c r="P29" i="8"/>
  <c r="Q29" i="8"/>
  <c r="R29" i="8"/>
  <c r="S29" i="8"/>
  <c r="A2" i="9"/>
  <c r="M2" i="9"/>
  <c r="K8" i="9"/>
  <c r="N8" i="9"/>
  <c r="K9" i="9"/>
  <c r="N9" i="9"/>
  <c r="K10" i="9"/>
  <c r="N10" i="9"/>
  <c r="K11" i="9"/>
  <c r="N11" i="9"/>
  <c r="S11" i="9"/>
  <c r="U11" i="9"/>
  <c r="K12" i="9"/>
  <c r="K25" i="9" s="1"/>
  <c r="N12" i="9"/>
  <c r="S12" i="9"/>
  <c r="U12" i="9"/>
  <c r="K13" i="9"/>
  <c r="N13" i="9"/>
  <c r="K14" i="9"/>
  <c r="N14" i="9" s="1"/>
  <c r="K15" i="9"/>
  <c r="N15" i="9"/>
  <c r="S15" i="9"/>
  <c r="U15" i="9"/>
  <c r="K16" i="9"/>
  <c r="N16" i="9"/>
  <c r="K17" i="9"/>
  <c r="N17" i="9"/>
  <c r="K18" i="9"/>
  <c r="N18" i="9"/>
  <c r="K19" i="9"/>
  <c r="N19" i="9"/>
  <c r="K20" i="9"/>
  <c r="N20" i="9"/>
  <c r="K21" i="9"/>
  <c r="N21" i="9"/>
  <c r="K22" i="9"/>
  <c r="N22" i="9"/>
  <c r="K23" i="9"/>
  <c r="N23" i="9"/>
  <c r="K24" i="9"/>
  <c r="N24" i="9"/>
  <c r="B25" i="9"/>
  <c r="C25" i="9"/>
  <c r="D25" i="9"/>
  <c r="E25" i="9"/>
  <c r="F25" i="9"/>
  <c r="G25" i="9"/>
  <c r="H25" i="9"/>
  <c r="I25" i="9"/>
  <c r="J25" i="9"/>
  <c r="U27" i="9"/>
  <c r="B28" i="9"/>
  <c r="C28" i="9"/>
  <c r="K28" i="9" s="1"/>
  <c r="U30" i="9"/>
  <c r="A2" i="10"/>
  <c r="A7" i="10"/>
  <c r="S13" i="10"/>
  <c r="T13" i="10"/>
  <c r="S14" i="10"/>
  <c r="T14" i="10" s="1"/>
  <c r="S15" i="10"/>
  <c r="T15" i="10"/>
  <c r="S16" i="10"/>
  <c r="T16" i="10" s="1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 s="1"/>
  <c r="S37" i="10"/>
  <c r="T37" i="10" s="1"/>
  <c r="S38" i="10"/>
  <c r="T38" i="10" s="1"/>
  <c r="S39" i="10"/>
  <c r="T39" i="10"/>
  <c r="S40" i="10"/>
  <c r="T40" i="10"/>
  <c r="S41" i="10"/>
  <c r="T41" i="10" s="1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 s="1"/>
  <c r="S49" i="10"/>
  <c r="T49" i="10"/>
  <c r="S50" i="10"/>
  <c r="T50" i="10"/>
  <c r="S51" i="10"/>
  <c r="T51" i="10" s="1"/>
  <c r="S52" i="10"/>
  <c r="T52" i="10"/>
  <c r="S53" i="10"/>
  <c r="T53" i="10"/>
  <c r="S54" i="10"/>
  <c r="T54" i="10"/>
  <c r="S55" i="10"/>
  <c r="T55" i="10"/>
  <c r="S56" i="10"/>
  <c r="T56" i="10" s="1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 s="1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 s="1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B97" i="10"/>
  <c r="C97" i="10"/>
  <c r="D97" i="10"/>
  <c r="E97" i="10"/>
  <c r="F97" i="10"/>
  <c r="G97" i="10"/>
  <c r="H97" i="10"/>
  <c r="I97" i="10"/>
  <c r="J97" i="10"/>
  <c r="B107" i="10" s="1"/>
  <c r="C107" i="10" s="1"/>
  <c r="K97" i="10"/>
  <c r="L97" i="10"/>
  <c r="M97" i="10"/>
  <c r="N97" i="10"/>
  <c r="O97" i="10"/>
  <c r="P97" i="10"/>
  <c r="Q97" i="10"/>
  <c r="R97" i="10"/>
  <c r="B105" i="10"/>
  <c r="C105" i="10"/>
  <c r="A2" i="22"/>
  <c r="A7" i="22"/>
  <c r="H13" i="22"/>
  <c r="I13" i="22"/>
  <c r="J13" i="22"/>
  <c r="K13" i="22"/>
  <c r="H14" i="22"/>
  <c r="I14" i="22"/>
  <c r="J14" i="22"/>
  <c r="K14" i="22"/>
  <c r="L14" i="22"/>
  <c r="H15" i="22"/>
  <c r="I15" i="22"/>
  <c r="J15" i="22"/>
  <c r="K15" i="22"/>
  <c r="L15" i="22"/>
  <c r="H16" i="22"/>
  <c r="I16" i="22"/>
  <c r="J16" i="22"/>
  <c r="K16" i="22"/>
  <c r="H17" i="22"/>
  <c r="I17" i="22"/>
  <c r="J17" i="22"/>
  <c r="K17" i="22"/>
  <c r="L17" i="22"/>
  <c r="H18" i="22"/>
  <c r="I18" i="22"/>
  <c r="L18" i="22" s="1"/>
  <c r="J18" i="22"/>
  <c r="K18" i="22"/>
  <c r="H19" i="22"/>
  <c r="I19" i="22"/>
  <c r="J19" i="22"/>
  <c r="K19" i="22"/>
  <c r="L19" i="22"/>
  <c r="H20" i="22"/>
  <c r="I20" i="22"/>
  <c r="J20" i="22"/>
  <c r="K20" i="22"/>
  <c r="H21" i="22"/>
  <c r="I21" i="22"/>
  <c r="J21" i="22"/>
  <c r="K21" i="22"/>
  <c r="L21" i="22"/>
  <c r="H22" i="22"/>
  <c r="I22" i="22"/>
  <c r="J22" i="22"/>
  <c r="K22" i="22"/>
  <c r="H23" i="22"/>
  <c r="I23" i="22"/>
  <c r="J23" i="22"/>
  <c r="K23" i="22"/>
  <c r="L23" i="22"/>
  <c r="H24" i="22"/>
  <c r="I24" i="22"/>
  <c r="J24" i="22"/>
  <c r="K24" i="22"/>
  <c r="L24" i="22"/>
  <c r="H25" i="22"/>
  <c r="I25" i="22"/>
  <c r="J25" i="22"/>
  <c r="K25" i="22"/>
  <c r="L25" i="22"/>
  <c r="H26" i="22"/>
  <c r="I26" i="22"/>
  <c r="J26" i="22"/>
  <c r="K26" i="22"/>
  <c r="H27" i="22"/>
  <c r="I27" i="22"/>
  <c r="J27" i="22"/>
  <c r="K27" i="22"/>
  <c r="L27" i="22"/>
  <c r="H28" i="22"/>
  <c r="I28" i="22"/>
  <c r="J28" i="22"/>
  <c r="K28" i="22"/>
  <c r="H29" i="22"/>
  <c r="I29" i="22"/>
  <c r="J29" i="22"/>
  <c r="K29" i="22"/>
  <c r="L29" i="22"/>
  <c r="H30" i="22"/>
  <c r="I30" i="22"/>
  <c r="J30" i="22"/>
  <c r="K30" i="22"/>
  <c r="L30" i="22"/>
  <c r="H31" i="22"/>
  <c r="I31" i="22"/>
  <c r="J31" i="22"/>
  <c r="K31" i="22"/>
  <c r="L31" i="22"/>
  <c r="H32" i="22"/>
  <c r="I32" i="22"/>
  <c r="J32" i="22"/>
  <c r="K32" i="22"/>
  <c r="L32" i="22"/>
  <c r="H33" i="22"/>
  <c r="I33" i="22"/>
  <c r="J33" i="22"/>
  <c r="K33" i="22"/>
  <c r="H34" i="22"/>
  <c r="I34" i="22"/>
  <c r="J34" i="22"/>
  <c r="K34" i="22"/>
  <c r="L34" i="22"/>
  <c r="H35" i="22"/>
  <c r="I35" i="22"/>
  <c r="J35" i="22"/>
  <c r="K35" i="22"/>
  <c r="H36" i="22"/>
  <c r="I36" i="22"/>
  <c r="J36" i="22"/>
  <c r="K36" i="22"/>
  <c r="L36" i="22"/>
  <c r="H37" i="22"/>
  <c r="I37" i="22"/>
  <c r="J37" i="22"/>
  <c r="K37" i="22"/>
  <c r="L37" i="22" s="1"/>
  <c r="H38" i="22"/>
  <c r="I38" i="22"/>
  <c r="J38" i="22"/>
  <c r="K38" i="22"/>
  <c r="L38" i="22"/>
  <c r="H39" i="22"/>
  <c r="I39" i="22"/>
  <c r="J39" i="22"/>
  <c r="K39" i="22"/>
  <c r="H40" i="22"/>
  <c r="L40" i="22" s="1"/>
  <c r="I40" i="22"/>
  <c r="J40" i="22"/>
  <c r="K40" i="22"/>
  <c r="H41" i="22"/>
  <c r="I41" i="22"/>
  <c r="J41" i="22"/>
  <c r="K41" i="22"/>
  <c r="L41" i="22"/>
  <c r="H42" i="22"/>
  <c r="I42" i="22"/>
  <c r="J42" i="22"/>
  <c r="K42" i="22"/>
  <c r="L42" i="22"/>
  <c r="H43" i="22"/>
  <c r="I43" i="22"/>
  <c r="J43" i="22"/>
  <c r="K43" i="22"/>
  <c r="H44" i="22"/>
  <c r="I44" i="22"/>
  <c r="J44" i="22"/>
  <c r="K44" i="22"/>
  <c r="L44" i="22"/>
  <c r="H45" i="22"/>
  <c r="I45" i="22"/>
  <c r="J45" i="22"/>
  <c r="K45" i="22"/>
  <c r="L45" i="22"/>
  <c r="H46" i="22"/>
  <c r="I46" i="22"/>
  <c r="J46" i="22"/>
  <c r="K46" i="22"/>
  <c r="H47" i="22"/>
  <c r="I47" i="22"/>
  <c r="J47" i="22"/>
  <c r="K47" i="22"/>
  <c r="L47" i="22"/>
  <c r="H48" i="22"/>
  <c r="I48" i="22"/>
  <c r="J48" i="22"/>
  <c r="K48" i="22"/>
  <c r="L48" i="22"/>
  <c r="H49" i="22"/>
  <c r="I49" i="22"/>
  <c r="J49" i="22"/>
  <c r="K49" i="22"/>
  <c r="L49" i="22"/>
  <c r="H50" i="22"/>
  <c r="I50" i="22"/>
  <c r="J50" i="22"/>
  <c r="K50" i="22"/>
  <c r="L50" i="22"/>
  <c r="H51" i="22"/>
  <c r="I51" i="22"/>
  <c r="J51" i="22"/>
  <c r="K51" i="22"/>
  <c r="L51" i="22"/>
  <c r="H52" i="22"/>
  <c r="I52" i="22"/>
  <c r="J52" i="22"/>
  <c r="K52" i="22"/>
  <c r="L52" i="22"/>
  <c r="H53" i="22"/>
  <c r="L53" i="22" s="1"/>
  <c r="I53" i="22"/>
  <c r="J53" i="22"/>
  <c r="K53" i="22"/>
  <c r="H54" i="22"/>
  <c r="I54" i="22"/>
  <c r="J54" i="22"/>
  <c r="K54" i="22"/>
  <c r="L54" i="22"/>
  <c r="H55" i="22"/>
  <c r="I55" i="22"/>
  <c r="J55" i="22"/>
  <c r="K55" i="22"/>
  <c r="L55" i="22"/>
  <c r="H56" i="22"/>
  <c r="I56" i="22"/>
  <c r="J56" i="22"/>
  <c r="K56" i="22"/>
  <c r="L56" i="22"/>
  <c r="H57" i="22"/>
  <c r="I57" i="22"/>
  <c r="J57" i="22"/>
  <c r="K57" i="22"/>
  <c r="L57" i="22"/>
  <c r="H58" i="22"/>
  <c r="I58" i="22"/>
  <c r="J58" i="22"/>
  <c r="K58" i="22"/>
  <c r="L58" i="22"/>
  <c r="H59" i="22"/>
  <c r="I59" i="22"/>
  <c r="J59" i="22"/>
  <c r="K59" i="22"/>
  <c r="L59" i="22"/>
  <c r="H60" i="22"/>
  <c r="I60" i="22"/>
  <c r="J60" i="22"/>
  <c r="K60" i="22"/>
  <c r="L60" i="22"/>
  <c r="H61" i="22"/>
  <c r="I61" i="22"/>
  <c r="J61" i="22"/>
  <c r="K61" i="22"/>
  <c r="H62" i="22"/>
  <c r="I62" i="22"/>
  <c r="J62" i="22"/>
  <c r="K62" i="22"/>
  <c r="L62" i="22"/>
  <c r="H63" i="22"/>
  <c r="I63" i="22"/>
  <c r="J63" i="22"/>
  <c r="K63" i="22"/>
  <c r="L63" i="22"/>
  <c r="H64" i="22"/>
  <c r="I64" i="22"/>
  <c r="J64" i="22"/>
  <c r="K64" i="22"/>
  <c r="L64" i="22"/>
  <c r="H65" i="22"/>
  <c r="I65" i="22"/>
  <c r="J65" i="22"/>
  <c r="K65" i="22"/>
  <c r="L65" i="22"/>
  <c r="H66" i="22"/>
  <c r="L66" i="22" s="1"/>
  <c r="I66" i="22"/>
  <c r="J66" i="22"/>
  <c r="K66" i="22"/>
  <c r="H67" i="22"/>
  <c r="I67" i="22"/>
  <c r="J67" i="22"/>
  <c r="K67" i="22"/>
  <c r="L67" i="22"/>
  <c r="H68" i="22"/>
  <c r="I68" i="22"/>
  <c r="J68" i="22"/>
  <c r="K68" i="22"/>
  <c r="L68" i="22"/>
  <c r="H69" i="22"/>
  <c r="I69" i="22"/>
  <c r="J69" i="22"/>
  <c r="K69" i="22"/>
  <c r="L69" i="22"/>
  <c r="H70" i="22"/>
  <c r="L70" i="22" s="1"/>
  <c r="I70" i="22"/>
  <c r="J70" i="22"/>
  <c r="K70" i="22"/>
  <c r="H71" i="22"/>
  <c r="I71" i="22"/>
  <c r="J71" i="22"/>
  <c r="K71" i="22"/>
  <c r="L71" i="22"/>
  <c r="H72" i="22"/>
  <c r="I72" i="22"/>
  <c r="J72" i="22"/>
  <c r="K72" i="22"/>
  <c r="L72" i="22"/>
  <c r="H73" i="22"/>
  <c r="I73" i="22"/>
  <c r="J73" i="22"/>
  <c r="K73" i="22"/>
  <c r="L73" i="22"/>
  <c r="H74" i="22"/>
  <c r="I74" i="22"/>
  <c r="J74" i="22"/>
  <c r="K74" i="22"/>
  <c r="H75" i="22"/>
  <c r="I75" i="22"/>
  <c r="J75" i="22"/>
  <c r="K75" i="22"/>
  <c r="L75" i="22"/>
  <c r="H76" i="22"/>
  <c r="I76" i="22"/>
  <c r="J76" i="22"/>
  <c r="K76" i="22"/>
  <c r="H77" i="22"/>
  <c r="I77" i="22"/>
  <c r="J77" i="22"/>
  <c r="K77" i="22"/>
  <c r="H78" i="22"/>
  <c r="I78" i="22"/>
  <c r="J78" i="22"/>
  <c r="K78" i="22"/>
  <c r="H79" i="22"/>
  <c r="I79" i="22"/>
  <c r="J79" i="22"/>
  <c r="K79" i="22"/>
  <c r="H80" i="22"/>
  <c r="I80" i="22"/>
  <c r="J80" i="22"/>
  <c r="K80" i="22"/>
  <c r="L80" i="22"/>
  <c r="H81" i="22"/>
  <c r="I81" i="22"/>
  <c r="J81" i="22"/>
  <c r="K81" i="22"/>
  <c r="L81" i="22"/>
  <c r="H82" i="22"/>
  <c r="I82" i="22"/>
  <c r="J82" i="22"/>
  <c r="K82" i="22"/>
  <c r="L82" i="22"/>
  <c r="H83" i="22"/>
  <c r="I83" i="22"/>
  <c r="J83" i="22"/>
  <c r="K83" i="22"/>
  <c r="L83" i="22"/>
  <c r="H84" i="22"/>
  <c r="I84" i="22"/>
  <c r="J84" i="22"/>
  <c r="K84" i="22"/>
  <c r="L84" i="22"/>
  <c r="H85" i="22"/>
  <c r="I85" i="22"/>
  <c r="J85" i="22"/>
  <c r="K85" i="22"/>
  <c r="H86" i="22"/>
  <c r="I86" i="22"/>
  <c r="J86" i="22"/>
  <c r="K86" i="22"/>
  <c r="L86" i="22"/>
  <c r="H87" i="22"/>
  <c r="I87" i="22"/>
  <c r="J87" i="22"/>
  <c r="K87" i="22"/>
  <c r="L87" i="22"/>
  <c r="H88" i="22"/>
  <c r="L88" i="22" s="1"/>
  <c r="I88" i="22"/>
  <c r="J88" i="22"/>
  <c r="K88" i="22"/>
  <c r="H89" i="22"/>
  <c r="I89" i="22"/>
  <c r="J89" i="22"/>
  <c r="K89" i="22"/>
  <c r="L89" i="22"/>
  <c r="H90" i="22"/>
  <c r="I90" i="22"/>
  <c r="J90" i="22"/>
  <c r="L90" i="22" s="1"/>
  <c r="K90" i="22"/>
  <c r="H91" i="22"/>
  <c r="I91" i="22"/>
  <c r="J91" i="22"/>
  <c r="K91" i="22"/>
  <c r="L91" i="22"/>
  <c r="H92" i="22"/>
  <c r="I92" i="22"/>
  <c r="J92" i="22"/>
  <c r="K92" i="22"/>
  <c r="L92" i="22"/>
  <c r="H93" i="22"/>
  <c r="L93" i="22" s="1"/>
  <c r="I93" i="22"/>
  <c r="J93" i="22"/>
  <c r="K93" i="22"/>
  <c r="H94" i="22"/>
  <c r="I94" i="22"/>
  <c r="J94" i="22"/>
  <c r="K94" i="22"/>
  <c r="L94" i="22"/>
  <c r="H95" i="22"/>
  <c r="I95" i="22"/>
  <c r="J95" i="22"/>
  <c r="K95" i="22"/>
  <c r="L95" i="22"/>
  <c r="H96" i="22"/>
  <c r="I96" i="22"/>
  <c r="J96" i="22"/>
  <c r="K96" i="22"/>
  <c r="L96" i="22"/>
  <c r="H97" i="22"/>
  <c r="I97" i="22"/>
  <c r="J97" i="22"/>
  <c r="K97" i="22"/>
  <c r="H98" i="22"/>
  <c r="I98" i="22"/>
  <c r="J98" i="22"/>
  <c r="K98" i="22"/>
  <c r="L98" i="22"/>
  <c r="H99" i="22"/>
  <c r="I99" i="22"/>
  <c r="L99" i="22" s="1"/>
  <c r="J99" i="22"/>
  <c r="K99" i="22"/>
  <c r="H100" i="22"/>
  <c r="I100" i="22"/>
  <c r="J100" i="22"/>
  <c r="K100" i="22"/>
  <c r="L100" i="22"/>
  <c r="H101" i="22"/>
  <c r="I101" i="22"/>
  <c r="J101" i="22"/>
  <c r="K101" i="22"/>
  <c r="L101" i="22"/>
  <c r="H102" i="22"/>
  <c r="I102" i="22"/>
  <c r="J102" i="22"/>
  <c r="K102" i="22"/>
  <c r="L102" i="22"/>
  <c r="H103" i="22"/>
  <c r="I103" i="22"/>
  <c r="J103" i="22"/>
  <c r="K103" i="22"/>
  <c r="L103" i="22"/>
  <c r="H104" i="22"/>
  <c r="I104" i="22"/>
  <c r="J104" i="22"/>
  <c r="K104" i="22"/>
  <c r="L104" i="22"/>
  <c r="H105" i="22"/>
  <c r="I105" i="22"/>
  <c r="J105" i="22"/>
  <c r="K105" i="22"/>
  <c r="L105" i="22"/>
  <c r="H106" i="22"/>
  <c r="I106" i="22"/>
  <c r="J106" i="22"/>
  <c r="K106" i="22"/>
  <c r="L106" i="22"/>
  <c r="H107" i="22"/>
  <c r="I107" i="22"/>
  <c r="J107" i="22"/>
  <c r="K107" i="22"/>
  <c r="L107" i="22"/>
  <c r="H108" i="22"/>
  <c r="I108" i="22"/>
  <c r="J108" i="22"/>
  <c r="K108" i="22"/>
  <c r="L108" i="22"/>
  <c r="H109" i="22"/>
  <c r="I109" i="22"/>
  <c r="J109" i="22"/>
  <c r="K109" i="22"/>
  <c r="L109" i="22"/>
  <c r="H110" i="22"/>
  <c r="I110" i="22"/>
  <c r="J110" i="22"/>
  <c r="K110" i="22"/>
  <c r="H111" i="22"/>
  <c r="I111" i="22"/>
  <c r="J111" i="22"/>
  <c r="K111" i="22"/>
  <c r="L111" i="22"/>
  <c r="H112" i="22"/>
  <c r="I112" i="22"/>
  <c r="L112" i="22" s="1"/>
  <c r="J112" i="22"/>
  <c r="K112" i="22"/>
  <c r="H113" i="22"/>
  <c r="I113" i="22"/>
  <c r="J113" i="22"/>
  <c r="K113" i="22"/>
  <c r="H114" i="22"/>
  <c r="I114" i="22"/>
  <c r="J114" i="22"/>
  <c r="K114" i="22"/>
  <c r="L114" i="22"/>
  <c r="H115" i="22"/>
  <c r="I115" i="22"/>
  <c r="J115" i="22"/>
  <c r="K115" i="22"/>
  <c r="L115" i="22"/>
  <c r="H116" i="22"/>
  <c r="I116" i="22"/>
  <c r="J116" i="22"/>
  <c r="K116" i="22"/>
  <c r="H117" i="22"/>
  <c r="I117" i="22"/>
  <c r="J117" i="22"/>
  <c r="K117" i="22"/>
  <c r="L117" i="22"/>
  <c r="H118" i="22"/>
  <c r="I118" i="22"/>
  <c r="J118" i="22"/>
  <c r="K118" i="22"/>
  <c r="L118" i="22"/>
  <c r="H119" i="22"/>
  <c r="L119" i="22" s="1"/>
  <c r="I119" i="22"/>
  <c r="J119" i="22"/>
  <c r="K119" i="22"/>
  <c r="H120" i="22"/>
  <c r="I120" i="22"/>
  <c r="J120" i="22"/>
  <c r="K120" i="22"/>
  <c r="L120" i="22"/>
  <c r="H121" i="22"/>
  <c r="I121" i="22"/>
  <c r="J121" i="22"/>
  <c r="K121" i="22"/>
  <c r="H122" i="22"/>
  <c r="I122" i="22"/>
  <c r="J122" i="22"/>
  <c r="K122" i="22"/>
  <c r="L122" i="22"/>
  <c r="H123" i="22"/>
  <c r="I123" i="22"/>
  <c r="J123" i="22"/>
  <c r="K123" i="22"/>
  <c r="H124" i="22"/>
  <c r="I124" i="22"/>
  <c r="J124" i="22"/>
  <c r="K124" i="22"/>
  <c r="H125" i="22"/>
  <c r="I125" i="22"/>
  <c r="J125" i="22"/>
  <c r="K125" i="22"/>
  <c r="L125" i="22"/>
  <c r="H126" i="22"/>
  <c r="I126" i="22"/>
  <c r="J126" i="22"/>
  <c r="K126" i="22"/>
  <c r="L126" i="22"/>
  <c r="H127" i="22"/>
  <c r="L127" i="22" s="1"/>
  <c r="I127" i="22"/>
  <c r="J127" i="22"/>
  <c r="K127" i="22"/>
  <c r="H128" i="22"/>
  <c r="I128" i="22"/>
  <c r="L128" i="22" s="1"/>
  <c r="J128" i="22"/>
  <c r="K128" i="22"/>
  <c r="B130" i="22"/>
  <c r="C130" i="22"/>
  <c r="D130" i="22"/>
  <c r="E130" i="22"/>
  <c r="F130" i="22"/>
  <c r="G130" i="22"/>
  <c r="B134" i="22"/>
  <c r="C134" i="22"/>
  <c r="D134" i="22"/>
  <c r="E134" i="22"/>
  <c r="F134" i="22"/>
  <c r="G134" i="22"/>
  <c r="L136" i="22"/>
  <c r="A2" i="2"/>
  <c r="F41" i="19" l="1"/>
  <c r="C6" i="11"/>
  <c r="I2" i="17"/>
  <c r="I5" i="17" s="1"/>
  <c r="B10" i="6"/>
  <c r="G10" i="6" s="1"/>
  <c r="O30" i="17" s="1"/>
  <c r="S35" i="3"/>
  <c r="B47" i="6"/>
  <c r="Q118" i="3"/>
  <c r="AW111" i="1"/>
  <c r="G111" i="1" s="1"/>
  <c r="J111" i="1" s="1"/>
  <c r="B110" i="3"/>
  <c r="S110" i="3" s="1"/>
  <c r="S24" i="4"/>
  <c r="S35" i="4"/>
  <c r="T31" i="19"/>
  <c r="J67" i="1"/>
  <c r="E30" i="19"/>
  <c r="F30" i="19" s="1"/>
  <c r="AW61" i="1"/>
  <c r="G61" i="1" s="1"/>
  <c r="J61" i="1" s="1"/>
  <c r="B60" i="3"/>
  <c r="S60" i="3" s="1"/>
  <c r="AW42" i="1"/>
  <c r="G42" i="1" s="1"/>
  <c r="J42" i="1" s="1"/>
  <c r="T29" i="19"/>
  <c r="S114" i="3"/>
  <c r="B20" i="3"/>
  <c r="S20" i="3" s="1"/>
  <c r="AW21" i="1"/>
  <c r="G21" i="1" s="1"/>
  <c r="J21" i="1" s="1"/>
  <c r="S20" i="4"/>
  <c r="C29" i="19"/>
  <c r="F29" i="19" s="1"/>
  <c r="AW53" i="1"/>
  <c r="G53" i="1" s="1"/>
  <c r="J53" i="1" s="1"/>
  <c r="B52" i="3"/>
  <c r="S52" i="3" s="1"/>
  <c r="S89" i="4"/>
  <c r="S49" i="4"/>
  <c r="S100" i="4"/>
  <c r="S16" i="4"/>
  <c r="S82" i="4"/>
  <c r="S38" i="4"/>
  <c r="S27" i="4"/>
  <c r="D120" i="1"/>
  <c r="D122" i="1" s="1"/>
  <c r="U25" i="9"/>
  <c r="S93" i="4"/>
  <c r="S86" i="3"/>
  <c r="J51" i="1"/>
  <c r="E27" i="19"/>
  <c r="E38" i="19"/>
  <c r="E26" i="19"/>
  <c r="E35" i="19"/>
  <c r="E40" i="19"/>
  <c r="E31" i="19"/>
  <c r="E39" i="19"/>
  <c r="E34" i="19"/>
  <c r="E37" i="19"/>
  <c r="E25" i="19"/>
  <c r="E42" i="19" s="1"/>
  <c r="E32" i="19"/>
  <c r="E33" i="19"/>
  <c r="E28" i="19"/>
  <c r="E29" i="19"/>
  <c r="AV120" i="1"/>
  <c r="B14" i="6"/>
  <c r="G14" i="6" s="1"/>
  <c r="AW48" i="1"/>
  <c r="G48" i="1" s="1"/>
  <c r="J48" i="1" s="1"/>
  <c r="B47" i="3"/>
  <c r="S47" i="3" s="1"/>
  <c r="S42" i="4"/>
  <c r="S49" i="3"/>
  <c r="S60" i="4"/>
  <c r="S71" i="4"/>
  <c r="S115" i="4"/>
  <c r="B76" i="3"/>
  <c r="S76" i="3" s="1"/>
  <c r="AW77" i="1"/>
  <c r="G77" i="1" s="1"/>
  <c r="J77" i="1" s="1"/>
  <c r="L28" i="22"/>
  <c r="C55" i="20"/>
  <c r="H55" i="20" s="1"/>
  <c r="P15" i="3"/>
  <c r="P118" i="3" s="1"/>
  <c r="AT120" i="1"/>
  <c r="AW98" i="1"/>
  <c r="G98" i="1" s="1"/>
  <c r="J98" i="1" s="1"/>
  <c r="B97" i="3"/>
  <c r="S97" i="3" s="1"/>
  <c r="AD120" i="1"/>
  <c r="AW18" i="1"/>
  <c r="G18" i="1" s="1"/>
  <c r="B2" i="21"/>
  <c r="B10" i="21"/>
  <c r="G119" i="4"/>
  <c r="B26" i="6" s="1"/>
  <c r="G26" i="6" s="1"/>
  <c r="B79" i="3"/>
  <c r="S79" i="3" s="1"/>
  <c r="AW80" i="1"/>
  <c r="G80" i="1" s="1"/>
  <c r="J80" i="1" s="1"/>
  <c r="S114" i="4"/>
  <c r="B39" i="3"/>
  <c r="S39" i="3" s="1"/>
  <c r="AW40" i="1"/>
  <c r="G40" i="1" s="1"/>
  <c r="J40" i="1" s="1"/>
  <c r="J42" i="19"/>
  <c r="H109" i="3"/>
  <c r="S109" i="3" s="1"/>
  <c r="AW110" i="1"/>
  <c r="G110" i="1" s="1"/>
  <c r="S53" i="4"/>
  <c r="B71" i="3"/>
  <c r="S71" i="3" s="1"/>
  <c r="AW72" i="1"/>
  <c r="G72" i="1" s="1"/>
  <c r="J72" i="1" s="1"/>
  <c r="S75" i="4"/>
  <c r="S64" i="4"/>
  <c r="S56" i="4"/>
  <c r="H119" i="4"/>
  <c r="B28" i="6" s="1"/>
  <c r="G28" i="6" s="1"/>
  <c r="AW58" i="1"/>
  <c r="G58" i="1" s="1"/>
  <c r="J58" i="1" s="1"/>
  <c r="B57" i="3"/>
  <c r="S57" i="3" s="1"/>
  <c r="T97" i="10"/>
  <c r="S107" i="4"/>
  <c r="S17" i="3"/>
  <c r="S22" i="3"/>
  <c r="S36" i="3"/>
  <c r="S106" i="3"/>
  <c r="S46" i="3"/>
  <c r="T30" i="19"/>
  <c r="B25" i="3"/>
  <c r="S25" i="3" s="1"/>
  <c r="AW26" i="1"/>
  <c r="G26" i="1" s="1"/>
  <c r="J26" i="1" s="1"/>
  <c r="AW82" i="1"/>
  <c r="G82" i="1" s="1"/>
  <c r="J82" i="1" s="1"/>
  <c r="L81" i="3"/>
  <c r="S81" i="3" s="1"/>
  <c r="L97" i="22"/>
  <c r="S113" i="4"/>
  <c r="S93" i="3"/>
  <c r="C37" i="7"/>
  <c r="S31" i="4"/>
  <c r="S113" i="3"/>
  <c r="S98" i="3"/>
  <c r="C52" i="20"/>
  <c r="H52" i="20" s="1"/>
  <c r="C35" i="20"/>
  <c r="C26" i="20"/>
  <c r="C50" i="20"/>
  <c r="C28" i="20"/>
  <c r="C54" i="20"/>
  <c r="H54" i="20" s="1"/>
  <c r="C42" i="20"/>
  <c r="C51" i="20"/>
  <c r="H51" i="20" s="1"/>
  <c r="C58" i="20"/>
  <c r="C41" i="20"/>
  <c r="C47" i="20"/>
  <c r="AW93" i="1"/>
  <c r="G93" i="1" s="1"/>
  <c r="J93" i="1" s="1"/>
  <c r="B89" i="3"/>
  <c r="S89" i="3" s="1"/>
  <c r="AW90" i="1"/>
  <c r="G90" i="1" s="1"/>
  <c r="J90" i="1" s="1"/>
  <c r="L121" i="22"/>
  <c r="S94" i="3"/>
  <c r="L16" i="22"/>
  <c r="H44" i="3"/>
  <c r="S44" i="3" s="1"/>
  <c r="AW45" i="1"/>
  <c r="G45" i="1" s="1"/>
  <c r="J45" i="1" s="1"/>
  <c r="E120" i="1"/>
  <c r="E122" i="1" s="1"/>
  <c r="S78" i="4"/>
  <c r="S23" i="3"/>
  <c r="H21" i="19"/>
  <c r="S64" i="3"/>
  <c r="S75" i="3"/>
  <c r="S109" i="4"/>
  <c r="C38" i="19"/>
  <c r="C31" i="19"/>
  <c r="C26" i="19"/>
  <c r="C35" i="19"/>
  <c r="C40" i="19"/>
  <c r="C34" i="19"/>
  <c r="C39" i="19"/>
  <c r="C25" i="19"/>
  <c r="C32" i="19"/>
  <c r="F32" i="19" s="1"/>
  <c r="C27" i="19"/>
  <c r="C33" i="19"/>
  <c r="F33" i="19" s="1"/>
  <c r="C28" i="19"/>
  <c r="F28" i="19" s="1"/>
  <c r="C37" i="19"/>
  <c r="S30" i="3"/>
  <c r="B84" i="3"/>
  <c r="S84" i="3" s="1"/>
  <c r="AW85" i="1"/>
  <c r="G85" i="1" s="1"/>
  <c r="J85" i="1" s="1"/>
  <c r="J88" i="1"/>
  <c r="S96" i="4"/>
  <c r="C25" i="20"/>
  <c r="H21" i="20"/>
  <c r="S27" i="3"/>
  <c r="B102" i="3"/>
  <c r="S102" i="3" s="1"/>
  <c r="AW103" i="1"/>
  <c r="G103" i="1" s="1"/>
  <c r="J103" i="1" s="1"/>
  <c r="S62" i="3"/>
  <c r="AW115" i="1"/>
  <c r="G115" i="1" s="1"/>
  <c r="J17" i="3"/>
  <c r="S111" i="4"/>
  <c r="L110" i="22"/>
  <c r="C44" i="20"/>
  <c r="H44" i="20" s="1"/>
  <c r="E36" i="19"/>
  <c r="S108" i="3"/>
  <c r="B41" i="3"/>
  <c r="S41" i="3" s="1"/>
  <c r="AW34" i="1"/>
  <c r="G34" i="1" s="1"/>
  <c r="J34" i="1" s="1"/>
  <c r="B33" i="3"/>
  <c r="S33" i="3" s="1"/>
  <c r="B117" i="3"/>
  <c r="S117" i="3" s="1"/>
  <c r="AW118" i="1"/>
  <c r="G118" i="1" s="1"/>
  <c r="J118" i="1" s="1"/>
  <c r="S25" i="9"/>
  <c r="S67" i="4"/>
  <c r="S15" i="4"/>
  <c r="L43" i="22"/>
  <c r="S118" i="4"/>
  <c r="AW101" i="1"/>
  <c r="G101" i="1" s="1"/>
  <c r="J101" i="1" s="1"/>
  <c r="B100" i="3"/>
  <c r="S100" i="3" s="1"/>
  <c r="M25" i="20"/>
  <c r="L60" i="20"/>
  <c r="E52" i="21"/>
  <c r="G52" i="21" s="1"/>
  <c r="J58" i="20"/>
  <c r="D112" i="20"/>
  <c r="C36" i="19"/>
  <c r="F36" i="19" s="1"/>
  <c r="S123" i="1"/>
  <c r="S122" i="1"/>
  <c r="S128" i="1" s="1"/>
  <c r="B16" i="17"/>
  <c r="B15" i="17"/>
  <c r="R122" i="1"/>
  <c r="R123" i="1"/>
  <c r="AW106" i="1"/>
  <c r="G106" i="1" s="1"/>
  <c r="J106" i="1" s="1"/>
  <c r="B105" i="3"/>
  <c r="S105" i="3" s="1"/>
  <c r="Q122" i="1"/>
  <c r="Q123" i="1"/>
  <c r="F119" i="4"/>
  <c r="B24" i="6" s="1"/>
  <c r="G24" i="6" s="1"/>
  <c r="P123" i="1"/>
  <c r="P122" i="1"/>
  <c r="P128" i="1" s="1"/>
  <c r="G58" i="18"/>
  <c r="E119" i="4"/>
  <c r="B22" i="6" s="1"/>
  <c r="G22" i="6" s="1"/>
  <c r="O123" i="1"/>
  <c r="O122" i="1"/>
  <c r="O128" i="1" s="1"/>
  <c r="D119" i="4"/>
  <c r="B20" i="6" s="1"/>
  <c r="G20" i="6" s="1"/>
  <c r="AW113" i="1"/>
  <c r="G113" i="1" s="1"/>
  <c r="J113" i="1" s="1"/>
  <c r="E54" i="21"/>
  <c r="L26" i="22"/>
  <c r="C119" i="4"/>
  <c r="B18" i="6" s="1"/>
  <c r="G18" i="6" s="1"/>
  <c r="J54" i="20"/>
  <c r="D107" i="20"/>
  <c r="G4" i="21"/>
  <c r="C5" i="21"/>
  <c r="G5" i="21" s="1"/>
  <c r="C54" i="21"/>
  <c r="S59" i="3"/>
  <c r="B122" i="1"/>
  <c r="B29" i="17" s="1"/>
  <c r="AW116" i="1"/>
  <c r="G116" i="1" s="1"/>
  <c r="J116" i="1" s="1"/>
  <c r="L79" i="22"/>
  <c r="AW19" i="1"/>
  <c r="G19" i="1" s="1"/>
  <c r="J19" i="1" s="1"/>
  <c r="B18" i="3"/>
  <c r="S18" i="3" s="1"/>
  <c r="J12" i="3"/>
  <c r="S12" i="3" s="1"/>
  <c r="AW13" i="1"/>
  <c r="G13" i="1" s="1"/>
  <c r="B115" i="3"/>
  <c r="S115" i="3" s="1"/>
  <c r="AW35" i="1"/>
  <c r="G35" i="1" s="1"/>
  <c r="J35" i="1" s="1"/>
  <c r="B34" i="3"/>
  <c r="S34" i="3" s="1"/>
  <c r="J31" i="3"/>
  <c r="AW32" i="1"/>
  <c r="G32" i="1" s="1"/>
  <c r="J32" i="1" s="1"/>
  <c r="AW16" i="1"/>
  <c r="G16" i="1" s="1"/>
  <c r="J16" i="1" s="1"/>
  <c r="B15" i="3"/>
  <c r="S112" i="3"/>
  <c r="S48" i="3"/>
  <c r="L39" i="22"/>
  <c r="D108" i="20"/>
  <c r="J55" i="20"/>
  <c r="S99" i="3"/>
  <c r="B13" i="17"/>
  <c r="B27" i="17" s="1"/>
  <c r="S70" i="3"/>
  <c r="G58" i="20"/>
  <c r="G42" i="20"/>
  <c r="G35" i="20"/>
  <c r="G26" i="20"/>
  <c r="G60" i="20" s="1"/>
  <c r="G50" i="20"/>
  <c r="G40" i="20"/>
  <c r="H40" i="20" s="1"/>
  <c r="G28" i="20"/>
  <c r="G47" i="20"/>
  <c r="G41" i="20"/>
  <c r="J46" i="1"/>
  <c r="AW43" i="1"/>
  <c r="G43" i="1" s="1"/>
  <c r="J43" i="1" s="1"/>
  <c r="B42" i="3"/>
  <c r="S42" i="3" s="1"/>
  <c r="S107" i="3"/>
  <c r="F14" i="7"/>
  <c r="F37" i="7" s="1"/>
  <c r="X30" i="8" s="1"/>
  <c r="J22" i="1"/>
  <c r="J52" i="20"/>
  <c r="D104" i="20"/>
  <c r="S104" i="3"/>
  <c r="S50" i="3"/>
  <c r="AW15" i="1"/>
  <c r="G15" i="1" s="1"/>
  <c r="J15" i="1" s="1"/>
  <c r="AA128" i="1"/>
  <c r="L61" i="22"/>
  <c r="V128" i="1"/>
  <c r="Q119" i="4"/>
  <c r="B46" i="6" s="1"/>
  <c r="G46" i="6" s="1"/>
  <c r="J94" i="1"/>
  <c r="B24" i="3"/>
  <c r="S24" i="3" s="1"/>
  <c r="AW25" i="1"/>
  <c r="G25" i="1" s="1"/>
  <c r="J25" i="1" s="1"/>
  <c r="P119" i="4"/>
  <c r="B44" i="6" s="1"/>
  <c r="G44" i="6" s="1"/>
  <c r="S37" i="3"/>
  <c r="B61" i="3"/>
  <c r="S61" i="3" s="1"/>
  <c r="AW62" i="1"/>
  <c r="G62" i="1" s="1"/>
  <c r="J62" i="1" s="1"/>
  <c r="L46" i="22"/>
  <c r="S43" i="4"/>
  <c r="O119" i="4"/>
  <c r="B42" i="6" s="1"/>
  <c r="G42" i="6" s="1"/>
  <c r="AU120" i="1"/>
  <c r="AW91" i="1"/>
  <c r="G91" i="1" s="1"/>
  <c r="AW56" i="1"/>
  <c r="G56" i="1" s="1"/>
  <c r="J56" i="1" s="1"/>
  <c r="S32" i="3"/>
  <c r="AQ120" i="1"/>
  <c r="M13" i="3"/>
  <c r="M118" i="3" s="1"/>
  <c r="C15" i="11"/>
  <c r="C101" i="10"/>
  <c r="C103" i="10" s="1"/>
  <c r="B56" i="3"/>
  <c r="S56" i="3" s="1"/>
  <c r="AW57" i="1"/>
  <c r="G57" i="1" s="1"/>
  <c r="J57" i="1" s="1"/>
  <c r="L74" i="22"/>
  <c r="U128" i="1"/>
  <c r="AW65" i="1"/>
  <c r="G65" i="1" s="1"/>
  <c r="J65" i="1" s="1"/>
  <c r="W14" i="8"/>
  <c r="S14" i="4"/>
  <c r="S119" i="4" s="1"/>
  <c r="C10" i="11" s="1"/>
  <c r="R119" i="4"/>
  <c r="B48" i="6" s="1"/>
  <c r="G48" i="6" s="1"/>
  <c r="S83" i="3"/>
  <c r="B69" i="3"/>
  <c r="S69" i="3" s="1"/>
  <c r="AW70" i="1"/>
  <c r="G70" i="1" s="1"/>
  <c r="J70" i="1" s="1"/>
  <c r="AN120" i="1"/>
  <c r="J13" i="3"/>
  <c r="V97" i="10"/>
  <c r="J18" i="1"/>
  <c r="B38" i="3"/>
  <c r="S38" i="3" s="1"/>
  <c r="AW39" i="1"/>
  <c r="G39" i="1" s="1"/>
  <c r="J39" i="1" s="1"/>
  <c r="B51" i="3"/>
  <c r="S51" i="3" s="1"/>
  <c r="AW52" i="1"/>
  <c r="G52" i="1" s="1"/>
  <c r="J52" i="1" s="1"/>
  <c r="Y128" i="1"/>
  <c r="X128" i="1"/>
  <c r="J86" i="1"/>
  <c r="K119" i="4"/>
  <c r="B34" i="6" s="1"/>
  <c r="G34" i="6" s="1"/>
  <c r="S54" i="3"/>
  <c r="B14" i="3"/>
  <c r="S14" i="3" s="1"/>
  <c r="AM120" i="1"/>
  <c r="I13" i="3"/>
  <c r="I118" i="3" s="1"/>
  <c r="S55" i="3"/>
  <c r="O111" i="17"/>
  <c r="AW20" i="1"/>
  <c r="G20" i="1" s="1"/>
  <c r="J20" i="1" s="1"/>
  <c r="L20" i="22"/>
  <c r="S90" i="4"/>
  <c r="J119" i="4"/>
  <c r="B32" i="6" s="1"/>
  <c r="G32" i="6" s="1"/>
  <c r="B19" i="3"/>
  <c r="S19" i="3" s="1"/>
  <c r="AL120" i="1"/>
  <c r="H13" i="3"/>
  <c r="H118" i="3" s="1"/>
  <c r="AW44" i="1"/>
  <c r="G44" i="1" s="1"/>
  <c r="J44" i="1" s="1"/>
  <c r="B43" i="3"/>
  <c r="S43" i="3" s="1"/>
  <c r="S90" i="3"/>
  <c r="W128" i="1"/>
  <c r="N25" i="9"/>
  <c r="P15" i="9" s="1"/>
  <c r="AP120" i="1"/>
  <c r="L13" i="3"/>
  <c r="S101" i="4"/>
  <c r="S97" i="4"/>
  <c r="S79" i="4"/>
  <c r="S39" i="4"/>
  <c r="S28" i="4"/>
  <c r="I119" i="4"/>
  <c r="B30" i="6" s="1"/>
  <c r="G30" i="6" s="1"/>
  <c r="J112" i="1"/>
  <c r="B74" i="3"/>
  <c r="S74" i="3" s="1"/>
  <c r="AW75" i="1"/>
  <c r="G75" i="1" s="1"/>
  <c r="J75" i="1" s="1"/>
  <c r="J33" i="1"/>
  <c r="AW30" i="1"/>
  <c r="G30" i="1" s="1"/>
  <c r="J30" i="1" s="1"/>
  <c r="G13" i="3"/>
  <c r="G118" i="3" s="1"/>
  <c r="AK120" i="1"/>
  <c r="S36" i="4"/>
  <c r="AW49" i="1"/>
  <c r="G49" i="1" s="1"/>
  <c r="J49" i="1" s="1"/>
  <c r="L33" i="22"/>
  <c r="S101" i="3"/>
  <c r="S111" i="3"/>
  <c r="J41" i="1"/>
  <c r="F13" i="3"/>
  <c r="F118" i="3" s="1"/>
  <c r="AJ120" i="1"/>
  <c r="AW31" i="1"/>
  <c r="G31" i="1" s="1"/>
  <c r="J31" i="1" s="1"/>
  <c r="AB128" i="1"/>
  <c r="O112" i="17"/>
  <c r="Z128" i="1"/>
  <c r="J28" i="1"/>
  <c r="AW109" i="1"/>
  <c r="G109" i="1" s="1"/>
  <c r="J109" i="1" s="1"/>
  <c r="B95" i="3"/>
  <c r="S95" i="3" s="1"/>
  <c r="AW96" i="1"/>
  <c r="G96" i="1" s="1"/>
  <c r="J96" i="1" s="1"/>
  <c r="J91" i="1"/>
  <c r="AW38" i="1"/>
  <c r="G38" i="1" s="1"/>
  <c r="J38" i="1" s="1"/>
  <c r="E13" i="3"/>
  <c r="E118" i="3" s="1"/>
  <c r="AI120" i="1"/>
  <c r="AW47" i="1"/>
  <c r="G47" i="1" s="1"/>
  <c r="J47" i="1" s="1"/>
  <c r="T33" i="19"/>
  <c r="J71" i="1"/>
  <c r="AW60" i="1"/>
  <c r="G60" i="1" s="1"/>
  <c r="S67" i="3"/>
  <c r="J23" i="1"/>
  <c r="S25" i="4"/>
  <c r="B77" i="3"/>
  <c r="S77" i="3" s="1"/>
  <c r="AW78" i="1"/>
  <c r="G78" i="1" s="1"/>
  <c r="J78" i="1" s="1"/>
  <c r="S32" i="4"/>
  <c r="S21" i="4"/>
  <c r="B103" i="3"/>
  <c r="S103" i="3" s="1"/>
  <c r="AW104" i="1"/>
  <c r="G104" i="1" s="1"/>
  <c r="J104" i="1" s="1"/>
  <c r="B82" i="3"/>
  <c r="S82" i="3" s="1"/>
  <c r="AW83" i="1"/>
  <c r="G83" i="1" s="1"/>
  <c r="J83" i="1" s="1"/>
  <c r="AW54" i="1"/>
  <c r="G54" i="1" s="1"/>
  <c r="J54" i="1" s="1"/>
  <c r="B53" i="3"/>
  <c r="S53" i="3" s="1"/>
  <c r="AO120" i="1"/>
  <c r="K13" i="3"/>
  <c r="K118" i="3" s="1"/>
  <c r="S112" i="4"/>
  <c r="S61" i="4"/>
  <c r="O108" i="17"/>
  <c r="O110" i="17" s="1"/>
  <c r="O113" i="17" s="1"/>
  <c r="L85" i="22"/>
  <c r="S17" i="4"/>
  <c r="AW114" i="1"/>
  <c r="G114" i="1" s="1"/>
  <c r="J114" i="1" s="1"/>
  <c r="S104" i="4"/>
  <c r="S68" i="4"/>
  <c r="S57" i="4"/>
  <c r="B87" i="3"/>
  <c r="S87" i="3" s="1"/>
  <c r="AW88" i="1"/>
  <c r="G88" i="1" s="1"/>
  <c r="D13" i="3"/>
  <c r="D118" i="3" s="1"/>
  <c r="AH120" i="1"/>
  <c r="L22" i="22"/>
  <c r="C14" i="11"/>
  <c r="B101" i="10"/>
  <c r="B103" i="10" s="1"/>
  <c r="C16" i="12"/>
  <c r="L35" i="22"/>
  <c r="T128" i="1"/>
  <c r="L113" i="22"/>
  <c r="O109" i="17"/>
  <c r="N119" i="4"/>
  <c r="B40" i="6" s="1"/>
  <c r="G40" i="6" s="1"/>
  <c r="M119" i="4"/>
  <c r="B38" i="6" s="1"/>
  <c r="G38" i="6" s="1"/>
  <c r="S108" i="4"/>
  <c r="C13" i="3"/>
  <c r="C118" i="3" s="1"/>
  <c r="AG120" i="1"/>
  <c r="S33" i="4"/>
  <c r="S22" i="4"/>
  <c r="D102" i="20"/>
  <c r="D115" i="20" s="1"/>
  <c r="J50" i="20"/>
  <c r="S72" i="3"/>
  <c r="C17" i="12"/>
  <c r="L119" i="4"/>
  <c r="B36" i="6" s="1"/>
  <c r="G36" i="6" s="1"/>
  <c r="B119" i="4"/>
  <c r="S46" i="4"/>
  <c r="S88" i="3"/>
  <c r="D28" i="18"/>
  <c r="AW14" i="1"/>
  <c r="AF120" i="1"/>
  <c r="B13" i="3"/>
  <c r="J105" i="1"/>
  <c r="AS120" i="1"/>
  <c r="O15" i="3"/>
  <c r="O118" i="3" s="1"/>
  <c r="S40" i="4"/>
  <c r="AW117" i="1"/>
  <c r="G117" i="1" s="1"/>
  <c r="J117" i="1" s="1"/>
  <c r="N15" i="3"/>
  <c r="N118" i="3" s="1"/>
  <c r="AR120" i="1"/>
  <c r="AW81" i="1"/>
  <c r="G81" i="1" s="1"/>
  <c r="J81" i="1" s="1"/>
  <c r="S97" i="10"/>
  <c r="S58" i="4"/>
  <c r="AW24" i="1"/>
  <c r="G24" i="1" s="1"/>
  <c r="J24" i="1" s="1"/>
  <c r="U29" i="8"/>
  <c r="S29" i="4"/>
  <c r="AW68" i="1"/>
  <c r="G68" i="1" s="1"/>
  <c r="J68" i="1" s="1"/>
  <c r="AW37" i="1"/>
  <c r="G37" i="1" s="1"/>
  <c r="J37" i="1" s="1"/>
  <c r="T29" i="8"/>
  <c r="W9" i="8"/>
  <c r="S68" i="3"/>
  <c r="AW63" i="1"/>
  <c r="G63" i="1" s="1"/>
  <c r="J63" i="1" s="1"/>
  <c r="D8" i="18"/>
  <c r="K130" i="22"/>
  <c r="K134" i="22" s="1"/>
  <c r="X29" i="8"/>
  <c r="J40" i="20"/>
  <c r="J60" i="20" s="1"/>
  <c r="S65" i="4"/>
  <c r="S47" i="4"/>
  <c r="J130" i="22"/>
  <c r="J134" i="22" s="1"/>
  <c r="S72" i="4"/>
  <c r="S18" i="4"/>
  <c r="AW86" i="1"/>
  <c r="G86" i="1" s="1"/>
  <c r="B28" i="3"/>
  <c r="S28" i="3" s="1"/>
  <c r="AW29" i="1"/>
  <c r="G29" i="1" s="1"/>
  <c r="J29" i="1" s="1"/>
  <c r="I130" i="22"/>
  <c r="I134" i="22" s="1"/>
  <c r="AW73" i="1"/>
  <c r="G73" i="1" s="1"/>
  <c r="J73" i="1" s="1"/>
  <c r="L13" i="22"/>
  <c r="H130" i="22"/>
  <c r="H134" i="22" s="1"/>
  <c r="S54" i="4"/>
  <c r="B63" i="3"/>
  <c r="S63" i="3" s="1"/>
  <c r="AW64" i="1"/>
  <c r="G64" i="1" s="1"/>
  <c r="J64" i="1" s="1"/>
  <c r="AW69" i="1"/>
  <c r="G69" i="1" s="1"/>
  <c r="J69" i="1" s="1"/>
  <c r="J115" i="1"/>
  <c r="AW79" i="1"/>
  <c r="G79" i="1" s="1"/>
  <c r="J79" i="1" s="1"/>
  <c r="B78" i="3"/>
  <c r="S78" i="3" s="1"/>
  <c r="AW74" i="1"/>
  <c r="G74" i="1" s="1"/>
  <c r="J74" i="1" s="1"/>
  <c r="B73" i="3"/>
  <c r="S73" i="3" s="1"/>
  <c r="J92" i="1"/>
  <c r="AW84" i="1"/>
  <c r="G84" i="1" s="1"/>
  <c r="J84" i="1" s="1"/>
  <c r="S55" i="4"/>
  <c r="S30" i="4"/>
  <c r="L116" i="22"/>
  <c r="J97" i="1"/>
  <c r="AW89" i="1"/>
  <c r="G89" i="1" s="1"/>
  <c r="J89" i="1" s="1"/>
  <c r="I120" i="1"/>
  <c r="I122" i="1" s="1"/>
  <c r="S80" i="4"/>
  <c r="H120" i="1"/>
  <c r="H122" i="1" s="1"/>
  <c r="AW94" i="1"/>
  <c r="G94" i="1" s="1"/>
  <c r="J110" i="1"/>
  <c r="S62" i="4"/>
  <c r="AW59" i="1"/>
  <c r="G59" i="1" s="1"/>
  <c r="J59" i="1" s="1"/>
  <c r="S98" i="4"/>
  <c r="B26" i="17"/>
  <c r="J87" i="1"/>
  <c r="S105" i="4"/>
  <c r="S87" i="4"/>
  <c r="J60" i="1"/>
  <c r="J55" i="1"/>
  <c r="S31" i="3"/>
  <c r="C27" i="17" l="1"/>
  <c r="C24" i="17"/>
  <c r="C10" i="17"/>
  <c r="C19" i="17"/>
  <c r="C18" i="17"/>
  <c r="C25" i="17"/>
  <c r="C11" i="17"/>
  <c r="C14" i="17"/>
  <c r="C12" i="17"/>
  <c r="C23" i="17"/>
  <c r="C22" i="17"/>
  <c r="C20" i="17"/>
  <c r="C21" i="17"/>
  <c r="C17" i="17"/>
  <c r="B23" i="6"/>
  <c r="F121" i="3"/>
  <c r="F125" i="3" s="1"/>
  <c r="B25" i="6"/>
  <c r="G121" i="3"/>
  <c r="G125" i="3" s="1"/>
  <c r="P121" i="3"/>
  <c r="P125" i="3" s="1"/>
  <c r="B43" i="6"/>
  <c r="C4" i="11"/>
  <c r="B8" i="6"/>
  <c r="J140" i="22"/>
  <c r="J142" i="22" s="1"/>
  <c r="E128" i="1"/>
  <c r="E130" i="1" s="1"/>
  <c r="H95" i="20"/>
  <c r="H96" i="20"/>
  <c r="G149" i="17" s="1"/>
  <c r="Q19" i="17"/>
  <c r="F37" i="19"/>
  <c r="F39" i="19"/>
  <c r="F40" i="19"/>
  <c r="F35" i="19"/>
  <c r="G14" i="1"/>
  <c r="J14" i="1" s="1"/>
  <c r="AW120" i="1"/>
  <c r="C15" i="17"/>
  <c r="D26" i="18"/>
  <c r="P14" i="9"/>
  <c r="B17" i="6"/>
  <c r="C121" i="3"/>
  <c r="C125" i="3" s="1"/>
  <c r="H41" i="20"/>
  <c r="H102" i="20"/>
  <c r="G155" i="17" s="1"/>
  <c r="Q21" i="17"/>
  <c r="L118" i="3"/>
  <c r="K121" i="3"/>
  <c r="K125" i="3" s="1"/>
  <c r="B33" i="6"/>
  <c r="B27" i="6"/>
  <c r="H121" i="3"/>
  <c r="H125" i="3" s="1"/>
  <c r="Q16" i="17"/>
  <c r="H90" i="20"/>
  <c r="G141" i="17" s="1"/>
  <c r="Q20" i="17"/>
  <c r="H99" i="20"/>
  <c r="G153" i="17" s="1"/>
  <c r="H100" i="20"/>
  <c r="G152" i="17" s="1"/>
  <c r="H98" i="20"/>
  <c r="Q26" i="17"/>
  <c r="H112" i="20"/>
  <c r="H113" i="20"/>
  <c r="G170" i="17" s="1"/>
  <c r="Q22" i="17"/>
  <c r="H103" i="20"/>
  <c r="G156" i="17" s="1"/>
  <c r="G160" i="17" s="1"/>
  <c r="Q121" i="3"/>
  <c r="Q125" i="3" s="1"/>
  <c r="B45" i="6"/>
  <c r="Q17" i="17"/>
  <c r="H91" i="20"/>
  <c r="H92" i="20"/>
  <c r="G143" i="17" s="1"/>
  <c r="C60" i="20"/>
  <c r="H25" i="20"/>
  <c r="F27" i="19"/>
  <c r="B118" i="3"/>
  <c r="S13" i="3"/>
  <c r="F31" i="19"/>
  <c r="R128" i="1"/>
  <c r="D27" i="18"/>
  <c r="C16" i="17"/>
  <c r="C5" i="11"/>
  <c r="B9" i="6"/>
  <c r="G9" i="6" s="1"/>
  <c r="C8" i="12" s="1"/>
  <c r="M60" i="20"/>
  <c r="C12" i="11"/>
  <c r="B12" i="6"/>
  <c r="G12" i="6" s="1"/>
  <c r="H28" i="20"/>
  <c r="H26" i="20"/>
  <c r="O121" i="3"/>
  <c r="O125" i="3" s="1"/>
  <c r="B41" i="6"/>
  <c r="F26" i="19"/>
  <c r="J13" i="1"/>
  <c r="M121" i="3"/>
  <c r="M125" i="3" s="1"/>
  <c r="B37" i="6"/>
  <c r="X31" i="8"/>
  <c r="C10" i="12"/>
  <c r="B38" i="7"/>
  <c r="B13" i="6"/>
  <c r="G13" i="6" s="1"/>
  <c r="I7" i="17"/>
  <c r="I8" i="17"/>
  <c r="I9" i="17"/>
  <c r="Q11" i="17"/>
  <c r="H73" i="20"/>
  <c r="G124" i="17" s="1"/>
  <c r="H72" i="20"/>
  <c r="C26" i="17"/>
  <c r="D55" i="18"/>
  <c r="Q18" i="17"/>
  <c r="H94" i="20"/>
  <c r="G145" i="17" s="1"/>
  <c r="G147" i="17" s="1"/>
  <c r="Q128" i="1"/>
  <c r="B29" i="6"/>
  <c r="I121" i="3"/>
  <c r="I125" i="3" s="1"/>
  <c r="C16" i="11"/>
  <c r="I14" i="17"/>
  <c r="P107" i="17" s="1"/>
  <c r="I25" i="17"/>
  <c r="C18" i="12"/>
  <c r="H58" i="20"/>
  <c r="R121" i="3"/>
  <c r="R125" i="3" s="1"/>
  <c r="C11" i="11"/>
  <c r="P17" i="9"/>
  <c r="P16" i="9"/>
  <c r="O32" i="9"/>
  <c r="P18" i="9"/>
  <c r="P19" i="9"/>
  <c r="P22" i="9"/>
  <c r="P21" i="9"/>
  <c r="P20" i="9"/>
  <c r="P8" i="9"/>
  <c r="P9" i="9"/>
  <c r="P23" i="9"/>
  <c r="P24" i="9"/>
  <c r="P10" i="9"/>
  <c r="E11" i="6"/>
  <c r="P13" i="9"/>
  <c r="B11" i="6"/>
  <c r="G11" i="6" s="1"/>
  <c r="P12" i="9"/>
  <c r="H82" i="20"/>
  <c r="G133" i="17" s="1"/>
  <c r="Q13" i="17"/>
  <c r="N121" i="3"/>
  <c r="N125" i="3" s="1"/>
  <c r="B39" i="6"/>
  <c r="F38" i="19"/>
  <c r="H47" i="20"/>
  <c r="H35" i="20"/>
  <c r="F47" i="6"/>
  <c r="F28" i="21" s="1"/>
  <c r="D121" i="3"/>
  <c r="D125" i="3" s="1"/>
  <c r="B19" i="6"/>
  <c r="H107" i="20"/>
  <c r="G164" i="17" s="1"/>
  <c r="Q24" i="17"/>
  <c r="H108" i="20"/>
  <c r="H109" i="20"/>
  <c r="G166" i="17" s="1"/>
  <c r="H110" i="20"/>
  <c r="G167" i="17" s="1"/>
  <c r="Q25" i="17"/>
  <c r="H77" i="20"/>
  <c r="G128" i="17" s="1"/>
  <c r="H75" i="20"/>
  <c r="H78" i="20"/>
  <c r="G129" i="17" s="1"/>
  <c r="H79" i="20"/>
  <c r="G130" i="17" s="1"/>
  <c r="H80" i="20"/>
  <c r="G131" i="17" s="1"/>
  <c r="Q12" i="17"/>
  <c r="H76" i="20"/>
  <c r="G127" i="17" s="1"/>
  <c r="H83" i="20"/>
  <c r="H84" i="20"/>
  <c r="G135" i="17" s="1"/>
  <c r="Q14" i="17"/>
  <c r="H87" i="20"/>
  <c r="G138" i="17" s="1"/>
  <c r="H85" i="20"/>
  <c r="G136" i="17" s="1"/>
  <c r="H86" i="20"/>
  <c r="G137" i="17" s="1"/>
  <c r="F25" i="19"/>
  <c r="C42" i="19"/>
  <c r="F34" i="19"/>
  <c r="B16" i="6"/>
  <c r="G16" i="6" s="1"/>
  <c r="S122" i="4"/>
  <c r="C13" i="17"/>
  <c r="D19" i="18"/>
  <c r="D58" i="18" s="1"/>
  <c r="B21" i="6"/>
  <c r="E121" i="3"/>
  <c r="E125" i="3" s="1"/>
  <c r="H89" i="20"/>
  <c r="G140" i="17" s="1"/>
  <c r="Q15" i="17"/>
  <c r="S15" i="3"/>
  <c r="S118" i="3" s="1"/>
  <c r="L130" i="22"/>
  <c r="L134" i="22" s="1"/>
  <c r="L140" i="22" s="1"/>
  <c r="H42" i="20"/>
  <c r="J118" i="3"/>
  <c r="H50" i="20"/>
  <c r="Q23" i="17"/>
  <c r="H105" i="20"/>
  <c r="G162" i="17" s="1"/>
  <c r="H104" i="20"/>
  <c r="W29" i="8"/>
  <c r="W31" i="8" s="1"/>
  <c r="P11" i="9"/>
  <c r="C8" i="11" l="1"/>
  <c r="S121" i="3"/>
  <c r="S125" i="3" s="1"/>
  <c r="E47" i="18"/>
  <c r="E42" i="18"/>
  <c r="E20" i="18"/>
  <c r="E51" i="18"/>
  <c r="E9" i="18"/>
  <c r="E41" i="18"/>
  <c r="E31" i="18"/>
  <c r="E34" i="18"/>
  <c r="E12" i="18"/>
  <c r="E50" i="18"/>
  <c r="E37" i="18"/>
  <c r="E8" i="18"/>
  <c r="E28" i="18"/>
  <c r="L121" i="3"/>
  <c r="L125" i="3" s="1"/>
  <c r="B35" i="6"/>
  <c r="B3" i="19"/>
  <c r="C4" i="19" s="1"/>
  <c r="D56" i="17"/>
  <c r="E27" i="18"/>
  <c r="E19" i="18"/>
  <c r="F27" i="6"/>
  <c r="F18" i="21" s="1"/>
  <c r="F42" i="19"/>
  <c r="J120" i="1"/>
  <c r="J122" i="1" s="1"/>
  <c r="J128" i="1" s="1"/>
  <c r="F41" i="6"/>
  <c r="F25" i="21" s="1"/>
  <c r="G41" i="6"/>
  <c r="P23" i="17" s="1"/>
  <c r="F45" i="6"/>
  <c r="F27" i="21" s="1"/>
  <c r="G45" i="6"/>
  <c r="P25" i="17" s="1"/>
  <c r="B31" i="6"/>
  <c r="J121" i="3"/>
  <c r="J125" i="3" s="1"/>
  <c r="H115" i="20"/>
  <c r="G169" i="17"/>
  <c r="G171" i="17" s="1"/>
  <c r="Q108" i="17"/>
  <c r="Q107" i="17"/>
  <c r="Q111" i="17"/>
  <c r="Q109" i="17"/>
  <c r="Q112" i="17"/>
  <c r="Q10" i="17"/>
  <c r="Q27" i="17" s="1"/>
  <c r="H71" i="20"/>
  <c r="G122" i="17" s="1"/>
  <c r="G134" i="17"/>
  <c r="G139" i="17" s="1"/>
  <c r="H88" i="20"/>
  <c r="G126" i="17"/>
  <c r="G132" i="17" s="1"/>
  <c r="H81" i="20"/>
  <c r="G8" i="6"/>
  <c r="B53" i="6"/>
  <c r="F43" i="6"/>
  <c r="F26" i="21" s="1"/>
  <c r="F25" i="6"/>
  <c r="F17" i="21" s="1"/>
  <c r="H106" i="20"/>
  <c r="G161" i="17"/>
  <c r="G163" i="17" s="1"/>
  <c r="F21" i="6"/>
  <c r="F15" i="21" s="1"/>
  <c r="G21" i="6"/>
  <c r="P13" i="17" s="1"/>
  <c r="F133" i="17" s="1"/>
  <c r="F33" i="6"/>
  <c r="F21" i="21" s="1"/>
  <c r="H74" i="20"/>
  <c r="G123" i="17"/>
  <c r="G125" i="17" s="1"/>
  <c r="D87" i="17"/>
  <c r="C116" i="20"/>
  <c r="B3" i="20"/>
  <c r="C4" i="20" s="1"/>
  <c r="D17" i="17"/>
  <c r="D29" i="17"/>
  <c r="D26" i="17"/>
  <c r="D15" i="17"/>
  <c r="D14" i="17"/>
  <c r="D20" i="17"/>
  <c r="D21" i="17"/>
  <c r="D24" i="17"/>
  <c r="D10" i="17"/>
  <c r="D16" i="17"/>
  <c r="D25" i="17"/>
  <c r="D11" i="17"/>
  <c r="D18" i="17"/>
  <c r="D19" i="17"/>
  <c r="I11" i="17"/>
  <c r="D13" i="17"/>
  <c r="D23" i="17"/>
  <c r="D12" i="17"/>
  <c r="D22" i="17"/>
  <c r="C13" i="11"/>
  <c r="B40" i="7"/>
  <c r="F37" i="6"/>
  <c r="F23" i="21" s="1"/>
  <c r="G37" i="6"/>
  <c r="P21" i="17" s="1"/>
  <c r="F155" i="17" s="1"/>
  <c r="G165" i="17"/>
  <c r="G168" i="17" s="1"/>
  <c r="H111" i="20"/>
  <c r="G148" i="17"/>
  <c r="G150" i="17" s="1"/>
  <c r="H97" i="20"/>
  <c r="G151" i="17"/>
  <c r="G154" i="17" s="1"/>
  <c r="H101" i="20"/>
  <c r="F29" i="6"/>
  <c r="F19" i="21" s="1"/>
  <c r="G29" i="6"/>
  <c r="P17" i="17" s="1"/>
  <c r="G120" i="1"/>
  <c r="G122" i="1" s="1"/>
  <c r="F19" i="6"/>
  <c r="F14" i="21" s="1"/>
  <c r="G19" i="6"/>
  <c r="P12" i="17" s="1"/>
  <c r="G47" i="6"/>
  <c r="P26" i="17" s="1"/>
  <c r="F39" i="6"/>
  <c r="F24" i="21" s="1"/>
  <c r="G39" i="6"/>
  <c r="P22" i="17" s="1"/>
  <c r="F23" i="6"/>
  <c r="F16" i="21" s="1"/>
  <c r="G23" i="6"/>
  <c r="P14" i="17" s="1"/>
  <c r="E55" i="18"/>
  <c r="F17" i="6"/>
  <c r="F13" i="21" s="1"/>
  <c r="E26" i="18"/>
  <c r="C17" i="11"/>
  <c r="C29" i="11" s="1"/>
  <c r="O25" i="9"/>
  <c r="E53" i="6"/>
  <c r="C13" i="12" s="1"/>
  <c r="B15" i="6"/>
  <c r="B121" i="3"/>
  <c r="B125" i="3" s="1"/>
  <c r="T118" i="3"/>
  <c r="P25" i="9"/>
  <c r="H60" i="20"/>
  <c r="G142" i="17"/>
  <c r="G144" i="17" s="1"/>
  <c r="H93" i="20"/>
  <c r="F165" i="17" l="1"/>
  <c r="F168" i="17"/>
  <c r="Y60" i="20"/>
  <c r="G2" i="20"/>
  <c r="C23" i="20"/>
  <c r="T24" i="20"/>
  <c r="F139" i="17"/>
  <c r="F134" i="17"/>
  <c r="F169" i="17"/>
  <c r="F171" i="17"/>
  <c r="F144" i="17"/>
  <c r="F142" i="17"/>
  <c r="G49" i="17"/>
  <c r="G51" i="17"/>
  <c r="G53" i="17"/>
  <c r="R24" i="19"/>
  <c r="W42" i="19"/>
  <c r="G2" i="19"/>
  <c r="G38" i="17"/>
  <c r="G44" i="17"/>
  <c r="G45" i="17"/>
  <c r="G42" i="17"/>
  <c r="G41" i="17"/>
  <c r="G43" i="17"/>
  <c r="G48" i="17"/>
  <c r="C23" i="19"/>
  <c r="G46" i="17"/>
  <c r="F50" i="18"/>
  <c r="F24" i="17"/>
  <c r="G173" i="17"/>
  <c r="F31" i="6"/>
  <c r="F20" i="21" s="1"/>
  <c r="F12" i="17"/>
  <c r="F12" i="18"/>
  <c r="F34" i="18"/>
  <c r="F19" i="17"/>
  <c r="F9" i="18"/>
  <c r="F11" i="17"/>
  <c r="F21" i="17"/>
  <c r="F41" i="18"/>
  <c r="C31" i="11"/>
  <c r="E32" i="11"/>
  <c r="B61" i="11"/>
  <c r="Q100" i="17"/>
  <c r="Q101" i="17"/>
  <c r="G176" i="17" s="1"/>
  <c r="Q102" i="17"/>
  <c r="G177" i="17" s="1"/>
  <c r="I22" i="17"/>
  <c r="M100" i="17"/>
  <c r="I18" i="17"/>
  <c r="F51" i="18"/>
  <c r="F25" i="17"/>
  <c r="F37" i="18"/>
  <c r="F20" i="17"/>
  <c r="G43" i="6"/>
  <c r="P24" i="17" s="1"/>
  <c r="F164" i="17" s="1"/>
  <c r="Q15" i="9"/>
  <c r="R15" i="9" s="1"/>
  <c r="T15" i="9" s="1"/>
  <c r="Q16" i="9"/>
  <c r="R16" i="9" s="1"/>
  <c r="T16" i="9" s="1"/>
  <c r="P28" i="9"/>
  <c r="M35" i="9" s="1"/>
  <c r="Q17" i="9"/>
  <c r="R17" i="9" s="1"/>
  <c r="T17" i="9" s="1"/>
  <c r="Q14" i="9"/>
  <c r="R14" i="9" s="1"/>
  <c r="T14" i="9" s="1"/>
  <c r="Q18" i="9"/>
  <c r="R18" i="9" s="1"/>
  <c r="T18" i="9" s="1"/>
  <c r="Q22" i="9"/>
  <c r="R22" i="9" s="1"/>
  <c r="T22" i="9" s="1"/>
  <c r="Q21" i="9"/>
  <c r="R21" i="9" s="1"/>
  <c r="T21" i="9" s="1"/>
  <c r="Q9" i="9"/>
  <c r="R9" i="9" s="1"/>
  <c r="T9" i="9" s="1"/>
  <c r="Q20" i="9"/>
  <c r="R20" i="9" s="1"/>
  <c r="T20" i="9" s="1"/>
  <c r="Q8" i="9"/>
  <c r="Q19" i="9"/>
  <c r="R19" i="9" s="1"/>
  <c r="T19" i="9" s="1"/>
  <c r="Q23" i="9"/>
  <c r="R23" i="9" s="1"/>
  <c r="T23" i="9" s="1"/>
  <c r="Q11" i="9"/>
  <c r="R11" i="9" s="1"/>
  <c r="T11" i="9" s="1"/>
  <c r="Q24" i="9"/>
  <c r="R24" i="9" s="1"/>
  <c r="T24" i="9" s="1"/>
  <c r="Q10" i="9"/>
  <c r="R10" i="9" s="1"/>
  <c r="T10" i="9" s="1"/>
  <c r="Q12" i="9"/>
  <c r="R12" i="9" s="1"/>
  <c r="T12" i="9" s="1"/>
  <c r="Q13" i="9"/>
  <c r="R13" i="9" s="1"/>
  <c r="T13" i="9" s="1"/>
  <c r="V25" i="9"/>
  <c r="C5" i="12" s="1"/>
  <c r="N100" i="17"/>
  <c r="N101" i="17"/>
  <c r="N102" i="17"/>
  <c r="D177" i="17" s="1"/>
  <c r="I19" i="17"/>
  <c r="J53" i="18"/>
  <c r="L102" i="17" s="1"/>
  <c r="J51" i="18"/>
  <c r="I17" i="17"/>
  <c r="Q110" i="17"/>
  <c r="J52" i="18"/>
  <c r="L101" i="17" s="1"/>
  <c r="F126" i="17"/>
  <c r="F132" i="17"/>
  <c r="F161" i="17"/>
  <c r="F163" i="17"/>
  <c r="F14" i="17"/>
  <c r="F20" i="18"/>
  <c r="C7" i="12"/>
  <c r="F160" i="17"/>
  <c r="F156" i="17"/>
  <c r="G27" i="6"/>
  <c r="P16" i="17" s="1"/>
  <c r="F141" i="17" s="1"/>
  <c r="D27" i="17"/>
  <c r="F8" i="18"/>
  <c r="F10" i="17"/>
  <c r="F15" i="17"/>
  <c r="F26" i="18"/>
  <c r="F28" i="18"/>
  <c r="F17" i="17"/>
  <c r="G33" i="6"/>
  <c r="P19" i="17" s="1"/>
  <c r="G25" i="6"/>
  <c r="P15" i="17" s="1"/>
  <c r="F140" i="17" s="1"/>
  <c r="F15" i="6"/>
  <c r="G15" i="6" s="1"/>
  <c r="G17" i="6"/>
  <c r="P11" i="17" s="1"/>
  <c r="P100" i="17"/>
  <c r="H116" i="20"/>
  <c r="F42" i="18"/>
  <c r="F22" i="17"/>
  <c r="E58" i="18"/>
  <c r="F26" i="17"/>
  <c r="F55" i="18"/>
  <c r="F35" i="6"/>
  <c r="F22" i="21" s="1"/>
  <c r="F47" i="18"/>
  <c r="F23" i="17"/>
  <c r="F13" i="17"/>
  <c r="F19" i="18"/>
  <c r="F31" i="18"/>
  <c r="F18" i="17"/>
  <c r="F27" i="18"/>
  <c r="F16" i="17"/>
  <c r="P10" i="17" l="1"/>
  <c r="F58" i="18"/>
  <c r="L11" i="17"/>
  <c r="H9" i="18"/>
  <c r="C148" i="17"/>
  <c r="C150" i="17" s="1"/>
  <c r="M19" i="17"/>
  <c r="D46" i="17"/>
  <c r="M26" i="17"/>
  <c r="D53" i="17"/>
  <c r="C169" i="17"/>
  <c r="C171" i="17" s="1"/>
  <c r="N103" i="17"/>
  <c r="D175" i="17"/>
  <c r="F125" i="17"/>
  <c r="F123" i="17"/>
  <c r="H8" i="18"/>
  <c r="F27" i="17"/>
  <c r="L10" i="17"/>
  <c r="O102" i="17"/>
  <c r="R102" i="17" s="1"/>
  <c r="H177" i="17" s="1"/>
  <c r="B177" i="17"/>
  <c r="E177" i="17" s="1"/>
  <c r="L12" i="17"/>
  <c r="H12" i="18"/>
  <c r="G27" i="19"/>
  <c r="I27" i="19" s="1"/>
  <c r="G41" i="19"/>
  <c r="I41" i="19" s="1"/>
  <c r="G26" i="19"/>
  <c r="I26" i="19" s="1"/>
  <c r="G39" i="19"/>
  <c r="I39" i="19" s="1"/>
  <c r="G35" i="19"/>
  <c r="I35" i="19" s="1"/>
  <c r="G31" i="19"/>
  <c r="I31" i="19" s="1"/>
  <c r="G40" i="19"/>
  <c r="I40" i="19" s="1"/>
  <c r="G34" i="19"/>
  <c r="I34" i="19" s="1"/>
  <c r="G37" i="19"/>
  <c r="I37" i="19" s="1"/>
  <c r="G33" i="19"/>
  <c r="I33" i="19" s="1"/>
  <c r="G25" i="19"/>
  <c r="G32" i="19"/>
  <c r="I32" i="19" s="1"/>
  <c r="G38" i="19"/>
  <c r="I38" i="19" s="1"/>
  <c r="G28" i="19"/>
  <c r="I28" i="19" s="1"/>
  <c r="G29" i="19"/>
  <c r="I29" i="19" s="1"/>
  <c r="G36" i="19"/>
  <c r="I36" i="19" s="1"/>
  <c r="G30" i="19"/>
  <c r="I30" i="19" s="1"/>
  <c r="L14" i="17"/>
  <c r="H20" i="18"/>
  <c r="M18" i="17"/>
  <c r="D45" i="17"/>
  <c r="C145" i="17"/>
  <c r="C147" i="17" s="1"/>
  <c r="L26" i="17"/>
  <c r="H55" i="18"/>
  <c r="M103" i="17"/>
  <c r="C175" i="17"/>
  <c r="C178" i="17" s="1"/>
  <c r="F12" i="21"/>
  <c r="F53" i="6"/>
  <c r="C12" i="12" s="1"/>
  <c r="C141" i="17"/>
  <c r="M16" i="17"/>
  <c r="D43" i="17"/>
  <c r="G14" i="20"/>
  <c r="I14" i="20" s="1"/>
  <c r="G13" i="20"/>
  <c r="I13" i="20" s="1"/>
  <c r="G4" i="20"/>
  <c r="G5" i="20"/>
  <c r="I5" i="20" s="1"/>
  <c r="G6" i="20"/>
  <c r="G8" i="20"/>
  <c r="I8" i="20" s="1"/>
  <c r="G7" i="20"/>
  <c r="I7" i="20" s="1"/>
  <c r="G9" i="20"/>
  <c r="I9" i="20" s="1"/>
  <c r="G10" i="20"/>
  <c r="I10" i="20" s="1"/>
  <c r="G11" i="20"/>
  <c r="I11" i="20" s="1"/>
  <c r="G12" i="20"/>
  <c r="I12" i="20" s="1"/>
  <c r="G15" i="20"/>
  <c r="I15" i="20" s="1"/>
  <c r="G16" i="20"/>
  <c r="I16" i="20" s="1"/>
  <c r="G20" i="20"/>
  <c r="I20" i="20" s="1"/>
  <c r="G17" i="20"/>
  <c r="I17" i="20" s="1"/>
  <c r="G19" i="20"/>
  <c r="I19" i="20" s="1"/>
  <c r="G18" i="20"/>
  <c r="I18" i="20" s="1"/>
  <c r="H41" i="18"/>
  <c r="K41" i="18" s="1"/>
  <c r="B155" i="17" s="1"/>
  <c r="L21" i="17"/>
  <c r="H28" i="18"/>
  <c r="L17" i="17"/>
  <c r="L15" i="17"/>
  <c r="H26" i="18"/>
  <c r="K26" i="18" s="1"/>
  <c r="B140" i="17" s="1"/>
  <c r="C134" i="17"/>
  <c r="C139" i="17" s="1"/>
  <c r="M14" i="17"/>
  <c r="D41" i="17"/>
  <c r="C123" i="17"/>
  <c r="C125" i="17" s="1"/>
  <c r="D38" i="17"/>
  <c r="M11" i="17"/>
  <c r="C156" i="17"/>
  <c r="C160" i="17" s="1"/>
  <c r="D49" i="17"/>
  <c r="M22" i="17"/>
  <c r="H27" i="18"/>
  <c r="K27" i="18" s="1"/>
  <c r="B141" i="17" s="1"/>
  <c r="L16" i="17"/>
  <c r="L23" i="17"/>
  <c r="H47" i="18"/>
  <c r="H34" i="18"/>
  <c r="L19" i="17"/>
  <c r="C142" i="17"/>
  <c r="C144" i="17" s="1"/>
  <c r="M17" i="17"/>
  <c r="D44" i="17"/>
  <c r="G15" i="19"/>
  <c r="I15" i="19" s="1"/>
  <c r="G8" i="19"/>
  <c r="I8" i="19" s="1"/>
  <c r="G9" i="19"/>
  <c r="I9" i="19" s="1"/>
  <c r="G14" i="19"/>
  <c r="I14" i="19" s="1"/>
  <c r="G6" i="19"/>
  <c r="G10" i="19"/>
  <c r="I10" i="19" s="1"/>
  <c r="G7" i="19"/>
  <c r="I7" i="19" s="1"/>
  <c r="G17" i="19"/>
  <c r="I17" i="19" s="1"/>
  <c r="G16" i="19"/>
  <c r="I16" i="19" s="1"/>
  <c r="G19" i="19"/>
  <c r="I19" i="19" s="1"/>
  <c r="G5" i="19"/>
  <c r="I5" i="19" s="1"/>
  <c r="G4" i="19"/>
  <c r="G20" i="19"/>
  <c r="I20" i="19" s="1"/>
  <c r="G18" i="19"/>
  <c r="I18" i="19" s="1"/>
  <c r="G11" i="19"/>
  <c r="I11" i="19" s="1"/>
  <c r="G12" i="19"/>
  <c r="I12" i="19" s="1"/>
  <c r="G13" i="19"/>
  <c r="I13" i="19" s="1"/>
  <c r="I42" i="20"/>
  <c r="K42" i="20" s="1"/>
  <c r="I47" i="20"/>
  <c r="K47" i="20" s="1"/>
  <c r="I52" i="20"/>
  <c r="K52" i="20" s="1"/>
  <c r="I58" i="20"/>
  <c r="K58" i="20" s="1"/>
  <c r="I26" i="20"/>
  <c r="K26" i="20" s="1"/>
  <c r="I50" i="20"/>
  <c r="K50" i="20" s="1"/>
  <c r="I35" i="20"/>
  <c r="K35" i="20" s="1"/>
  <c r="I45" i="20"/>
  <c r="K45" i="20" s="1"/>
  <c r="I40" i="20"/>
  <c r="K40" i="20" s="1"/>
  <c r="I28" i="20"/>
  <c r="K28" i="20" s="1"/>
  <c r="I41" i="20"/>
  <c r="K41" i="20" s="1"/>
  <c r="I55" i="20"/>
  <c r="K55" i="20" s="1"/>
  <c r="I51" i="20"/>
  <c r="K51" i="20" s="1"/>
  <c r="I54" i="20"/>
  <c r="K54" i="20" s="1"/>
  <c r="I34" i="20"/>
  <c r="K34" i="20" s="1"/>
  <c r="I25" i="20"/>
  <c r="I44" i="20"/>
  <c r="K44" i="20" s="1"/>
  <c r="H51" i="18"/>
  <c r="L25" i="17"/>
  <c r="G31" i="6"/>
  <c r="P18" i="17" s="1"/>
  <c r="C155" i="17"/>
  <c r="D48" i="17"/>
  <c r="M21" i="17"/>
  <c r="O101" i="17"/>
  <c r="R101" i="17" s="1"/>
  <c r="H176" i="17" s="1"/>
  <c r="B176" i="17"/>
  <c r="Q25" i="9"/>
  <c r="Q29" i="9" s="1"/>
  <c r="R8" i="9"/>
  <c r="H31" i="18"/>
  <c r="L18" i="17"/>
  <c r="H37" i="18"/>
  <c r="L20" i="17"/>
  <c r="G175" i="17"/>
  <c r="G178" i="17" s="1"/>
  <c r="Q103" i="17"/>
  <c r="G179" i="17"/>
  <c r="I20" i="17"/>
  <c r="Q113" i="17"/>
  <c r="G35" i="6"/>
  <c r="P20" i="17" s="1"/>
  <c r="F148" i="17"/>
  <c r="F150" i="17"/>
  <c r="H50" i="18"/>
  <c r="K50" i="18" s="1"/>
  <c r="B164" i="17" s="1"/>
  <c r="L24" i="17"/>
  <c r="C140" i="17"/>
  <c r="M15" i="17"/>
  <c r="D42" i="17"/>
  <c r="L100" i="17"/>
  <c r="J54" i="18"/>
  <c r="D51" i="17"/>
  <c r="M24" i="17"/>
  <c r="C164" i="17"/>
  <c r="L13" i="17"/>
  <c r="H19" i="18"/>
  <c r="K19" i="18" s="1"/>
  <c r="B133" i="17" s="1"/>
  <c r="H42" i="18"/>
  <c r="L22" i="17"/>
  <c r="F175" i="17"/>
  <c r="F178" i="17" s="1"/>
  <c r="P103" i="17"/>
  <c r="P37" i="19" l="1"/>
  <c r="Q37" i="19" s="1"/>
  <c r="R37" i="19" s="1"/>
  <c r="L37" i="19"/>
  <c r="N37" i="19"/>
  <c r="F53" i="21"/>
  <c r="G53" i="21" s="1"/>
  <c r="P28" i="19"/>
  <c r="L28" i="19"/>
  <c r="N28" i="19"/>
  <c r="I23" i="17"/>
  <c r="I26" i="17" s="1"/>
  <c r="R113" i="17"/>
  <c r="I21" i="17" s="1"/>
  <c r="R28" i="20"/>
  <c r="N28" i="20"/>
  <c r="P28" i="20"/>
  <c r="M21" i="18"/>
  <c r="K22" i="18"/>
  <c r="B136" i="17" s="1"/>
  <c r="M22" i="18"/>
  <c r="K23" i="18"/>
  <c r="B137" i="17" s="1"/>
  <c r="M23" i="18"/>
  <c r="K24" i="18"/>
  <c r="B138" i="17" s="1"/>
  <c r="N25" i="18"/>
  <c r="M24" i="18"/>
  <c r="M20" i="18"/>
  <c r="K21" i="18"/>
  <c r="B135" i="17" s="1"/>
  <c r="L27" i="19"/>
  <c r="P27" i="19"/>
  <c r="N27" i="19"/>
  <c r="R58" i="20"/>
  <c r="S58" i="20" s="1"/>
  <c r="T58" i="20" s="1"/>
  <c r="P58" i="20"/>
  <c r="N58" i="20"/>
  <c r="O58" i="20" s="1"/>
  <c r="M47" i="18"/>
  <c r="K48" i="18"/>
  <c r="B162" i="17" s="1"/>
  <c r="M48" i="18"/>
  <c r="N49" i="18"/>
  <c r="R26" i="20"/>
  <c r="S26" i="20" s="1"/>
  <c r="T26" i="20" s="1"/>
  <c r="N26" i="20"/>
  <c r="O26" i="20" s="1"/>
  <c r="P26" i="20"/>
  <c r="S22" i="17"/>
  <c r="O22" i="17"/>
  <c r="R22" i="17" s="1"/>
  <c r="O19" i="17"/>
  <c r="R19" i="17" s="1"/>
  <c r="S19" i="17"/>
  <c r="N50" i="20"/>
  <c r="O50" i="20" s="1"/>
  <c r="P50" i="20"/>
  <c r="R50" i="20"/>
  <c r="S50" i="20" s="1"/>
  <c r="T50" i="20" s="1"/>
  <c r="P30" i="19"/>
  <c r="Q30" i="19" s="1"/>
  <c r="R30" i="19" s="1"/>
  <c r="L30" i="19"/>
  <c r="N30" i="19"/>
  <c r="P45" i="20"/>
  <c r="N45" i="20"/>
  <c r="O45" i="20" s="1"/>
  <c r="R45" i="20"/>
  <c r="S45" i="20" s="1"/>
  <c r="T45" i="20" s="1"/>
  <c r="R52" i="20"/>
  <c r="N52" i="20"/>
  <c r="P52" i="20"/>
  <c r="S26" i="17"/>
  <c r="O26" i="17"/>
  <c r="R26" i="17" s="1"/>
  <c r="I25" i="19"/>
  <c r="G42" i="19"/>
  <c r="F151" i="17"/>
  <c r="F154" i="17"/>
  <c r="P29" i="19"/>
  <c r="Q29" i="19" s="1"/>
  <c r="R29" i="19" s="1"/>
  <c r="N29" i="19"/>
  <c r="L29" i="19"/>
  <c r="P32" i="19"/>
  <c r="Q32" i="19" s="1"/>
  <c r="R32" i="19" s="1"/>
  <c r="N32" i="19"/>
  <c r="L32" i="19"/>
  <c r="L35" i="19"/>
  <c r="P35" i="19"/>
  <c r="N35" i="19"/>
  <c r="L27" i="17"/>
  <c r="K8" i="18"/>
  <c r="H58" i="18"/>
  <c r="R25" i="9"/>
  <c r="T8" i="9"/>
  <c r="T25" i="9" s="1"/>
  <c r="F145" i="17"/>
  <c r="F147" i="17"/>
  <c r="I6" i="20"/>
  <c r="R47" i="20"/>
  <c r="N47" i="20"/>
  <c r="P47" i="20"/>
  <c r="N40" i="19"/>
  <c r="L40" i="19"/>
  <c r="P40" i="19"/>
  <c r="M35" i="18"/>
  <c r="N36" i="18"/>
  <c r="M34" i="18"/>
  <c r="M36" i="18" s="1"/>
  <c r="K35" i="18"/>
  <c r="B149" i="17" s="1"/>
  <c r="K13" i="18"/>
  <c r="B127" i="17" s="1"/>
  <c r="M14" i="18"/>
  <c r="M13" i="18"/>
  <c r="K14" i="18"/>
  <c r="B128" i="17" s="1"/>
  <c r="K17" i="18"/>
  <c r="B131" i="17" s="1"/>
  <c r="M17" i="18"/>
  <c r="N18" i="18"/>
  <c r="M12" i="18"/>
  <c r="K15" i="18"/>
  <c r="B129" i="17" s="1"/>
  <c r="M15" i="18"/>
  <c r="K16" i="18"/>
  <c r="B130" i="17" s="1"/>
  <c r="M16" i="18"/>
  <c r="S21" i="17"/>
  <c r="O21" i="17"/>
  <c r="R21" i="17" s="1"/>
  <c r="M9" i="18"/>
  <c r="K10" i="18"/>
  <c r="B124" i="17" s="1"/>
  <c r="N11" i="18"/>
  <c r="M10" i="18"/>
  <c r="P55" i="20"/>
  <c r="R55" i="20"/>
  <c r="N55" i="20"/>
  <c r="N40" i="20"/>
  <c r="O40" i="20" s="1"/>
  <c r="R40" i="20"/>
  <c r="S40" i="20" s="1"/>
  <c r="T40" i="20" s="1"/>
  <c r="P40" i="20"/>
  <c r="I4" i="20"/>
  <c r="G21" i="20"/>
  <c r="J21" i="20" s="1"/>
  <c r="M56" i="18"/>
  <c r="N57" i="18"/>
  <c r="M55" i="18"/>
  <c r="M57" i="18" s="1"/>
  <c r="K56" i="18"/>
  <c r="B170" i="17" s="1"/>
  <c r="I4" i="19"/>
  <c r="G21" i="19"/>
  <c r="J21" i="19" s="1"/>
  <c r="P38" i="19"/>
  <c r="L38" i="19"/>
  <c r="N38" i="19"/>
  <c r="O100" i="17"/>
  <c r="B175" i="17"/>
  <c r="L103" i="17"/>
  <c r="P31" i="19"/>
  <c r="Q31" i="19" s="1"/>
  <c r="R31" i="19" s="1"/>
  <c r="L31" i="19"/>
  <c r="N31" i="19"/>
  <c r="O16" i="17"/>
  <c r="R16" i="17" s="1"/>
  <c r="S16" i="17"/>
  <c r="K52" i="18"/>
  <c r="B166" i="17" s="1"/>
  <c r="M52" i="18"/>
  <c r="N54" i="18"/>
  <c r="M51" i="18"/>
  <c r="K53" i="18"/>
  <c r="B167" i="17" s="1"/>
  <c r="M53" i="18"/>
  <c r="S11" i="17"/>
  <c r="O11" i="17"/>
  <c r="R11" i="17" s="1"/>
  <c r="N51" i="20"/>
  <c r="O51" i="20" s="1"/>
  <c r="R51" i="20"/>
  <c r="S51" i="20" s="1"/>
  <c r="T51" i="20" s="1"/>
  <c r="P51" i="20"/>
  <c r="L36" i="19"/>
  <c r="P36" i="19"/>
  <c r="Q36" i="19" s="1"/>
  <c r="R36" i="19" s="1"/>
  <c r="N36" i="19"/>
  <c r="L33" i="19"/>
  <c r="P33" i="19"/>
  <c r="Q33" i="19" s="1"/>
  <c r="R33" i="19" s="1"/>
  <c r="N33" i="19"/>
  <c r="N26" i="19"/>
  <c r="P26" i="19"/>
  <c r="Q26" i="19" s="1"/>
  <c r="R26" i="19" s="1"/>
  <c r="L26" i="19"/>
  <c r="O15" i="17"/>
  <c r="R15" i="17" s="1"/>
  <c r="S15" i="17"/>
  <c r="M28" i="18"/>
  <c r="K29" i="18"/>
  <c r="B143" i="17" s="1"/>
  <c r="N30" i="18"/>
  <c r="M29" i="18"/>
  <c r="P44" i="20"/>
  <c r="R44" i="20"/>
  <c r="S44" i="20" s="1"/>
  <c r="T44" i="20" s="1"/>
  <c r="N44" i="20"/>
  <c r="O44" i="20" s="1"/>
  <c r="N35" i="20"/>
  <c r="O35" i="20" s="1"/>
  <c r="P35" i="20"/>
  <c r="R35" i="20"/>
  <c r="S35" i="20" s="1"/>
  <c r="T35" i="20" s="1"/>
  <c r="N42" i="20"/>
  <c r="O42" i="20" s="1"/>
  <c r="P42" i="20"/>
  <c r="R42" i="20"/>
  <c r="S42" i="20" s="1"/>
  <c r="T42" i="20" s="1"/>
  <c r="M43" i="18"/>
  <c r="M45" i="18"/>
  <c r="K44" i="18"/>
  <c r="B158" i="17" s="1"/>
  <c r="E158" i="17" s="1"/>
  <c r="M44" i="18"/>
  <c r="K45" i="18"/>
  <c r="B159" i="17" s="1"/>
  <c r="E159" i="17" s="1"/>
  <c r="N46" i="18"/>
  <c r="K43" i="18"/>
  <c r="B157" i="17" s="1"/>
  <c r="E157" i="17" s="1"/>
  <c r="M42" i="18"/>
  <c r="L34" i="19"/>
  <c r="N34" i="19"/>
  <c r="P34" i="19"/>
  <c r="Q34" i="19" s="1"/>
  <c r="R34" i="19" s="1"/>
  <c r="P41" i="19"/>
  <c r="Q41" i="19" s="1"/>
  <c r="R41" i="19" s="1"/>
  <c r="L41" i="19"/>
  <c r="N41" i="19"/>
  <c r="K39" i="18"/>
  <c r="B152" i="17" s="1"/>
  <c r="K38" i="18"/>
  <c r="B153" i="17" s="1"/>
  <c r="M38" i="18"/>
  <c r="M37" i="18"/>
  <c r="M39" i="18"/>
  <c r="N40" i="18"/>
  <c r="O18" i="17"/>
  <c r="R18" i="17" s="1"/>
  <c r="S18" i="17"/>
  <c r="M31" i="18"/>
  <c r="K32" i="18"/>
  <c r="B146" i="17" s="1"/>
  <c r="E146" i="17" s="1"/>
  <c r="M32" i="18"/>
  <c r="N33" i="18"/>
  <c r="I60" i="20"/>
  <c r="K25" i="20"/>
  <c r="G53" i="6"/>
  <c r="N54" i="20"/>
  <c r="O54" i="20" s="1"/>
  <c r="R54" i="20"/>
  <c r="S54" i="20" s="1"/>
  <c r="T54" i="20" s="1"/>
  <c r="P54" i="20"/>
  <c r="N41" i="20"/>
  <c r="O41" i="20" s="1"/>
  <c r="P41" i="20"/>
  <c r="R41" i="20"/>
  <c r="S41" i="20" s="1"/>
  <c r="T41" i="20" s="1"/>
  <c r="S14" i="17"/>
  <c r="O14" i="17"/>
  <c r="R14" i="17" s="1"/>
  <c r="I6" i="19"/>
  <c r="O24" i="17"/>
  <c r="R24" i="17" s="1"/>
  <c r="S24" i="17"/>
  <c r="L39" i="19"/>
  <c r="P39" i="19"/>
  <c r="Q39" i="19" s="1"/>
  <c r="R39" i="19" s="1"/>
  <c r="N39" i="19"/>
  <c r="S17" i="17"/>
  <c r="O17" i="17"/>
  <c r="R17" i="17" s="1"/>
  <c r="N34" i="20"/>
  <c r="P34" i="20"/>
  <c r="R34" i="20"/>
  <c r="P27" i="17"/>
  <c r="F122" i="17"/>
  <c r="H158" i="17" l="1"/>
  <c r="D45" i="21"/>
  <c r="G45" i="21" s="1"/>
  <c r="V30" i="19"/>
  <c r="S30" i="19"/>
  <c r="U30" i="19" s="1"/>
  <c r="X40" i="20"/>
  <c r="U40" i="20"/>
  <c r="X45" i="20"/>
  <c r="U45" i="20"/>
  <c r="M30" i="18"/>
  <c r="U51" i="20"/>
  <c r="X51" i="20"/>
  <c r="X50" i="20"/>
  <c r="U50" i="20"/>
  <c r="H159" i="17"/>
  <c r="D46" i="21"/>
  <c r="G46" i="21" s="1"/>
  <c r="X44" i="20"/>
  <c r="U44" i="20"/>
  <c r="V39" i="19"/>
  <c r="S39" i="19"/>
  <c r="U39" i="19" s="1"/>
  <c r="S26" i="19"/>
  <c r="U26" i="19" s="1"/>
  <c r="V26" i="19"/>
  <c r="O33" i="18"/>
  <c r="K31" i="18" s="1"/>
  <c r="B145" i="17" s="1"/>
  <c r="X26" i="20"/>
  <c r="U26" i="20"/>
  <c r="D40" i="21"/>
  <c r="G40" i="21" s="1"/>
  <c r="H146" i="17"/>
  <c r="X42" i="20"/>
  <c r="U42" i="20"/>
  <c r="M18" i="18"/>
  <c r="O18" i="18" s="1"/>
  <c r="K12" i="18" s="1"/>
  <c r="B126" i="17" s="1"/>
  <c r="U41" i="20"/>
  <c r="X41" i="20"/>
  <c r="M11" i="18"/>
  <c r="S31" i="19"/>
  <c r="U31" i="19" s="1"/>
  <c r="V31" i="19"/>
  <c r="V34" i="19"/>
  <c r="S34" i="19"/>
  <c r="U34" i="19" s="1"/>
  <c r="P25" i="19"/>
  <c r="L25" i="19"/>
  <c r="I42" i="19"/>
  <c r="N25" i="19"/>
  <c r="N42" i="19" s="1"/>
  <c r="S33" i="19"/>
  <c r="U33" i="19" s="1"/>
  <c r="V33" i="19"/>
  <c r="S36" i="19"/>
  <c r="U36" i="19" s="1"/>
  <c r="V36" i="19"/>
  <c r="M54" i="18"/>
  <c r="O54" i="18"/>
  <c r="K51" i="18" s="1"/>
  <c r="B165" i="17" s="1"/>
  <c r="V32" i="19"/>
  <c r="S32" i="19"/>
  <c r="U32" i="19" s="1"/>
  <c r="M33" i="18"/>
  <c r="O57" i="18"/>
  <c r="K55" i="18" s="1"/>
  <c r="B169" i="17" s="1"/>
  <c r="U35" i="20"/>
  <c r="X35" i="20"/>
  <c r="O30" i="18"/>
  <c r="K28" i="18" s="1"/>
  <c r="B142" i="17" s="1"/>
  <c r="O36" i="18"/>
  <c r="K34" i="18" s="1"/>
  <c r="B148" i="17" s="1"/>
  <c r="V41" i="19"/>
  <c r="S41" i="19"/>
  <c r="U41" i="19" s="1"/>
  <c r="M46" i="18"/>
  <c r="O46" i="18" s="1"/>
  <c r="K42" i="18" s="1"/>
  <c r="B156" i="17" s="1"/>
  <c r="F54" i="21"/>
  <c r="U58" i="20"/>
  <c r="X58" i="20"/>
  <c r="H157" i="17"/>
  <c r="D44" i="21"/>
  <c r="G44" i="21" s="1"/>
  <c r="S29" i="19"/>
  <c r="U29" i="19" s="1"/>
  <c r="V29" i="19"/>
  <c r="U54" i="20"/>
  <c r="X54" i="20"/>
  <c r="O25" i="18"/>
  <c r="K20" i="18" s="1"/>
  <c r="B134" i="17" s="1"/>
  <c r="M40" i="18"/>
  <c r="O40" i="18" s="1"/>
  <c r="K37" i="18" s="1"/>
  <c r="B151" i="17" s="1"/>
  <c r="E175" i="17"/>
  <c r="B178" i="17"/>
  <c r="O103" i="17"/>
  <c r="R100" i="17"/>
  <c r="I21" i="19"/>
  <c r="I21" i="20"/>
  <c r="O11" i="18"/>
  <c r="K9" i="18" s="1"/>
  <c r="B123" i="17" s="1"/>
  <c r="M49" i="18"/>
  <c r="O49" i="18" s="1"/>
  <c r="K47" i="18" s="1"/>
  <c r="B161" i="17" s="1"/>
  <c r="N25" i="20"/>
  <c r="K60" i="20"/>
  <c r="R25" i="20"/>
  <c r="P25" i="20"/>
  <c r="P60" i="20" s="1"/>
  <c r="M25" i="18"/>
  <c r="B122" i="17"/>
  <c r="F173" i="17"/>
  <c r="F179" i="17" s="1"/>
  <c r="S37" i="19"/>
  <c r="U37" i="19" s="1"/>
  <c r="V37" i="19"/>
  <c r="B160" i="17" l="1"/>
  <c r="B163" i="17"/>
  <c r="B154" i="17"/>
  <c r="B132" i="17"/>
  <c r="B150" i="17"/>
  <c r="N60" i="20"/>
  <c r="O25" i="20" s="1"/>
  <c r="P42" i="19"/>
  <c r="Q25" i="19" s="1"/>
  <c r="R110" i="17"/>
  <c r="S110" i="17" s="1"/>
  <c r="D176" i="17" s="1"/>
  <c r="R103" i="17"/>
  <c r="S104" i="17" s="1"/>
  <c r="R104" i="17"/>
  <c r="H175" i="17"/>
  <c r="H178" i="17" s="1"/>
  <c r="B125" i="17"/>
  <c r="B139" i="17"/>
  <c r="L42" i="19"/>
  <c r="B171" i="17"/>
  <c r="B173" i="17" s="1"/>
  <c r="B179" i="17" s="1"/>
  <c r="K58" i="18"/>
  <c r="B147" i="17"/>
  <c r="B144" i="17"/>
  <c r="B168" i="17"/>
  <c r="R60" i="20"/>
  <c r="R25" i="19" l="1"/>
  <c r="S52" i="20"/>
  <c r="T52" i="20" s="1"/>
  <c r="S34" i="20"/>
  <c r="T34" i="20" s="1"/>
  <c r="S55" i="20"/>
  <c r="T55" i="20" s="1"/>
  <c r="S47" i="20"/>
  <c r="T47" i="20" s="1"/>
  <c r="S28" i="20"/>
  <c r="T28" i="20" s="1"/>
  <c r="D178" i="17"/>
  <c r="E176" i="17"/>
  <c r="E178" i="17" s="1"/>
  <c r="O42" i="19"/>
  <c r="M28" i="19"/>
  <c r="M40" i="19"/>
  <c r="M35" i="19"/>
  <c r="M27" i="19"/>
  <c r="M38" i="19"/>
  <c r="Q60" i="20"/>
  <c r="Q25" i="20" s="1"/>
  <c r="O34" i="20"/>
  <c r="Q34" i="20" s="1"/>
  <c r="V34" i="20" s="1"/>
  <c r="E82" i="20" s="1"/>
  <c r="O28" i="20"/>
  <c r="Q28" i="20" s="1"/>
  <c r="V28" i="20" s="1"/>
  <c r="E75" i="20" s="1"/>
  <c r="O52" i="20"/>
  <c r="Q52" i="20" s="1"/>
  <c r="V52" i="20" s="1"/>
  <c r="E104" i="20" s="1"/>
  <c r="O55" i="20"/>
  <c r="Q55" i="20" s="1"/>
  <c r="V55" i="20" s="1"/>
  <c r="E108" i="20" s="1"/>
  <c r="O47" i="20"/>
  <c r="Q47" i="20" s="1"/>
  <c r="V47" i="20" s="1"/>
  <c r="E98" i="20" s="1"/>
  <c r="S25" i="20"/>
  <c r="M25" i="19"/>
  <c r="M42" i="19" s="1"/>
  <c r="Q28" i="19"/>
  <c r="R28" i="19" s="1"/>
  <c r="Q35" i="19"/>
  <c r="R35" i="19" s="1"/>
  <c r="Q27" i="19"/>
  <c r="R27" i="19" s="1"/>
  <c r="Q40" i="19"/>
  <c r="R40" i="19" s="1"/>
  <c r="Q38" i="19"/>
  <c r="R38" i="19" s="1"/>
  <c r="V25" i="20" l="1"/>
  <c r="G82" i="20"/>
  <c r="D133" i="17" s="1"/>
  <c r="C82" i="20"/>
  <c r="G77" i="20"/>
  <c r="D128" i="17" s="1"/>
  <c r="E128" i="17" s="1"/>
  <c r="T77" i="20"/>
  <c r="G76" i="20"/>
  <c r="D127" i="17" s="1"/>
  <c r="E127" i="17" s="1"/>
  <c r="T75" i="20"/>
  <c r="G80" i="20"/>
  <c r="D131" i="17" s="1"/>
  <c r="E131" i="17" s="1"/>
  <c r="T78" i="20"/>
  <c r="U81" i="20"/>
  <c r="G79" i="20"/>
  <c r="D130" i="17" s="1"/>
  <c r="E130" i="17" s="1"/>
  <c r="T79" i="20"/>
  <c r="T80" i="20"/>
  <c r="G78" i="20"/>
  <c r="D129" i="17" s="1"/>
  <c r="E129" i="17" s="1"/>
  <c r="T76" i="20"/>
  <c r="C75" i="20"/>
  <c r="O27" i="19"/>
  <c r="T27" i="19" s="1"/>
  <c r="G39" i="17" s="1"/>
  <c r="O35" i="19"/>
  <c r="T35" i="19" s="1"/>
  <c r="G47" i="17" s="1"/>
  <c r="O28" i="19"/>
  <c r="T28" i="19" s="1"/>
  <c r="G40" i="17" s="1"/>
  <c r="O40" i="19"/>
  <c r="T40" i="19" s="1"/>
  <c r="G52" i="17" s="1"/>
  <c r="O38" i="19"/>
  <c r="T38" i="19" s="1"/>
  <c r="G50" i="17" s="1"/>
  <c r="O25" i="19"/>
  <c r="T25" i="19" s="1"/>
  <c r="T98" i="20"/>
  <c r="T101" i="20" s="1"/>
  <c r="T100" i="20"/>
  <c r="G99" i="20"/>
  <c r="D153" i="17" s="1"/>
  <c r="E153" i="17" s="1"/>
  <c r="G100" i="20"/>
  <c r="D152" i="17" s="1"/>
  <c r="E152" i="17" s="1"/>
  <c r="T99" i="20"/>
  <c r="U101" i="20"/>
  <c r="C98" i="20"/>
  <c r="U47" i="20"/>
  <c r="W47" i="20" s="1"/>
  <c r="X47" i="20"/>
  <c r="T105" i="20"/>
  <c r="U106" i="20"/>
  <c r="T104" i="20"/>
  <c r="G105" i="20"/>
  <c r="D162" i="17" s="1"/>
  <c r="E162" i="17" s="1"/>
  <c r="G104" i="20"/>
  <c r="C104" i="20"/>
  <c r="X28" i="20"/>
  <c r="O60" i="20"/>
  <c r="S38" i="19"/>
  <c r="U38" i="19" s="1"/>
  <c r="V38" i="19"/>
  <c r="S27" i="19"/>
  <c r="U27" i="19" s="1"/>
  <c r="V27" i="19"/>
  <c r="S28" i="19"/>
  <c r="U28" i="19" s="1"/>
  <c r="V28" i="19"/>
  <c r="S60" i="20"/>
  <c r="T25" i="20"/>
  <c r="U55" i="20"/>
  <c r="W55" i="20" s="1"/>
  <c r="X55" i="20"/>
  <c r="T108" i="20"/>
  <c r="T110" i="20"/>
  <c r="G109" i="20"/>
  <c r="D166" i="17" s="1"/>
  <c r="E166" i="17" s="1"/>
  <c r="T109" i="20"/>
  <c r="G110" i="20"/>
  <c r="D167" i="17" s="1"/>
  <c r="E167" i="17" s="1"/>
  <c r="U111" i="20"/>
  <c r="C108" i="20"/>
  <c r="X34" i="20"/>
  <c r="U34" i="20"/>
  <c r="W34" i="20" s="1"/>
  <c r="Q42" i="19"/>
  <c r="V40" i="19"/>
  <c r="S40" i="19"/>
  <c r="S35" i="19"/>
  <c r="V35" i="19"/>
  <c r="Q45" i="20"/>
  <c r="V45" i="20" s="1"/>
  <c r="Q51" i="20"/>
  <c r="V51" i="20" s="1"/>
  <c r="Q35" i="20"/>
  <c r="V35" i="20" s="1"/>
  <c r="Q26" i="20"/>
  <c r="V26" i="20" s="1"/>
  <c r="Q58" i="20"/>
  <c r="V58" i="20" s="1"/>
  <c r="Q54" i="20"/>
  <c r="V54" i="20" s="1"/>
  <c r="Q41" i="20"/>
  <c r="V41" i="20" s="1"/>
  <c r="Q40" i="20"/>
  <c r="V40" i="20" s="1"/>
  <c r="Q42" i="20"/>
  <c r="V42" i="20" s="1"/>
  <c r="Q44" i="20"/>
  <c r="V44" i="20" s="1"/>
  <c r="Q50" i="20"/>
  <c r="V50" i="20" s="1"/>
  <c r="X52" i="20"/>
  <c r="U52" i="20"/>
  <c r="W52" i="20" s="1"/>
  <c r="R42" i="19"/>
  <c r="V42" i="19" s="1"/>
  <c r="X42" i="19" s="1"/>
  <c r="S25" i="19"/>
  <c r="V25" i="19"/>
  <c r="C165" i="17" l="1"/>
  <c r="D52" i="17"/>
  <c r="M25" i="17"/>
  <c r="E89" i="20"/>
  <c r="W40" i="20"/>
  <c r="S42" i="19"/>
  <c r="U25" i="19"/>
  <c r="D40" i="17"/>
  <c r="M13" i="17"/>
  <c r="C133" i="17"/>
  <c r="E133" i="17" s="1"/>
  <c r="V101" i="20"/>
  <c r="G98" i="20" s="1"/>
  <c r="E83" i="20"/>
  <c r="W35" i="20"/>
  <c r="D49" i="21"/>
  <c r="G49" i="21" s="1"/>
  <c r="H167" i="17"/>
  <c r="T60" i="20"/>
  <c r="X60" i="20" s="1"/>
  <c r="Z60" i="20" s="1"/>
  <c r="U28" i="20" s="1"/>
  <c r="W28" i="20" s="1"/>
  <c r="U25" i="20"/>
  <c r="X25" i="20"/>
  <c r="T106" i="20"/>
  <c r="M20" i="17"/>
  <c r="D47" i="17"/>
  <c r="C151" i="17"/>
  <c r="H127" i="17"/>
  <c r="D30" i="21"/>
  <c r="G30" i="21" s="1"/>
  <c r="C161" i="17"/>
  <c r="D50" i="17"/>
  <c r="M23" i="17"/>
  <c r="E112" i="20"/>
  <c r="W58" i="20"/>
  <c r="E95" i="20"/>
  <c r="W45" i="20"/>
  <c r="M12" i="17"/>
  <c r="C126" i="17"/>
  <c r="D39" i="17"/>
  <c r="E91" i="20"/>
  <c r="W42" i="20"/>
  <c r="D33" i="21"/>
  <c r="G33" i="21" s="1"/>
  <c r="H130" i="17"/>
  <c r="E90" i="20"/>
  <c r="W41" i="20"/>
  <c r="E107" i="20"/>
  <c r="W54" i="20"/>
  <c r="D31" i="21"/>
  <c r="G31" i="21" s="1"/>
  <c r="H128" i="17"/>
  <c r="T111" i="20"/>
  <c r="V111" i="20" s="1"/>
  <c r="G108" i="20" s="1"/>
  <c r="D47" i="21"/>
  <c r="G47" i="21" s="1"/>
  <c r="H162" i="17"/>
  <c r="V106" i="20"/>
  <c r="H152" i="17"/>
  <c r="D43" i="21"/>
  <c r="G43" i="21" s="1"/>
  <c r="D32" i="21"/>
  <c r="G32" i="21" s="1"/>
  <c r="H129" i="17"/>
  <c r="E72" i="20"/>
  <c r="W26" i="20"/>
  <c r="U35" i="19"/>
  <c r="H166" i="17"/>
  <c r="D48" i="21"/>
  <c r="G48" i="21" s="1"/>
  <c r="D42" i="21"/>
  <c r="G42" i="21" s="1"/>
  <c r="H153" i="17"/>
  <c r="E102" i="20"/>
  <c r="W50" i="20"/>
  <c r="T81" i="20"/>
  <c r="V81" i="20" s="1"/>
  <c r="G75" i="20" s="1"/>
  <c r="U40" i="19"/>
  <c r="V60" i="20"/>
  <c r="E71" i="20"/>
  <c r="G106" i="20"/>
  <c r="D163" i="17" s="1"/>
  <c r="D161" i="17"/>
  <c r="T42" i="19"/>
  <c r="G37" i="17"/>
  <c r="E94" i="20"/>
  <c r="W44" i="20"/>
  <c r="D34" i="21"/>
  <c r="G34" i="21" s="1"/>
  <c r="H131" i="17"/>
  <c r="E103" i="20"/>
  <c r="W51" i="20"/>
  <c r="Q61" i="20"/>
  <c r="Q62" i="20" s="1"/>
  <c r="D126" i="17" l="1"/>
  <c r="G81" i="20"/>
  <c r="D132" i="17" s="1"/>
  <c r="D165" i="17"/>
  <c r="G111" i="20"/>
  <c r="D168" i="17" s="1"/>
  <c r="O12" i="17"/>
  <c r="R12" i="17" s="1"/>
  <c r="S12" i="17"/>
  <c r="U114" i="20"/>
  <c r="T112" i="20"/>
  <c r="T113" i="20"/>
  <c r="G113" i="20"/>
  <c r="D170" i="17" s="1"/>
  <c r="E170" i="17" s="1"/>
  <c r="C112" i="20"/>
  <c r="W25" i="20"/>
  <c r="U60" i="20"/>
  <c r="W60" i="20" s="1"/>
  <c r="T83" i="20"/>
  <c r="T84" i="20"/>
  <c r="T85" i="20"/>
  <c r="G84" i="20"/>
  <c r="D135" i="17" s="1"/>
  <c r="E135" i="17" s="1"/>
  <c r="G86" i="20"/>
  <c r="D137" i="17" s="1"/>
  <c r="E137" i="17" s="1"/>
  <c r="G85" i="20"/>
  <c r="D136" i="17" s="1"/>
  <c r="E136" i="17" s="1"/>
  <c r="G87" i="20"/>
  <c r="D138" i="17" s="1"/>
  <c r="E138" i="17" s="1"/>
  <c r="T86" i="20"/>
  <c r="U88" i="20"/>
  <c r="T87" i="20"/>
  <c r="C83" i="20"/>
  <c r="U42" i="19"/>
  <c r="T92" i="20"/>
  <c r="T91" i="20"/>
  <c r="T93" i="20" s="1"/>
  <c r="G92" i="20"/>
  <c r="D143" i="17" s="1"/>
  <c r="E143" i="17" s="1"/>
  <c r="U93" i="20"/>
  <c r="V93" i="20" s="1"/>
  <c r="G91" i="20" s="1"/>
  <c r="C91" i="20"/>
  <c r="T96" i="20"/>
  <c r="T95" i="20"/>
  <c r="T97" i="20" s="1"/>
  <c r="G96" i="20"/>
  <c r="D149" i="17" s="1"/>
  <c r="E149" i="17" s="1"/>
  <c r="U97" i="20"/>
  <c r="C95" i="20"/>
  <c r="O20" i="17"/>
  <c r="R20" i="17" s="1"/>
  <c r="S20" i="17"/>
  <c r="G90" i="20"/>
  <c r="D141" i="17" s="1"/>
  <c r="E141" i="17" s="1"/>
  <c r="C90" i="20"/>
  <c r="D15" i="21"/>
  <c r="G15" i="21" s="1"/>
  <c r="H133" i="17"/>
  <c r="G89" i="20"/>
  <c r="D140" i="17" s="1"/>
  <c r="E140" i="17" s="1"/>
  <c r="C89" i="20"/>
  <c r="G107" i="20"/>
  <c r="D164" i="17" s="1"/>
  <c r="E164" i="17" s="1"/>
  <c r="C107" i="20"/>
  <c r="C132" i="17"/>
  <c r="E126" i="17"/>
  <c r="C154" i="17"/>
  <c r="G101" i="20"/>
  <c r="D154" i="17" s="1"/>
  <c r="D151" i="17"/>
  <c r="E151" i="17" s="1"/>
  <c r="O13" i="17"/>
  <c r="R13" i="17" s="1"/>
  <c r="S13" i="17"/>
  <c r="E115" i="20"/>
  <c r="G71" i="20"/>
  <c r="D122" i="17" s="1"/>
  <c r="C71" i="20"/>
  <c r="C115" i="20" s="1"/>
  <c r="S25" i="17"/>
  <c r="O25" i="17"/>
  <c r="R25" i="17" s="1"/>
  <c r="T72" i="20"/>
  <c r="T74" i="20" s="1"/>
  <c r="G73" i="20"/>
  <c r="D124" i="17" s="1"/>
  <c r="E124" i="17" s="1"/>
  <c r="U74" i="20"/>
  <c r="T73" i="20"/>
  <c r="C72" i="20"/>
  <c r="G103" i="20"/>
  <c r="C103" i="20"/>
  <c r="G94" i="20"/>
  <c r="C94" i="20"/>
  <c r="G102" i="20"/>
  <c r="D155" i="17" s="1"/>
  <c r="E155" i="17" s="1"/>
  <c r="C102" i="20"/>
  <c r="O23" i="17"/>
  <c r="R23" i="17" s="1"/>
  <c r="S23" i="17"/>
  <c r="C163" i="17"/>
  <c r="E161" i="17"/>
  <c r="M10" i="17"/>
  <c r="G54" i="17"/>
  <c r="D37" i="17"/>
  <c r="D54" i="17" s="1"/>
  <c r="C122" i="17"/>
  <c r="C168" i="17"/>
  <c r="E165" i="17"/>
  <c r="G93" i="20" l="1"/>
  <c r="D144" i="17" s="1"/>
  <c r="D142" i="17"/>
  <c r="E142" i="17" s="1"/>
  <c r="D22" i="21"/>
  <c r="G22" i="21" s="1"/>
  <c r="H151" i="17"/>
  <c r="E154" i="17"/>
  <c r="H154" i="17" s="1"/>
  <c r="H141" i="17"/>
  <c r="D18" i="21"/>
  <c r="G18" i="21" s="1"/>
  <c r="D17" i="21"/>
  <c r="G17" i="21" s="1"/>
  <c r="H140" i="17"/>
  <c r="H165" i="17"/>
  <c r="D27" i="21"/>
  <c r="G27" i="21" s="1"/>
  <c r="E168" i="17"/>
  <c r="H168" i="17" s="1"/>
  <c r="H124" i="17"/>
  <c r="D29" i="21"/>
  <c r="G29" i="21" s="1"/>
  <c r="H136" i="17"/>
  <c r="D36" i="21"/>
  <c r="G36" i="21" s="1"/>
  <c r="D26" i="21"/>
  <c r="G26" i="21" s="1"/>
  <c r="H164" i="17"/>
  <c r="V97" i="20"/>
  <c r="G95" i="20" s="1"/>
  <c r="C173" i="17"/>
  <c r="C179" i="17" s="1"/>
  <c r="D14" i="21"/>
  <c r="G14" i="21" s="1"/>
  <c r="H126" i="17"/>
  <c r="E132" i="17"/>
  <c r="H132" i="17" s="1"/>
  <c r="D35" i="21"/>
  <c r="G35" i="21" s="1"/>
  <c r="H135" i="17"/>
  <c r="D160" i="17"/>
  <c r="D156" i="17"/>
  <c r="E156" i="17" s="1"/>
  <c r="D25" i="21"/>
  <c r="G25" i="21" s="1"/>
  <c r="H161" i="17"/>
  <c r="E163" i="17"/>
  <c r="H163" i="17" s="1"/>
  <c r="D41" i="21"/>
  <c r="G41" i="21" s="1"/>
  <c r="H149" i="17"/>
  <c r="H137" i="17"/>
  <c r="D37" i="21"/>
  <c r="G37" i="21" s="1"/>
  <c r="T88" i="20"/>
  <c r="V88" i="20" s="1"/>
  <c r="G83" i="20" s="1"/>
  <c r="T114" i="20"/>
  <c r="V114" i="20" s="1"/>
  <c r="G112" i="20" s="1"/>
  <c r="H143" i="17"/>
  <c r="D39" i="21"/>
  <c r="G39" i="21" s="1"/>
  <c r="H138" i="17"/>
  <c r="D38" i="21"/>
  <c r="G38" i="21" s="1"/>
  <c r="E122" i="17"/>
  <c r="M27" i="17"/>
  <c r="S10" i="17"/>
  <c r="O10" i="17"/>
  <c r="D23" i="21"/>
  <c r="G23" i="21" s="1"/>
  <c r="H155" i="17"/>
  <c r="V74" i="20"/>
  <c r="G72" i="20" s="1"/>
  <c r="D50" i="21"/>
  <c r="G50" i="21" s="1"/>
  <c r="H170" i="17"/>
  <c r="D145" i="17"/>
  <c r="E145" i="17" s="1"/>
  <c r="D147" i="17"/>
  <c r="D134" i="17" l="1"/>
  <c r="E134" i="17" s="1"/>
  <c r="G88" i="20"/>
  <c r="D139" i="17" s="1"/>
  <c r="G115" i="20"/>
  <c r="D169" i="17"/>
  <c r="E169" i="17" s="1"/>
  <c r="D123" i="17"/>
  <c r="E123" i="17" s="1"/>
  <c r="G74" i="20"/>
  <c r="D125" i="17" s="1"/>
  <c r="D20" i="21"/>
  <c r="G20" i="21" s="1"/>
  <c r="H145" i="17"/>
  <c r="E147" i="17"/>
  <c r="H147" i="17" s="1"/>
  <c r="D148" i="17"/>
  <c r="E148" i="17" s="1"/>
  <c r="G97" i="20"/>
  <c r="D150" i="17" s="1"/>
  <c r="D24" i="21"/>
  <c r="G24" i="21" s="1"/>
  <c r="H156" i="17"/>
  <c r="E160" i="17"/>
  <c r="H160" i="17" s="1"/>
  <c r="R10" i="17"/>
  <c r="R27" i="17" s="1"/>
  <c r="O27" i="17"/>
  <c r="R30" i="17" s="1"/>
  <c r="H142" i="17"/>
  <c r="E144" i="17"/>
  <c r="H144" i="17" s="1"/>
  <c r="D19" i="21"/>
  <c r="G19" i="21" s="1"/>
  <c r="D12" i="21"/>
  <c r="H122" i="17"/>
  <c r="H123" i="17" l="1"/>
  <c r="E125" i="17"/>
  <c r="H125" i="17" s="1"/>
  <c r="D13" i="21"/>
  <c r="G13" i="21" s="1"/>
  <c r="D28" i="21"/>
  <c r="G28" i="21" s="1"/>
  <c r="H169" i="17"/>
  <c r="E171" i="17"/>
  <c r="G116" i="20"/>
  <c r="D171" i="17"/>
  <c r="D173" i="17" s="1"/>
  <c r="D179" i="17" s="1"/>
  <c r="G12" i="21"/>
  <c r="D21" i="21"/>
  <c r="G21" i="21" s="1"/>
  <c r="H148" i="17"/>
  <c r="E150" i="17"/>
  <c r="H150" i="17" s="1"/>
  <c r="H134" i="17"/>
  <c r="E139" i="17"/>
  <c r="H139" i="17" s="1"/>
  <c r="D16" i="21"/>
  <c r="G16" i="21" s="1"/>
  <c r="D51" i="21" l="1"/>
  <c r="G51" i="21" s="1"/>
  <c r="G55" i="21" s="1"/>
  <c r="D54" i="21"/>
  <c r="G54" i="21" s="1"/>
  <c r="H171" i="17"/>
  <c r="H173" i="17" s="1"/>
  <c r="E173" i="17"/>
  <c r="H174" i="17" l="1"/>
  <c r="E179" i="17"/>
  <c r="H179" i="17"/>
  <c r="C4" i="12"/>
  <c r="C19" i="12" s="1"/>
</calcChain>
</file>

<file path=xl/comments1.xml><?xml version="1.0" encoding="utf-8"?>
<comments xmlns="http://schemas.openxmlformats.org/spreadsheetml/2006/main">
  <authors>
    <author>Department of Taxation</author>
  </authors>
  <commentList>
    <comment ref="L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M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  <comment ref="O27" authorId="0">
      <text>
        <r>
          <rPr>
            <b/>
            <sz val="8"/>
            <color indexed="81"/>
            <rFont val="Tahoma"/>
          </rPr>
          <t>Department of Taxation:</t>
        </r>
        <r>
          <rPr>
            <sz val="8"/>
            <color indexed="81"/>
            <rFont val="Tahoma"/>
          </rPr>
          <t xml:space="preserve">
</t>
        </r>
      </text>
    </comment>
    <comment ref="O42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(e)</t>
        </r>
      </text>
    </comment>
  </commentList>
</comments>
</file>

<file path=xl/comments2.xml><?xml version="1.0" encoding="utf-8"?>
<comments xmlns="http://schemas.openxmlformats.org/spreadsheetml/2006/main">
  <authors>
    <author>Department of Taxation</author>
  </authors>
  <commentLis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O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P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</commentList>
</comments>
</file>

<file path=xl/sharedStrings.xml><?xml version="1.0" encoding="utf-8"?>
<sst xmlns="http://schemas.openxmlformats.org/spreadsheetml/2006/main" count="1759" uniqueCount="798">
  <si>
    <t>SCHEDULE 1</t>
  </si>
  <si>
    <t>Report Month</t>
  </si>
  <si>
    <t>Activity Month</t>
  </si>
  <si>
    <t>STATE OF NEVADA</t>
  </si>
  <si>
    <t>MOTOR VEHICLE FUEL TAX COLLECTION AND DISTRIBUTION STATISTICAL</t>
  </si>
  <si>
    <t>GALLONS</t>
  </si>
  <si>
    <t>TAXABLE</t>
  </si>
  <si>
    <t>STATE TAX</t>
  </si>
  <si>
    <t>COUNTY</t>
  </si>
  <si>
    <t>GASOLINE</t>
  </si>
  <si>
    <t>OPTION</t>
  </si>
  <si>
    <t>COMBINED</t>
  </si>
  <si>
    <t>TOTAL</t>
  </si>
  <si>
    <t>DEALER</t>
  </si>
  <si>
    <t>GASOHOL</t>
  </si>
  <si>
    <t xml:space="preserve"> 12.65¢</t>
  </si>
  <si>
    <t>5¢</t>
  </si>
  <si>
    <t xml:space="preserve"> 5.35¢</t>
  </si>
  <si>
    <t>1 - 9¢</t>
  </si>
  <si>
    <t>1¢</t>
  </si>
  <si>
    <t>TAX TOTAL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</si>
  <si>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</si>
  <si>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</si>
  <si>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</si>
  <si>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</si>
  <si>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</si>
  <si>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</si>
  <si>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</si>
  <si>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</si>
  <si>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</si>
  <si>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</si>
  <si>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</si>
  <si>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</si>
  <si>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</si>
  <si>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</si>
  <si>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</si>
  <si>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</si>
  <si>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</si>
  <si>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America West Airlines Inc</t>
  </si>
  <si>
    <t>Bel-Court Service</t>
  </si>
  <si>
    <t>Carson Valley Oil Co., Inc.</t>
  </si>
  <si>
    <t>Chevron USA Inc</t>
  </si>
  <si>
    <t>Chris's Service Inc</t>
  </si>
  <si>
    <t>Circle K Stores Inc</t>
  </si>
  <si>
    <t>Conrad &amp; Bischoff Inc</t>
  </si>
  <si>
    <t>Hardy Enterprises</t>
  </si>
  <si>
    <t>Haycock Distributing Co</t>
  </si>
  <si>
    <t>Herbst Oil Co</t>
  </si>
  <si>
    <t>Hughes Oil</t>
  </si>
  <si>
    <t>Jackson Oil Inc</t>
  </si>
  <si>
    <t>Jenkin's Oil Company Inc</t>
  </si>
  <si>
    <t>Majors Fuels Inc</t>
  </si>
  <si>
    <t>Maverik Country Stores</t>
  </si>
  <si>
    <t>Nat'l Oil &amp; Burner Co</t>
  </si>
  <si>
    <t>New West Petroleum</t>
  </si>
  <si>
    <t>Norcross Service Stations</t>
  </si>
  <si>
    <t>Petroleum Distributors Inc</t>
  </si>
  <si>
    <t>Phoenix Fuel Company Inc</t>
  </si>
  <si>
    <t>Rebel Oil Co Inc</t>
  </si>
  <si>
    <t>Reed Distributing Inc</t>
  </si>
  <si>
    <t>River City Petroleum Inc</t>
  </si>
  <si>
    <t>Sage Petroleum Products</t>
  </si>
  <si>
    <t>Sevier Valley Oil Co Inc</t>
  </si>
  <si>
    <t>Shell Products Inc</t>
  </si>
  <si>
    <t>Signature Flight Support</t>
  </si>
  <si>
    <t>Smitten Oil &amp; Tire Co Inc</t>
  </si>
  <si>
    <t>Sperry Oil Company</t>
  </si>
  <si>
    <t>Texmo Oil Co Jobbers Inc</t>
  </si>
  <si>
    <t>Time Oil Co</t>
  </si>
  <si>
    <t>Washoe Fuel Inc</t>
  </si>
  <si>
    <t>Western Central Petroleum</t>
  </si>
  <si>
    <t>Column Total</t>
  </si>
  <si>
    <t xml:space="preserve">TOTAL </t>
  </si>
  <si>
    <t>Plus Gasohol</t>
  </si>
  <si>
    <t xml:space="preserve">Option </t>
  </si>
  <si>
    <t xml:space="preserve">1 Cent </t>
  </si>
  <si>
    <t>Avgas -- S6A</t>
  </si>
  <si>
    <t>Figure -- tape</t>
  </si>
  <si>
    <t>S1 Over/(Under)</t>
  </si>
  <si>
    <t>/FS~R</t>
  </si>
  <si>
    <t>DEALERS REPORTING NO TAXABLE GALLONAGE</t>
  </si>
  <si>
    <t xml:space="preserve"> </t>
  </si>
  <si>
    <t>Supreme Oil Company</t>
  </si>
  <si>
    <t>United Oil</t>
  </si>
  <si>
    <t>SCHEDULE 2</t>
  </si>
  <si>
    <t xml:space="preserve">    </t>
  </si>
  <si>
    <t>MOTOR VEHICLE FUEL TAX COLLECTION AND DISTRIBUTION</t>
  </si>
  <si>
    <t>1 - 9  CENT  COUNTY  OPTION  TAX  (NRS 373)</t>
  </si>
  <si>
    <t>9¢</t>
  </si>
  <si>
    <t>4¢</t>
  </si>
  <si>
    <t>Brico of Idaho, Inc.</t>
  </si>
  <si>
    <t>Chris's Service, Inc.</t>
  </si>
  <si>
    <t>Circle K Stores, Inc.</t>
  </si>
  <si>
    <t>Flying J, Inc.</t>
  </si>
  <si>
    <t>Haycock Distributing Co.</t>
  </si>
  <si>
    <t>Herbst Oil Co.</t>
  </si>
  <si>
    <t>Phoenix Fuel Co., Inc.</t>
  </si>
  <si>
    <t>Reed Distributing, Inc.</t>
  </si>
  <si>
    <t>SCHEDULE 2A</t>
  </si>
  <si>
    <t>1 CENT COUNTY TAX (NRS 365.192)</t>
  </si>
  <si>
    <t xml:space="preserve">1¢   </t>
  </si>
  <si>
    <t>Rebel Oil Co., Inc.</t>
  </si>
  <si>
    <t>River City Petroleum</t>
  </si>
  <si>
    <t>Sevier Valley Oil Co, Inc</t>
  </si>
  <si>
    <t>check figure</t>
  </si>
  <si>
    <t>SCHEDULE 3</t>
  </si>
  <si>
    <t>Page 1</t>
  </si>
  <si>
    <t>Page 4</t>
  </si>
  <si>
    <t>1.75 CENT STATE TAX (COUNTY ALLOCATION)</t>
  </si>
  <si>
    <t>RECAP -- TOTAL TAX TO COUNTIES</t>
  </si>
  <si>
    <t>Total</t>
  </si>
  <si>
    <t xml:space="preserve">PERCENT </t>
  </si>
  <si>
    <t xml:space="preserve">1.75 CENTS LESS </t>
  </si>
  <si>
    <t xml:space="preserve">LESS </t>
  </si>
  <si>
    <t>COUNTY OPTION</t>
  </si>
  <si>
    <t xml:space="preserve">COUNTY </t>
  </si>
  <si>
    <t xml:space="preserve">NET TO </t>
  </si>
  <si>
    <t xml:space="preserve">GALLONS </t>
  </si>
  <si>
    <t xml:space="preserve">OF TOTAL </t>
  </si>
  <si>
    <t xml:space="preserve">ADMINISTRATION </t>
  </si>
  <si>
    <t xml:space="preserve">REFUNDS </t>
  </si>
  <si>
    <t xml:space="preserve">1.75 TAX </t>
  </si>
  <si>
    <t>1.75 TAX</t>
  </si>
  <si>
    <t>1.25 TAX</t>
  </si>
  <si>
    <t>2.35 TAX</t>
  </si>
  <si>
    <t xml:space="preserve">5.35 TAX </t>
  </si>
  <si>
    <t>1 - 9  CENTS</t>
  </si>
  <si>
    <t xml:space="preserve">1 CENT </t>
  </si>
  <si>
    <t xml:space="preserve">COUNTIES 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</si>
  <si>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</si>
  <si>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</si>
  <si>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</si>
  <si>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</si>
  <si>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</si>
  <si>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</si>
  <si>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</si>
  <si>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</si>
  <si>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</si>
  <si>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</si>
  <si>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</si>
  <si>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</si>
  <si>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</si>
  <si>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</si>
  <si>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</si>
  <si>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</si>
  <si>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</si>
  <si>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LESS</t>
  </si>
  <si>
    <t xml:space="preserve">1.25 CENTS LESS </t>
  </si>
  <si>
    <t>DISTRIBUTION</t>
  </si>
  <si>
    <t>ADMINISTRATION</t>
  </si>
  <si>
    <t xml:space="preserve">1.25 TAX </t>
  </si>
  <si>
    <t>Page 3</t>
  </si>
  <si>
    <t xml:space="preserve">2.35 CENTS LESS </t>
  </si>
  <si>
    <t xml:space="preserve">2.35 TAX </t>
  </si>
  <si>
    <t>SCHEDULE 4</t>
  </si>
  <si>
    <t>TOTAL TAX RECEIPTS RECAP - GROSS TO NET</t>
  </si>
  <si>
    <t xml:space="preserve">LESS WILDLIFE </t>
  </si>
  <si>
    <t xml:space="preserve">LESS CIVIL </t>
  </si>
  <si>
    <t xml:space="preserve">GROSS TAX </t>
  </si>
  <si>
    <t xml:space="preserve"> AND PARKS </t>
  </si>
  <si>
    <t xml:space="preserve"> REFUNDS </t>
  </si>
  <si>
    <t xml:space="preserve">AIR PATROL </t>
  </si>
  <si>
    <t xml:space="preserve">ADMIN FEES </t>
  </si>
  <si>
    <t xml:space="preserve">NET TAX </t>
  </si>
  <si>
    <t>12.65¢ Gasoline-Highway</t>
  </si>
  <si>
    <t>5¢ Gasoline-Highway</t>
  </si>
  <si>
    <t>5.35¢ County</t>
  </si>
  <si>
    <t>1¢ Jet Fuel</t>
  </si>
  <si>
    <t>2¢ Jet Fuel Clark Co</t>
  </si>
  <si>
    <t>Carson City 9¢</t>
  </si>
  <si>
    <t>Carson City 1¢</t>
  </si>
  <si>
    <t>Churchill 1¢</t>
  </si>
  <si>
    <t>Clark 9¢</t>
  </si>
  <si>
    <t>Clark 1¢</t>
  </si>
  <si>
    <t>Douglas 4¢</t>
  </si>
  <si>
    <t>Douglas 1¢</t>
  </si>
  <si>
    <t>Elko 4¢</t>
  </si>
  <si>
    <t>Elko 1¢</t>
  </si>
  <si>
    <t>Esmeralda 4¢</t>
  </si>
  <si>
    <t>Esmeralda 1¢</t>
  </si>
  <si>
    <t>Eureka 4¢</t>
  </si>
  <si>
    <t>Eureka 1¢</t>
  </si>
  <si>
    <t>Humboldt 1¢</t>
  </si>
  <si>
    <t>Lander 4¢</t>
  </si>
  <si>
    <t>Lander 1¢</t>
  </si>
  <si>
    <t>Lincoln 4¢</t>
  </si>
  <si>
    <t>Lincoln 1¢</t>
  </si>
  <si>
    <t>Lyon 9¢</t>
  </si>
  <si>
    <t>Lyon 1¢</t>
  </si>
  <si>
    <t>Mineral 9¢</t>
  </si>
  <si>
    <t>Mineral 1¢</t>
  </si>
  <si>
    <t>Nye 4¢</t>
  </si>
  <si>
    <t>Nye 1¢</t>
  </si>
  <si>
    <t>Pershing 9¢</t>
  </si>
  <si>
    <t>Pershing 1¢</t>
  </si>
  <si>
    <t>Storey 4¢</t>
  </si>
  <si>
    <t>Storey 1¢</t>
  </si>
  <si>
    <t>Washoe 9¢</t>
  </si>
  <si>
    <t>Washoe 1¢</t>
  </si>
  <si>
    <t>White Pine 1¢</t>
  </si>
  <si>
    <t>Cleanup Fee</t>
  </si>
  <si>
    <t>Inspection Fee</t>
  </si>
  <si>
    <t>SCHEDULE 5</t>
  </si>
  <si>
    <t>JET FUEL</t>
  </si>
  <si>
    <t>(NRS 365.170)</t>
  </si>
  <si>
    <t xml:space="preserve">CLARK </t>
  </si>
  <si>
    <t xml:space="preserve">JET TAX </t>
  </si>
  <si>
    <t xml:space="preserve">GALLONAGE </t>
  </si>
  <si>
    <t xml:space="preserve">2 CENTS </t>
  </si>
  <si>
    <t>Air Petro Corp.</t>
  </si>
  <si>
    <t>America West Airlines, Inc.</t>
  </si>
  <si>
    <t>Avfuel Corporation</t>
  </si>
  <si>
    <t>Chevron, U.S.A.</t>
  </si>
  <si>
    <t>Continental Airlines</t>
  </si>
  <si>
    <t>Delta Airlines</t>
  </si>
  <si>
    <t>Northwest Airlines</t>
  </si>
  <si>
    <t>Page Avjet Fuel Corp.</t>
  </si>
  <si>
    <t>Western Petroleum Co.</t>
  </si>
  <si>
    <t>World Fuel Services</t>
  </si>
  <si>
    <t>Total 1 cent and 2 cent</t>
  </si>
  <si>
    <t>Total from tape</t>
  </si>
  <si>
    <t>Tape is over/(under)</t>
  </si>
  <si>
    <t>SCHEDULE 5A</t>
  </si>
  <si>
    <t>JET FUEL DISTRIBUTION</t>
  </si>
  <si>
    <t>CARSON</t>
  </si>
  <si>
    <t>WHITE</t>
  </si>
  <si>
    <t>PRIOR MONTHS</t>
  </si>
  <si>
    <t>CITY</t>
  </si>
  <si>
    <t>PINE</t>
  </si>
  <si>
    <t>DISTRIBUTE</t>
  </si>
  <si>
    <t>G R A N D</t>
  </si>
  <si>
    <t xml:space="preserve">  1¢</t>
  </si>
  <si>
    <t>2¢</t>
  </si>
  <si>
    <t xml:space="preserve">2¢   </t>
  </si>
  <si>
    <t>GENERAL FUND</t>
  </si>
  <si>
    <t>T O T A L</t>
  </si>
  <si>
    <t>Boulder City AP</t>
  </si>
  <si>
    <t>Carson City AP</t>
  </si>
  <si>
    <t>Elko City AP</t>
  </si>
  <si>
    <t>Las Vegas Metro</t>
  </si>
  <si>
    <t>McCarran Intl AP</t>
  </si>
  <si>
    <t>Reno-Stead AP</t>
  </si>
  <si>
    <t>Reno Tahoe Intl AP</t>
  </si>
  <si>
    <t>TOTALS</t>
  </si>
  <si>
    <t>SCHEDULE  6</t>
  </si>
  <si>
    <t>AVIATION  FUEL  GALLONS</t>
  </si>
  <si>
    <t>AVIATION  FUEL  DISTRIBUTION</t>
  </si>
  <si>
    <t>Check</t>
  </si>
  <si>
    <t xml:space="preserve">FISCAL YEAR </t>
  </si>
  <si>
    <t>Figure</t>
  </si>
  <si>
    <t>AIR</t>
  </si>
  <si>
    <t xml:space="preserve">GROSS </t>
  </si>
  <si>
    <t xml:space="preserve">PERCENTAGE </t>
  </si>
  <si>
    <t>AV GAS</t>
  </si>
  <si>
    <t>PETRO</t>
  </si>
  <si>
    <t>AVFUEL</t>
  </si>
  <si>
    <t>CHEVRON</t>
  </si>
  <si>
    <t>C.A.P.</t>
  </si>
  <si>
    <t xml:space="preserve">TO DISTRIBUTE </t>
  </si>
  <si>
    <t xml:space="preserve">AMOUNT </t>
  </si>
  <si>
    <t>TAX FOR</t>
  </si>
  <si>
    <t xml:space="preserve">QUARTER </t>
  </si>
  <si>
    <t>CORP</t>
  </si>
  <si>
    <t>USA</t>
  </si>
  <si>
    <t>AVIATION</t>
  </si>
  <si>
    <t>PETROLEUM</t>
  </si>
  <si>
    <t xml:space="preserve">STATE TAX </t>
  </si>
  <si>
    <t xml:space="preserve">DEDUCTED </t>
  </si>
  <si>
    <t xml:space="preserve">DISTRIBUTION </t>
  </si>
  <si>
    <t>Payment Rec'd</t>
  </si>
  <si>
    <t>SCHEDULE 7</t>
  </si>
  <si>
    <t>PETROLEUM PRODUCTS DISCHARGE CLEANUP FEE</t>
  </si>
  <si>
    <t>PETROLEUM  PRODUCTS  INSPECTION  FEE</t>
  </si>
  <si>
    <t>CLEANUP</t>
  </si>
  <si>
    <t>INSPECTION</t>
  </si>
  <si>
    <t>GASOLINE GALLONS</t>
  </si>
  <si>
    <t>GASOHOL GALLONS</t>
  </si>
  <si>
    <t>AV-GAS GALLONS</t>
  </si>
  <si>
    <t>LUBE OIL</t>
  </si>
  <si>
    <t>DIESEL GALLONS</t>
  </si>
  <si>
    <t>HEATING OIL</t>
  </si>
  <si>
    <t>BLENDED GALLONS</t>
  </si>
  <si>
    <t>JET*</t>
  </si>
  <si>
    <t>NET</t>
  </si>
  <si>
    <t>FEE</t>
  </si>
  <si>
    <t>Excluding</t>
  </si>
  <si>
    <t xml:space="preserve"> .0075¢</t>
  </si>
  <si>
    <t>.00055¢</t>
  </si>
  <si>
    <t>IMPORTED</t>
  </si>
  <si>
    <t>EXPORTED</t>
  </si>
  <si>
    <t>Lube Oil</t>
  </si>
  <si>
    <t>Arizona Fuel Distributors L.L.C.</t>
  </si>
  <si>
    <t>Avfuel Corp.</t>
  </si>
  <si>
    <t>Canyon State Oil Co.</t>
  </si>
  <si>
    <t>Chevron U.S., Inc.</t>
  </si>
  <si>
    <t>Conrad &amp; Bischoff, Inc.</t>
  </si>
  <si>
    <t>Inter-State Oil Co.</t>
  </si>
  <si>
    <t>Jaco Oil Company</t>
  </si>
  <si>
    <t>Jenkins Oil Co., Inc.</t>
  </si>
  <si>
    <t>National Oil and Burner Co.</t>
  </si>
  <si>
    <t>Premium Oil Co.</t>
  </si>
  <si>
    <t>Sinclair Oil Corp.</t>
  </si>
  <si>
    <t>Sperry Oil Co.</t>
  </si>
  <si>
    <t>Texmo Oil Co.</t>
  </si>
  <si>
    <t>Tower Energy Group, Inc.</t>
  </si>
  <si>
    <t>Washoe Fuel, Inc.</t>
  </si>
  <si>
    <t>*  Special Cleanup Fee Accounts</t>
  </si>
  <si>
    <t>Figure from tape</t>
  </si>
  <si>
    <t>Difference</t>
  </si>
  <si>
    <t>STATE  OF  NEVADA</t>
  </si>
  <si>
    <t>12.65      GASOLINE / GASOHOL</t>
  </si>
  <si>
    <t xml:space="preserve"> 5.00       GASOLINE / GASOHOL</t>
  </si>
  <si>
    <t xml:space="preserve"> 5.35       GASOLINE / GASOHOL</t>
  </si>
  <si>
    <t xml:space="preserve">       </t>
  </si>
  <si>
    <t>1 - 9 CENTS COUNTY OPTION:</t>
  </si>
  <si>
    <t xml:space="preserve">               GASOLINE / GASOHOL</t>
  </si>
  <si>
    <t>1 CENT COUNTY:</t>
  </si>
  <si>
    <t>AVIATION  FUEL TAX</t>
  </si>
  <si>
    <t>JET  FUEL TAX</t>
  </si>
  <si>
    <t>CLEANUP  FEE</t>
  </si>
  <si>
    <t>INSPECTION  FEE</t>
  </si>
  <si>
    <t>TOTAL MONEY DEPOSITED TO STATE TREASURER:</t>
  </si>
  <si>
    <t>TOTAL  COUNTIES</t>
  </si>
  <si>
    <t>TOTAL  AIRPORTS</t>
  </si>
  <si>
    <t>TOTAL TO HIGHWAY:</t>
  </si>
  <si>
    <t xml:space="preserve">              GASOLINE / GASOHOL -- 12.65</t>
  </si>
  <si>
    <t xml:space="preserve">              GASOLINE / GASOHOL --   5.00</t>
  </si>
  <si>
    <t>JET  FUEL:</t>
  </si>
  <si>
    <t xml:space="preserve">             1 CENT</t>
  </si>
  <si>
    <t xml:space="preserve">             2 CENT -- CLARK</t>
  </si>
  <si>
    <t>TOTAL  ADMIN  FEES:</t>
  </si>
  <si>
    <t>CIVIL  AIR  PATROL</t>
  </si>
  <si>
    <t>TOTAL  REFUNDS</t>
  </si>
  <si>
    <t>WILDLIFE &amp; PARKS</t>
  </si>
  <si>
    <t xml:space="preserve">                               TOTAL  TO  BE  DISTRIBUTED:  </t>
  </si>
  <si>
    <t>2¢ Aviation Fuel</t>
  </si>
  <si>
    <t>1 - 8¢ Aviation Fuel Option</t>
  </si>
  <si>
    <t xml:space="preserve">2 CENTS BALANCE </t>
  </si>
  <si>
    <t>2 CENTS</t>
  </si>
  <si>
    <t xml:space="preserve">AV GAS </t>
  </si>
  <si>
    <t xml:space="preserve">TAX FOR </t>
  </si>
  <si>
    <t>AVIATION  FUEL TAX - COUNTY OPTION</t>
  </si>
  <si>
    <t>Alsaker Corporation</t>
  </si>
  <si>
    <t>Berry Hinckley Industries</t>
  </si>
  <si>
    <t>Equilon Enterprises LLC</t>
  </si>
  <si>
    <t>Foreland Refining Corp</t>
  </si>
  <si>
    <t>Brad Hall &amp; Associates</t>
  </si>
  <si>
    <t>Inter State Oil Company</t>
  </si>
  <si>
    <t>Pro Petroleum</t>
  </si>
  <si>
    <t>T A Operating Corp</t>
  </si>
  <si>
    <t>Eagle Aviation</t>
  </si>
  <si>
    <t>Herbst Oil Company</t>
  </si>
  <si>
    <t>Southwest Airlines Company</t>
  </si>
  <si>
    <t>SCHEDULE  6A</t>
  </si>
  <si>
    <t>Foreland Refining Corporation</t>
  </si>
  <si>
    <t>Holt Oil Products Company</t>
  </si>
  <si>
    <t>Pro Petroleum Inc.</t>
  </si>
  <si>
    <t>T A Operating Corporation</t>
  </si>
  <si>
    <t>Churchill 9¢</t>
  </si>
  <si>
    <t>Humboldt 9¢</t>
  </si>
  <si>
    <t>Win Oil Company Inc</t>
  </si>
  <si>
    <t>Berry Properties Inc</t>
  </si>
  <si>
    <t>Tesoro Northwest Company</t>
  </si>
  <si>
    <t>Future Petroleum Inc.</t>
  </si>
  <si>
    <t>Jackson Oil Inc.</t>
  </si>
  <si>
    <t>SIGNATURE</t>
  </si>
  <si>
    <t>FLGT SPT</t>
  </si>
  <si>
    <t>COUNTIES</t>
  </si>
  <si>
    <t>CITIES</t>
  </si>
  <si>
    <t>TOWNS</t>
  </si>
  <si>
    <t>AMOUNT TO BE DISTR</t>
  </si>
  <si>
    <t>PERCENTAGES</t>
  </si>
  <si>
    <t>Fallon</t>
  </si>
  <si>
    <t>Boulder City</t>
  </si>
  <si>
    <t>Henderson</t>
  </si>
  <si>
    <t>Las Vegas</t>
  </si>
  <si>
    <t>Mesquite</t>
  </si>
  <si>
    <t>North Las Vegas</t>
  </si>
  <si>
    <t>Carlin</t>
  </si>
  <si>
    <t>Wells</t>
  </si>
  <si>
    <t>West Wendover</t>
  </si>
  <si>
    <t>Winnemucca</t>
  </si>
  <si>
    <t>Kingston</t>
  </si>
  <si>
    <t>Caliente</t>
  </si>
  <si>
    <t>Yerington</t>
  </si>
  <si>
    <t>Fernley</t>
  </si>
  <si>
    <t>Pahrump</t>
  </si>
  <si>
    <t>Round Mountain</t>
  </si>
  <si>
    <t>Tonopah</t>
  </si>
  <si>
    <t>Lovelock</t>
  </si>
  <si>
    <t>Reno</t>
  </si>
  <si>
    <t>Sparks</t>
  </si>
  <si>
    <t>Ely</t>
  </si>
  <si>
    <t>Calculations for 1.25 Distribution</t>
  </si>
  <si>
    <t>Monthly Average (FY01)</t>
  </si>
  <si>
    <t>Monthly Actual(FY02)</t>
  </si>
  <si>
    <t>-Total REFUNDS</t>
  </si>
  <si>
    <t>Counties</t>
  </si>
  <si>
    <t>FY01 Distr %</t>
  </si>
  <si>
    <t>Refunds</t>
  </si>
  <si>
    <t>Totals</t>
  </si>
  <si>
    <t xml:space="preserve">MINERAL </t>
  </si>
  <si>
    <t>Use NDOT distribution formula</t>
  </si>
  <si>
    <t>Population</t>
  </si>
  <si>
    <t>% Population</t>
  </si>
  <si>
    <t>Road Miles</t>
  </si>
  <si>
    <t>% Road Miles</t>
  </si>
  <si>
    <t>Minus refunds</t>
  </si>
  <si>
    <t>Balance</t>
  </si>
  <si>
    <t>% recalculated as 100% of all overages</t>
  </si>
  <si>
    <t>Calculations for 2.35 Distribution</t>
  </si>
  <si>
    <t>Money to Distribute (without refunds)</t>
  </si>
  <si>
    <t>Money to distribute (without refunds)</t>
  </si>
  <si>
    <t>% recalc as 100% of all overages</t>
  </si>
  <si>
    <t>% OF TOTAL</t>
  </si>
  <si>
    <t>1.75 CENTS LESS ADMIN</t>
  </si>
  <si>
    <t>REFUNDS</t>
  </si>
  <si>
    <t>TOTAL 1.75 TAX</t>
  </si>
  <si>
    <t>SUBTOTAL</t>
  </si>
  <si>
    <t>SUMMARY OF 2.35 CENT STATE TAX (COUNTY ALLOCATION)</t>
  </si>
  <si>
    <t>DETAIL OF 2.35 CENT STATE TAX (COUNTY ALLOCATION)</t>
  </si>
  <si>
    <t>LESS REFUNDS</t>
  </si>
  <si>
    <t>2.35 CENTS LESS ADMIN FEES</t>
  </si>
  <si>
    <t>1.75 CENT STATE TAX ALLOCATION</t>
  </si>
  <si>
    <t>SCHEDULE 3C</t>
  </si>
  <si>
    <t>SCHEDULE 3A</t>
  </si>
  <si>
    <t>SCHEDULE 3B</t>
  </si>
  <si>
    <t>SCHEDULE 3D</t>
  </si>
  <si>
    <t>County Total</t>
  </si>
  <si>
    <t>Benchmark Resources</t>
  </si>
  <si>
    <t>Crawford Oil, Inc</t>
  </si>
  <si>
    <t>Exxon/Mobil Oil Corp</t>
  </si>
  <si>
    <t>Gem Stop</t>
  </si>
  <si>
    <t xml:space="preserve">Mansfield Oil Co </t>
  </si>
  <si>
    <t>Petro Stopping Center No.15</t>
  </si>
  <si>
    <t>Pilot Travel Centers LLC</t>
  </si>
  <si>
    <t>Pinnacle Petroleum</t>
  </si>
  <si>
    <t>Quik Stop Markets</t>
  </si>
  <si>
    <t>Smith's Fuel Centers</t>
  </si>
  <si>
    <t>Transmontaigne Product Srvc</t>
  </si>
  <si>
    <t>Truman Arnold Companies</t>
  </si>
  <si>
    <t>DEPARTMENT OF MOTOR VEHICLE - CARSON CITY, NEVADA</t>
  </si>
  <si>
    <t>DEPARTMENT OF MOTOR VEHICLE</t>
  </si>
  <si>
    <t>Berry Co</t>
  </si>
  <si>
    <t>Berry-Hinckley Ind</t>
  </si>
  <si>
    <t xml:space="preserve">BP Products </t>
  </si>
  <si>
    <t>CFJ Properties</t>
  </si>
  <si>
    <t>Cool Fuel</t>
  </si>
  <si>
    <t>Dats Trucking</t>
  </si>
  <si>
    <t>BP Products</t>
  </si>
  <si>
    <t>Brad Hall and Associates</t>
  </si>
  <si>
    <t xml:space="preserve">Dats Trucking </t>
  </si>
  <si>
    <t>BP Products Inc</t>
  </si>
  <si>
    <t>Crest Distributing</t>
  </si>
  <si>
    <t>Ed Staub and Sons</t>
  </si>
  <si>
    <t>Future Petroleum</t>
  </si>
  <si>
    <t>Pennzoil-Quaker State</t>
  </si>
  <si>
    <t>Reno Fuel</t>
  </si>
  <si>
    <t>Ron Menesini Petroleum</t>
  </si>
  <si>
    <t>Ron Menesini</t>
  </si>
  <si>
    <t>ExxonMobil Oil Corporation</t>
  </si>
  <si>
    <t>Mercury Air Group</t>
  </si>
  <si>
    <t>PHILLIPS</t>
  </si>
  <si>
    <t xml:space="preserve">Ed Staub and Sons Petro </t>
  </si>
  <si>
    <t>ExxonMobil Oil Corp.</t>
  </si>
  <si>
    <t>AGP Corn Processing</t>
  </si>
  <si>
    <t>No Return filed</t>
  </si>
  <si>
    <t>Bennett's &amp; Sons</t>
  </si>
  <si>
    <t>Bradco</t>
  </si>
  <si>
    <t>Cargill Inc</t>
  </si>
  <si>
    <t>Carver's Distributing</t>
  </si>
  <si>
    <t xml:space="preserve">Mike Roche </t>
  </si>
  <si>
    <t>Mobil Diesel Supply</t>
  </si>
  <si>
    <t>Morgan Stanley</t>
  </si>
  <si>
    <t>Ken Bettridge</t>
  </si>
  <si>
    <t>Southern Counties Oil</t>
  </si>
  <si>
    <t>Tesoro Northwest</t>
  </si>
  <si>
    <t>Ray Bell Oil Company</t>
  </si>
  <si>
    <t>Regent Marketing Company</t>
  </si>
  <si>
    <t>Snobird Inc</t>
  </si>
  <si>
    <t>Southwest Jet Fuel Co</t>
  </si>
  <si>
    <t>Tauber Oil Co</t>
  </si>
  <si>
    <t>Union Distributing Co</t>
  </si>
  <si>
    <t>United Aviation Fuels</t>
  </si>
  <si>
    <t>United Liquid Gas Co</t>
  </si>
  <si>
    <t>Westport Petroleum</t>
  </si>
  <si>
    <t>Woody's Enterprises</t>
  </si>
  <si>
    <t xml:space="preserve">World Energy Alternatives </t>
  </si>
  <si>
    <t>Nobel Americas Corp</t>
  </si>
  <si>
    <t>Paul Oil Co</t>
  </si>
  <si>
    <t>Arizona Fuel</t>
  </si>
  <si>
    <t>Brico of Idaho</t>
  </si>
  <si>
    <t xml:space="preserve">United Airlines </t>
  </si>
  <si>
    <t>United Airlines</t>
  </si>
  <si>
    <t>Win Oil Co</t>
  </si>
  <si>
    <t>Total 9¢ and 1¢</t>
  </si>
  <si>
    <t>Rhinehart Oil Co</t>
  </si>
  <si>
    <t xml:space="preserve">Equilon </t>
  </si>
  <si>
    <t>OOR</t>
  </si>
  <si>
    <t>*State/County gallons discrepancies as a result of reporting error by Petroleum Distributors.</t>
  </si>
  <si>
    <t>Fastrip Oil Company</t>
  </si>
  <si>
    <t>Fearless Farris Wholesale</t>
  </si>
  <si>
    <t>EXXON</t>
  </si>
  <si>
    <t>MOBIL OIL</t>
  </si>
  <si>
    <t>*</t>
  </si>
  <si>
    <t>Schwartz Oil Co</t>
  </si>
  <si>
    <t>United El Segundo</t>
  </si>
  <si>
    <t>* Denotes non-taxable activity</t>
  </si>
  <si>
    <t>Adjusting Eneries</t>
  </si>
  <si>
    <t xml:space="preserve">For the Month of </t>
  </si>
  <si>
    <t>MOTOR FUELS - CARSON CITY CO</t>
  </si>
  <si>
    <t>MOTOR FUELS - CHURCHILL CO</t>
  </si>
  <si>
    <t>MOTOR FUELS - CLARK CO</t>
  </si>
  <si>
    <t>MOTOR FUELS - DOUGLAS CO</t>
  </si>
  <si>
    <t>MOTOR FUELS - ELKO CO</t>
  </si>
  <si>
    <t>MOTOR FUELS - ESMERALDA CO</t>
  </si>
  <si>
    <t>MOTOR FUELS - EUREKA CO</t>
  </si>
  <si>
    <t>MOTOR FUELS - HUMBOLDT CO</t>
  </si>
  <si>
    <t>MOTOR FUELS - LANDER CO</t>
  </si>
  <si>
    <t>MOTOR FUELS - LINCOLN CO</t>
  </si>
  <si>
    <t>MOTOR FUELS - LYON CO</t>
  </si>
  <si>
    <t>MOTOR FUELS - MINERAL CO</t>
  </si>
  <si>
    <t>MOTOR FUELS - NYE CO</t>
  </si>
  <si>
    <t>MOTOR FUELS - PERSHING CO</t>
  </si>
  <si>
    <t>MOTOR FUELS - STOREY CO</t>
  </si>
  <si>
    <t>MOTOR FUELS - WASHOE CO</t>
  </si>
  <si>
    <t>MOTOR FUELS - WHITE PINE CO</t>
  </si>
  <si>
    <t>GAS TAX OPTION ADMINISTRATION</t>
  </si>
  <si>
    <t xml:space="preserve">    MONTH OF</t>
  </si>
  <si>
    <t>DEPARTMENT OF WILDLIFE</t>
  </si>
  <si>
    <t>MARINA/PARKS DEVELOP. GAS TAX</t>
  </si>
  <si>
    <t>TO RECORD DISTRIBUTION TO MARINA AND WILDLIFE FOR THE</t>
  </si>
  <si>
    <t>MOTOR FUELS-FALLON</t>
  </si>
  <si>
    <t>MOTOR FUELS-BOULDER CITY</t>
  </si>
  <si>
    <t>MOTOR FUELS-HENDERSON</t>
  </si>
  <si>
    <t>MOTOR FUELS-LAS VEGAS</t>
  </si>
  <si>
    <t>MOTOR FUELS-MESQUITE</t>
  </si>
  <si>
    <t>MOTOR FUELS-NORTH LAS VEGAS</t>
  </si>
  <si>
    <t>MOTOR FUELS-CARLIN</t>
  </si>
  <si>
    <t>MOTOR FUELS-CITY OF ELKO</t>
  </si>
  <si>
    <t>MOTOR FUELS-WELLS</t>
  </si>
  <si>
    <t>MOTOR FUELS-WEST WENDOVER</t>
  </si>
  <si>
    <t>MOTOR FUELS-WINNEMUCCA</t>
  </si>
  <si>
    <t>MOTOR FUELS-KINGSTON</t>
  </si>
  <si>
    <t>MOTOR FUELS-CALIENTE</t>
  </si>
  <si>
    <t>MOTOR FUELS-YERINGTON</t>
  </si>
  <si>
    <t>MOTOR FUELS-FERNLEY</t>
  </si>
  <si>
    <t>MOTOR FUELS-PAHRUMP</t>
  </si>
  <si>
    <t>MOTOR FUELS-TONOPAH</t>
  </si>
  <si>
    <t>MOTOR FUELS-LOVELOCK</t>
  </si>
  <si>
    <t>MOTOR FUELS-CITY OF RENO</t>
  </si>
  <si>
    <t>MOTOR FUELS-SPARKS</t>
  </si>
  <si>
    <t>MOTOR FUELS-ELY</t>
  </si>
  <si>
    <t>12.65 CENT GASOLINE-HIGHWAY</t>
  </si>
  <si>
    <t>5 CENT GASOLINE-HIGHWAY</t>
  </si>
  <si>
    <t>5.35 CENT COUNTY</t>
  </si>
  <si>
    <t>5.35 CENT</t>
  </si>
  <si>
    <t>REFUND</t>
  </si>
  <si>
    <t>ADJUST</t>
  </si>
  <si>
    <t>ADMIN</t>
  </si>
  <si>
    <t>Wildlife</t>
  </si>
  <si>
    <t>&amp; Marina</t>
  </si>
  <si>
    <t>JULY 2002</t>
  </si>
  <si>
    <t>Chevron Phillips Chemical</t>
  </si>
  <si>
    <t>Douglas County AP</t>
  </si>
  <si>
    <t>Winnemucca AP</t>
  </si>
  <si>
    <t>Tonopah AP</t>
  </si>
  <si>
    <t>Washoe Cnty Other</t>
  </si>
  <si>
    <t>Total Deposit</t>
  </si>
  <si>
    <t>Holding Acct</t>
  </si>
  <si>
    <t>Special Fuel</t>
  </si>
  <si>
    <t>OOR Total</t>
  </si>
  <si>
    <t>Itochu International</t>
  </si>
  <si>
    <t>Sinclair Oil Corp</t>
  </si>
  <si>
    <t>Tower Energy</t>
  </si>
  <si>
    <t>Valero Marketing</t>
  </si>
  <si>
    <t xml:space="preserve">WESTERN </t>
  </si>
  <si>
    <t>Petro-America Inc</t>
  </si>
  <si>
    <t>Lyon Cnty Other</t>
  </si>
  <si>
    <t>Clark Cnty Other</t>
  </si>
  <si>
    <t>RON</t>
  </si>
  <si>
    <t>MENESINI</t>
  </si>
  <si>
    <t>REFUNDS - MOTOR FUEL</t>
  </si>
  <si>
    <t>MOTOR FUELS-ROUND MOUNTAIN</t>
  </si>
  <si>
    <t>CK FIGURE</t>
  </si>
  <si>
    <t>Shell Trading</t>
  </si>
  <si>
    <t>Big Sky Fuel Inc.</t>
  </si>
  <si>
    <t xml:space="preserve">Mercfuel Inc </t>
  </si>
  <si>
    <t>Sapp Brothers Truck Stops</t>
  </si>
  <si>
    <t>Epic Aviation LLC</t>
  </si>
  <si>
    <t>EPIC</t>
  </si>
  <si>
    <t>DIESEL</t>
  </si>
  <si>
    <t>CNG</t>
  </si>
  <si>
    <t>A-55</t>
  </si>
  <si>
    <t>LPG</t>
  </si>
  <si>
    <t>DYED DIESEL</t>
  </si>
  <si>
    <t>19¢</t>
  </si>
  <si>
    <t>27¢</t>
  </si>
  <si>
    <t xml:space="preserve"> 22¢</t>
  </si>
  <si>
    <t>21¢</t>
  </si>
  <si>
    <t>OOR'S</t>
  </si>
  <si>
    <t>Net Tax Rates</t>
  </si>
  <si>
    <t>SUPPLIER</t>
  </si>
  <si>
    <t>RECEIVED</t>
  </si>
  <si>
    <t>DISTRIBUTED</t>
  </si>
  <si>
    <t>Battle Mountain Band</t>
  </si>
  <si>
    <t>ConocoPhillips</t>
  </si>
  <si>
    <t>Flying J Inc</t>
  </si>
  <si>
    <t>Nevada Petroleum</t>
  </si>
  <si>
    <t>Pyramid Lake Paiute</t>
  </si>
  <si>
    <t>American Airlines</t>
  </si>
  <si>
    <t>Pacific Fuel Trading</t>
  </si>
  <si>
    <t>CONOCO-</t>
  </si>
  <si>
    <t>Air Petro</t>
  </si>
  <si>
    <t>Citgo Petroleum</t>
  </si>
  <si>
    <t>CL Bryant</t>
  </si>
  <si>
    <t>ConocoPhillips.</t>
  </si>
  <si>
    <t>Mercy Air</t>
  </si>
  <si>
    <t>Terry Oil</t>
  </si>
  <si>
    <t>Avefuel</t>
  </si>
  <si>
    <t>Battle Mountain</t>
  </si>
  <si>
    <t>Beneto</t>
  </si>
  <si>
    <t>Flying J</t>
  </si>
  <si>
    <t>Nella Oil</t>
  </si>
  <si>
    <t>Nevada Yellow Cab</t>
  </si>
  <si>
    <t>Rhinehart Oil</t>
  </si>
  <si>
    <t>GN Renn</t>
  </si>
  <si>
    <t xml:space="preserve">Green River Development </t>
  </si>
  <si>
    <t>Hallum Inc</t>
  </si>
  <si>
    <t>Ramos Strong</t>
  </si>
  <si>
    <t>Tauber Petrochemical</t>
  </si>
  <si>
    <t>Wes Pac</t>
  </si>
  <si>
    <t xml:space="preserve">Western Refining Co. </t>
  </si>
  <si>
    <t>SCHEDULE 8</t>
  </si>
  <si>
    <t>Ck figure for IF (gal * .00055)</t>
  </si>
  <si>
    <t>Ck figure for CF (gal * .0075)</t>
  </si>
  <si>
    <t>calc'd</t>
  </si>
  <si>
    <t>diff col vs calc'd</t>
  </si>
  <si>
    <t>White Pine 9¢</t>
  </si>
  <si>
    <t>Cardwell Distributing</t>
  </si>
  <si>
    <t>Simon's Petroleum</t>
  </si>
  <si>
    <t>If actuals are smaller, use FY03 percentages to distribute FY04 money</t>
  </si>
  <si>
    <t>FY03 Distr %</t>
  </si>
  <si>
    <t>FY04 Money</t>
  </si>
  <si>
    <t>If FY04 actuals are larger than the FY03 average, distribution is done using the table below</t>
  </si>
  <si>
    <t>NDOT FY04 (2/3 of % population &amp; 1/3  of % of road miles)</t>
  </si>
  <si>
    <t>% applied to FY04 actuals</t>
  </si>
  <si>
    <t>Compare to FY03 averages</t>
  </si>
  <si>
    <t>Calculation based on Average Monthly FY03 Allocation</t>
  </si>
  <si>
    <t>Counties with positive figures received more via FY04 calc than FY03</t>
  </si>
  <si>
    <t>Diff between FY03 Avg and FY04 Actual</t>
  </si>
  <si>
    <t>Monthly Average (FY03)</t>
  </si>
  <si>
    <t>Monthly Actual(FY04)</t>
  </si>
  <si>
    <t>If FY04actuals are larger than the FY03 average, distribution is done using the table below</t>
  </si>
  <si>
    <t>Population by Incorporated City</t>
  </si>
  <si>
    <t>% Population by Incorporated City</t>
  </si>
  <si>
    <t>No Las Vegas</t>
  </si>
  <si>
    <t>W Wendover</t>
  </si>
  <si>
    <t>Detail 1 Cent State Tax County Allocation AB516</t>
  </si>
  <si>
    <t>1 Cent County Tax</t>
  </si>
  <si>
    <t>Incorporated City PERCENTAGES</t>
  </si>
  <si>
    <t>.4206¢</t>
  </si>
  <si>
    <t>CP INDEX</t>
  </si>
  <si>
    <t>CPI</t>
  </si>
  <si>
    <t>CPI RATE</t>
  </si>
  <si>
    <t>2% DISCOUNT</t>
  </si>
  <si>
    <t>NET CPI</t>
  </si>
  <si>
    <t>3962 Check</t>
  </si>
  <si>
    <t>3962 CPI Total</t>
  </si>
  <si>
    <t>Subtotal MF Refunds only</t>
  </si>
  <si>
    <t xml:space="preserve">County CP Index .004206 </t>
  </si>
  <si>
    <t>COUNTY CP INDEX</t>
  </si>
  <si>
    <t>COUNTY TAX RATES (NET)</t>
  </si>
  <si>
    <t>TOTAL COUNTY</t>
  </si>
  <si>
    <t>OPTION TAX</t>
  </si>
  <si>
    <t>REVISION PURSUANT TO AB 516</t>
  </si>
  <si>
    <t>Actual Higher than FY 03 Average</t>
  </si>
  <si>
    <t>Percentage of Total</t>
  </si>
  <si>
    <t>FY 03 Average Higher than Actual</t>
  </si>
  <si>
    <t>Distribution of Excess Revenue</t>
  </si>
  <si>
    <t>Total Distribution Per AB 516</t>
  </si>
  <si>
    <t>Difference between old calculations and corrected calcs.</t>
  </si>
  <si>
    <t>CPI Multiplier</t>
  </si>
  <si>
    <t>Recap-Washoe County Indexing Chart</t>
  </si>
  <si>
    <t>WASHOE INDEX</t>
  </si>
  <si>
    <t>Reno Index</t>
  </si>
  <si>
    <t>Sparks Index</t>
  </si>
  <si>
    <t>WC Index Total</t>
  </si>
  <si>
    <t>Gross Tax Rates</t>
  </si>
  <si>
    <t>Rate of CPI Tax</t>
  </si>
  <si>
    <t>% of CPI Tax</t>
  </si>
  <si>
    <t>Total CPI Collected</t>
  </si>
  <si>
    <t>% of CPI Due</t>
  </si>
  <si>
    <t>5.35 Total</t>
  </si>
  <si>
    <t>15.35 Total</t>
  </si>
  <si>
    <t>CPI Index</t>
  </si>
  <si>
    <t>TOTAL W/CPI</t>
  </si>
  <si>
    <t>difference</t>
  </si>
  <si>
    <t>Special Fuel Refunds</t>
  </si>
  <si>
    <t>JUNE 2004</t>
  </si>
  <si>
    <t>Beneto Inc</t>
  </si>
  <si>
    <t>Carvers Distributing</t>
  </si>
  <si>
    <t>CL Bryant Inc</t>
  </si>
  <si>
    <t>Penn Octane Corp</t>
  </si>
  <si>
    <t>El Aero Services</t>
  </si>
  <si>
    <t>Eureka Fuel Co</t>
  </si>
  <si>
    <t>Manuel Barcellos Inc</t>
  </si>
  <si>
    <t>due to Battle Mtn</t>
  </si>
  <si>
    <t>Sunoco, Inc</t>
  </si>
  <si>
    <t>Trejo Oil Company</t>
  </si>
  <si>
    <t>Musket Corp</t>
  </si>
  <si>
    <t>Sierra Tabacco</t>
  </si>
  <si>
    <t>Simons Petroleum Inc</t>
  </si>
  <si>
    <t>Henderson AP</t>
  </si>
  <si>
    <t>Bay Area Diablo</t>
  </si>
  <si>
    <t>Duck Valley Reservation</t>
  </si>
  <si>
    <t>Elko off 9.84 due to</t>
  </si>
  <si>
    <t>Petro Stopping Center</t>
  </si>
  <si>
    <t>White Pine Other</t>
  </si>
  <si>
    <t>Washoe Fuel</t>
  </si>
  <si>
    <t>City of Mesquite AP</t>
  </si>
  <si>
    <t>Hawthorne AP</t>
  </si>
  <si>
    <t>Falcon Fuels Inc</t>
  </si>
  <si>
    <t>Mieco Inc</t>
  </si>
  <si>
    <t>Yelland Field AP</t>
  </si>
  <si>
    <t>Clean Fuel Technology</t>
  </si>
  <si>
    <t>Fallon AP</t>
  </si>
  <si>
    <t>Moapa Band of Paiutes</t>
  </si>
  <si>
    <t>Ely Shoshone Tribe</t>
  </si>
  <si>
    <t>Mercury Air Group Inc</t>
  </si>
  <si>
    <t xml:space="preserve">White Pine is off 559.75 </t>
  </si>
  <si>
    <t>due to Ely Shoshone</t>
  </si>
  <si>
    <t>Lander Co off 2004.72</t>
  </si>
  <si>
    <t>Clark is off 423.17</t>
  </si>
  <si>
    <t>due to Moapa Band</t>
  </si>
  <si>
    <t>Duke Energy</t>
  </si>
  <si>
    <t>Aircraft Services International</t>
  </si>
  <si>
    <t>Washoe is off by 621.32</t>
  </si>
  <si>
    <t>due to Pyramid Lake</t>
  </si>
  <si>
    <t>Dial Oil</t>
  </si>
  <si>
    <t>Alasker Corporation 4-04 AM</t>
  </si>
  <si>
    <t>Alasker Corporation 5-04 AM</t>
  </si>
  <si>
    <t>Alsaker Corporation 4-04 AM</t>
  </si>
  <si>
    <t>Alsaker Corporation 5-04 AM</t>
  </si>
  <si>
    <t>Chevron USA 4-04 AM</t>
  </si>
  <si>
    <t>Chris's Service Inc Adj</t>
  </si>
  <si>
    <t>Arizona Fuel Adj</t>
  </si>
  <si>
    <t>Foreland Refining Corp Adj</t>
  </si>
  <si>
    <t>Inter State Oil Company Adj</t>
  </si>
  <si>
    <t>Nella Oil Adj</t>
  </si>
  <si>
    <t>Norcross Service Adj</t>
  </si>
  <si>
    <t>Trejo Oil Company Adj</t>
  </si>
  <si>
    <t>El Aero Services Adj</t>
  </si>
  <si>
    <t>Epic Aviation LLC Adj</t>
  </si>
  <si>
    <t>Eureka Fuel Co Adj</t>
  </si>
  <si>
    <t>Native Nations and Walker River Paiute</t>
  </si>
  <si>
    <t>Cottams Oil</t>
  </si>
  <si>
    <t>GN Renn Inc</t>
  </si>
  <si>
    <t>Petro America Inc</t>
  </si>
  <si>
    <t>Premium Oil Co</t>
  </si>
  <si>
    <t>Native Nations Susanville 6-04</t>
  </si>
  <si>
    <t>Native Nations Moore 6-04</t>
  </si>
  <si>
    <t>Native Nations Moore 5-04</t>
  </si>
  <si>
    <t>Native Nations Bishop 5-04</t>
  </si>
  <si>
    <t>Native Nations 6-04</t>
  </si>
  <si>
    <t>Walker River Paiute 5-04</t>
  </si>
  <si>
    <t>Walker River Paiute 6-04</t>
  </si>
  <si>
    <t>Eastern Aviation Fuels of NC</t>
  </si>
  <si>
    <t>Elite Transport Corp</t>
  </si>
  <si>
    <t>Holly Refining &amp; Marketing Co</t>
  </si>
  <si>
    <t>Inyo Crude Inc</t>
  </si>
  <si>
    <t>Koch Supply &amp; Trading LP</t>
  </si>
  <si>
    <t>Smith's Fuel Centers 5-04 AM</t>
  </si>
  <si>
    <t>Flying J 1-04 Audit Rev</t>
  </si>
  <si>
    <t>Penalty and Interest</t>
  </si>
  <si>
    <t>Haycock Dist 1-04 Audit Rev</t>
  </si>
  <si>
    <t>Team Fuel Audit 8-01 to 11-01</t>
  </si>
  <si>
    <t>United Airlines Audit 5-03</t>
  </si>
  <si>
    <t>Ed Staub &amp; Sons Petroleum</t>
  </si>
  <si>
    <t>Tri Valley Dist Audit P &amp; I</t>
  </si>
  <si>
    <t xml:space="preserve">Clean up fee is off $6489.97 </t>
  </si>
  <si>
    <t>due to the 3903 refunds</t>
  </si>
  <si>
    <t>Audits</t>
  </si>
  <si>
    <t>Haycock 1-04 Audit Rev</t>
  </si>
  <si>
    <t xml:space="preserve">Team Fuel 11-01 to 8-02 </t>
  </si>
  <si>
    <t>Tri Valley 2-99 to 11-01 Rev</t>
  </si>
  <si>
    <t xml:space="preserve">Total </t>
  </si>
  <si>
    <t>Petroleum Wholesale LP</t>
  </si>
  <si>
    <t>Cleanup Fee Refunds - 3998</t>
  </si>
  <si>
    <t>NEVADA DEPARTMENT OF MOTOR VEHICLES</t>
  </si>
  <si>
    <t>Tri Valley True Up Adj</t>
  </si>
  <si>
    <t>True Up Adjustments</t>
  </si>
  <si>
    <t>Tri Valley - Over distribution</t>
  </si>
  <si>
    <t>Mercury Air Group - Refunded on 5-04 Dist. From 3590</t>
  </si>
  <si>
    <t>Interstate Oil - Refunded on 5-04 Dist. From 3590</t>
  </si>
  <si>
    <t>SB577</t>
  </si>
  <si>
    <t>ADJ</t>
  </si>
  <si>
    <t>FOURTH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</si>
</sst>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  <numFmt numFmtId="166" formatCode=";;;"/>
    <numFmt numFmtId="167" formatCode="0.000%"/>
    <numFmt numFmtId="181" formatCode="0.0000000%"/>
    <numFmt numFmtId="186" formatCode="mmmm\ yyyy"/>
    <numFmt numFmtId="187" formatCode="_(* #,##0_);_(* \(#,##0\);_(* &quot;-&quot;??_);_(@_)"/>
    <numFmt numFmtId="191" formatCode="0.0000000"/>
    <numFmt numFmtId="210" formatCode="0.00_);[Red]\(0.00\)"/>
    <numFmt numFmtId="211" formatCode="_(&quot;$&quot;* #,##0.00_);_(&quot;$&quot;* \(#,##0.00\);_(&quot;$&quot;* &quot;-&quot;_);_(@_)"/>
  </numFmts>
  <fonts count="37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Courier"/>
    </font>
    <font>
      <sz val="10"/>
      <name val="Arial"/>
      <family val="2"/>
    </font>
    <font>
      <sz val="12"/>
      <name val="Arial"/>
      <family val="2"/>
    </font>
    <font>
      <b/>
      <sz val="12"/>
      <name val="Arial"/>
    </font>
    <font>
      <b/>
      <sz val="12"/>
      <color indexed="12"/>
      <name val="Courier"/>
    </font>
    <font>
      <u/>
      <sz val="12"/>
      <name val="Arial"/>
      <family val="2"/>
    </font>
    <font>
      <u/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7"/>
      <name val="Arial"/>
    </font>
    <font>
      <sz val="10"/>
      <color indexed="12"/>
      <name val="Arial"/>
    </font>
    <font>
      <sz val="10"/>
      <color indexed="20"/>
      <name val="Arial"/>
    </font>
    <font>
      <b/>
      <sz val="10"/>
      <color indexed="17"/>
      <name val="Arial"/>
    </font>
    <font>
      <b/>
      <sz val="10"/>
      <color indexed="12"/>
      <name val="Arial"/>
    </font>
    <font>
      <b/>
      <sz val="10"/>
      <color indexed="20"/>
      <name val="Arial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06">
    <xf numFmtId="0" fontId="0" fillId="0" borderId="0" xfId="0"/>
    <xf numFmtId="0" fontId="0" fillId="0" borderId="0" xfId="0" applyProtection="1"/>
    <xf numFmtId="39" fontId="0" fillId="0" borderId="0" xfId="0" applyNumberFormat="1" applyProtection="1"/>
    <xf numFmtId="49" fontId="0" fillId="0" borderId="0" xfId="0" applyNumberFormat="1" applyProtection="1"/>
    <xf numFmtId="0" fontId="0" fillId="0" borderId="0" xfId="0" applyAlignment="1" applyProtection="1">
      <alignment horizontal="fill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37" fontId="0" fillId="0" borderId="0" xfId="0" applyNumberFormat="1" applyProtection="1"/>
    <xf numFmtId="2" fontId="0" fillId="0" borderId="0" xfId="0" applyNumberFormat="1"/>
    <xf numFmtId="7" fontId="0" fillId="0" borderId="0" xfId="0" applyNumberFormat="1" applyProtection="1"/>
    <xf numFmtId="0" fontId="0" fillId="0" borderId="0" xfId="0" applyBorder="1" applyProtection="1"/>
    <xf numFmtId="39" fontId="0" fillId="0" borderId="0" xfId="0" applyNumberFormat="1"/>
    <xf numFmtId="39" fontId="3" fillId="0" borderId="0" xfId="0" applyNumberFormat="1" applyFont="1" applyProtection="1">
      <protection locked="0"/>
    </xf>
    <xf numFmtId="165" fontId="0" fillId="0" borderId="0" xfId="0" applyNumberFormat="1" applyProtection="1"/>
    <xf numFmtId="10" fontId="0" fillId="0" borderId="0" xfId="0" applyNumberFormat="1" applyProtection="1"/>
    <xf numFmtId="166" fontId="0" fillId="0" borderId="0" xfId="0" applyNumberFormat="1" applyProtection="1"/>
    <xf numFmtId="0" fontId="0" fillId="0" borderId="0" xfId="0" applyAlignment="1" applyProtection="1">
      <alignment horizontal="left"/>
    </xf>
    <xf numFmtId="44" fontId="0" fillId="0" borderId="0" xfId="2" applyFont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/>
    <xf numFmtId="0" fontId="1" fillId="0" borderId="0" xfId="0" applyFont="1" applyProtection="1"/>
    <xf numFmtId="37" fontId="1" fillId="0" borderId="0" xfId="0" quotePrefix="1" applyNumberFormat="1" applyFont="1" applyAlignment="1" applyProtection="1">
      <alignment horizontal="right"/>
    </xf>
    <xf numFmtId="37" fontId="1" fillId="0" borderId="0" xfId="0" applyNumberFormat="1" applyFont="1" applyAlignment="1" applyProtection="1">
      <alignment horizontal="right"/>
    </xf>
    <xf numFmtId="0" fontId="0" fillId="0" borderId="0" xfId="0" applyAlignment="1">
      <alignment horizontal="right"/>
    </xf>
    <xf numFmtId="7" fontId="0" fillId="0" borderId="0" xfId="0" applyNumberFormat="1"/>
    <xf numFmtId="0" fontId="2" fillId="0" borderId="0" xfId="0" applyFont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right"/>
    </xf>
    <xf numFmtId="0" fontId="0" fillId="0" borderId="0" xfId="0" applyAlignment="1">
      <alignment horizontal="center"/>
    </xf>
    <xf numFmtId="181" fontId="0" fillId="0" borderId="0" xfId="0" applyNumberFormat="1" applyProtection="1"/>
    <xf numFmtId="165" fontId="0" fillId="0" borderId="0" xfId="4" applyNumberFormat="1" applyFont="1" applyProtection="1"/>
    <xf numFmtId="37" fontId="0" fillId="0" borderId="1" xfId="0" applyNumberFormat="1" applyBorder="1" applyProtection="1"/>
    <xf numFmtId="39" fontId="0" fillId="0" borderId="1" xfId="0" applyNumberFormat="1" applyBorder="1" applyProtection="1"/>
    <xf numFmtId="37" fontId="0" fillId="0" borderId="2" xfId="0" applyNumberFormat="1" applyBorder="1" applyProtection="1"/>
    <xf numFmtId="0" fontId="0" fillId="0" borderId="2" xfId="0" applyBorder="1" applyProtection="1"/>
    <xf numFmtId="39" fontId="0" fillId="0" borderId="2" xfId="0" applyNumberFormat="1" applyBorder="1" applyProtection="1"/>
    <xf numFmtId="37" fontId="0" fillId="0" borderId="3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165" fontId="0" fillId="0" borderId="2" xfId="0" applyNumberFormat="1" applyBorder="1" applyProtection="1"/>
    <xf numFmtId="0" fontId="0" fillId="0" borderId="0" xfId="0" applyAlignment="1" applyProtection="1">
      <alignment horizontal="centerContinuous"/>
    </xf>
    <xf numFmtId="0" fontId="0" fillId="0" borderId="0" xfId="0" applyAlignment="1">
      <alignment horizontal="centerContinuous"/>
    </xf>
    <xf numFmtId="43" fontId="0" fillId="0" borderId="1" xfId="1" applyFont="1" applyBorder="1"/>
    <xf numFmtId="44" fontId="0" fillId="0" borderId="1" xfId="2" applyFont="1" applyBorder="1"/>
    <xf numFmtId="7" fontId="0" fillId="0" borderId="3" xfId="0" applyNumberFormat="1" applyBorder="1" applyProtection="1"/>
    <xf numFmtId="167" fontId="0" fillId="0" borderId="3" xfId="0" applyNumberFormat="1" applyBorder="1" applyProtection="1"/>
    <xf numFmtId="166" fontId="0" fillId="0" borderId="1" xfId="0" applyNumberFormat="1" applyBorder="1" applyProtection="1"/>
    <xf numFmtId="165" fontId="0" fillId="0" borderId="1" xfId="4" applyNumberFormat="1" applyFont="1" applyBorder="1" applyProtection="1"/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4" xfId="0" applyBorder="1" applyProtection="1"/>
    <xf numFmtId="0" fontId="0" fillId="0" borderId="5" xfId="0" applyBorder="1" applyAlignment="1" applyProtection="1">
      <alignment horizontal="right"/>
    </xf>
    <xf numFmtId="0" fontId="0" fillId="0" borderId="5" xfId="0" applyBorder="1" applyAlignment="1" applyProtection="1">
      <alignment horizontal="left"/>
    </xf>
    <xf numFmtId="0" fontId="0" fillId="0" borderId="5" xfId="0" applyBorder="1" applyProtection="1"/>
    <xf numFmtId="0" fontId="0" fillId="0" borderId="6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Protection="1"/>
    <xf numFmtId="37" fontId="0" fillId="0" borderId="8" xfId="0" applyNumberFormat="1" applyBorder="1" applyProtection="1"/>
    <xf numFmtId="0" fontId="0" fillId="0" borderId="1" xfId="0" applyBorder="1" applyAlignment="1">
      <alignment horizontal="right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quotePrefix="1" applyFont="1" applyProtection="1">
      <protection locked="0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 applyProtection="1">
      <alignment horizontal="left"/>
    </xf>
    <xf numFmtId="0" fontId="5" fillId="0" borderId="0" xfId="0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8" fillId="0" borderId="0" xfId="0" applyFont="1" applyAlignment="1" applyProtection="1">
      <alignment horizontal="centerContinuous"/>
    </xf>
    <xf numFmtId="0" fontId="10" fillId="0" borderId="0" xfId="0" quotePrefix="1" applyFont="1" applyAlignment="1" applyProtection="1">
      <alignment horizontal="centerContinuous"/>
      <protection locked="0"/>
    </xf>
    <xf numFmtId="39" fontId="5" fillId="0" borderId="0" xfId="0" applyNumberFormat="1" applyFont="1" applyProtection="1"/>
    <xf numFmtId="49" fontId="5" fillId="0" borderId="0" xfId="0" applyNumberFormat="1" applyFont="1" applyProtection="1"/>
    <xf numFmtId="0" fontId="11" fillId="0" borderId="0" xfId="0" applyFont="1" applyProtection="1"/>
    <xf numFmtId="39" fontId="4" fillId="0" borderId="0" xfId="0" applyNumberFormat="1" applyFont="1" applyProtection="1"/>
    <xf numFmtId="0" fontId="4" fillId="0" borderId="3" xfId="0" applyFont="1" applyBorder="1" applyAlignment="1" applyProtection="1">
      <alignment horizontal="right"/>
    </xf>
    <xf numFmtId="0" fontId="4" fillId="0" borderId="3" xfId="0" applyFont="1" applyBorder="1" applyProtection="1"/>
    <xf numFmtId="44" fontId="0" fillId="0" borderId="3" xfId="0" applyNumberFormat="1" applyBorder="1"/>
    <xf numFmtId="186" fontId="0" fillId="0" borderId="0" xfId="0" applyNumberFormat="1"/>
    <xf numFmtId="49" fontId="0" fillId="0" borderId="0" xfId="0" applyNumberFormat="1"/>
    <xf numFmtId="0" fontId="1" fillId="0" borderId="0" xfId="0" applyFont="1" applyAlignment="1" applyProtection="1">
      <alignment horizontal="centerContinuous"/>
    </xf>
    <xf numFmtId="0" fontId="0" fillId="0" borderId="0" xfId="0" applyAlignment="1"/>
    <xf numFmtId="0" fontId="0" fillId="0" borderId="0" xfId="0" applyAlignment="1" applyProtection="1"/>
    <xf numFmtId="0" fontId="5" fillId="0" borderId="0" xfId="0" applyFont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/>
    <xf numFmtId="39" fontId="0" fillId="0" borderId="0" xfId="0" applyNumberFormat="1" applyBorder="1" applyProtection="1"/>
    <xf numFmtId="0" fontId="0" fillId="0" borderId="0" xfId="0" quotePrefix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 applyProtection="1">
      <alignment horizontal="left"/>
    </xf>
    <xf numFmtId="39" fontId="0" fillId="0" borderId="1" xfId="0" applyNumberFormat="1" applyBorder="1"/>
    <xf numFmtId="0" fontId="6" fillId="0" borderId="0" xfId="0" quotePrefix="1" applyFont="1" applyAlignment="1" applyProtection="1">
      <alignment horizontal="centerContinuous"/>
    </xf>
    <xf numFmtId="0" fontId="0" fillId="0" borderId="0" xfId="0" quotePrefix="1" applyAlignment="1" applyProtection="1">
      <alignment horizontal="center"/>
    </xf>
    <xf numFmtId="0" fontId="0" fillId="0" borderId="1" xfId="0" quotePrefix="1" applyBorder="1" applyAlignment="1" applyProtection="1">
      <alignment horizontal="right"/>
    </xf>
    <xf numFmtId="0" fontId="11" fillId="0" borderId="0" xfId="0" quotePrefix="1" applyFont="1" applyAlignment="1" applyProtection="1">
      <alignment horizontal="left"/>
    </xf>
    <xf numFmtId="43" fontId="0" fillId="0" borderId="0" xfId="1" applyNumberFormat="1" applyFont="1" applyBorder="1" applyProtection="1"/>
    <xf numFmtId="39" fontId="0" fillId="0" borderId="0" xfId="1" applyNumberFormat="1" applyFont="1" applyProtection="1"/>
    <xf numFmtId="39" fontId="0" fillId="0" borderId="1" xfId="1" applyNumberFormat="1" applyFont="1" applyBorder="1" applyProtection="1"/>
    <xf numFmtId="0" fontId="0" fillId="0" borderId="0" xfId="0" quotePrefix="1" applyAlignment="1" applyProtection="1"/>
    <xf numFmtId="0" fontId="0" fillId="0" borderId="0" xfId="0" quotePrefix="1" applyAlignment="1" applyProtection="1">
      <alignment horizontal="centerContinuous"/>
    </xf>
    <xf numFmtId="0" fontId="5" fillId="0" borderId="0" xfId="0" applyFont="1" applyBorder="1" applyAlignment="1" applyProtection="1"/>
    <xf numFmtId="0" fontId="0" fillId="0" borderId="3" xfId="0" applyBorder="1" applyAlignment="1" applyProtection="1">
      <alignment horizontal="centerContinuous"/>
    </xf>
    <xf numFmtId="0" fontId="2" fillId="0" borderId="3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0" fillId="0" borderId="1" xfId="0" applyBorder="1" applyProtection="1"/>
    <xf numFmtId="0" fontId="6" fillId="0" borderId="0" xfId="0" quotePrefix="1" applyFont="1" applyAlignment="1" applyProtection="1">
      <alignment horizontal="left"/>
    </xf>
    <xf numFmtId="0" fontId="4" fillId="0" borderId="3" xfId="0" quotePrefix="1" applyFont="1" applyBorder="1" applyAlignment="1" applyProtection="1">
      <alignment horizontal="right"/>
    </xf>
    <xf numFmtId="0" fontId="11" fillId="0" borderId="0" xfId="0" applyFont="1"/>
    <xf numFmtId="0" fontId="12" fillId="0" borderId="0" xfId="0" applyFont="1" applyAlignment="1" applyProtection="1">
      <alignment horizontal="centerContinuous"/>
      <protection locked="0"/>
    </xf>
    <xf numFmtId="0" fontId="1" fillId="0" borderId="0" xfId="0" quotePrefix="1" applyFont="1" applyAlignment="1" applyProtection="1">
      <alignment horizontal="right"/>
    </xf>
    <xf numFmtId="0" fontId="13" fillId="0" borderId="0" xfId="0" applyFont="1" applyAlignment="1" applyProtection="1">
      <alignment horizontal="left"/>
    </xf>
    <xf numFmtId="0" fontId="14" fillId="0" borderId="0" xfId="0" quotePrefix="1" applyFont="1" applyProtection="1">
      <protection locked="0"/>
    </xf>
    <xf numFmtId="0" fontId="11" fillId="0" borderId="0" xfId="0" quotePrefix="1" applyFont="1" applyAlignment="1" applyProtection="1">
      <alignment horizontal="centerContinuous"/>
    </xf>
    <xf numFmtId="0" fontId="5" fillId="0" borderId="0" xfId="0" quotePrefix="1" applyFont="1" applyAlignment="1" applyProtection="1">
      <alignment horizontal="left"/>
    </xf>
    <xf numFmtId="0" fontId="0" fillId="0" borderId="0" xfId="0" quotePrefix="1" applyAlignment="1" applyProtection="1">
      <alignment horizontal="right"/>
    </xf>
    <xf numFmtId="0" fontId="0" fillId="0" borderId="0" xfId="0" quotePrefix="1" applyAlignment="1">
      <alignment horizontal="right"/>
    </xf>
    <xf numFmtId="0" fontId="14" fillId="0" borderId="0" xfId="0" quotePrefix="1" applyFont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37" fontId="0" fillId="0" borderId="0" xfId="0" quotePrefix="1" applyNumberFormat="1" applyAlignment="1" applyProtection="1">
      <alignment horizontal="right"/>
    </xf>
    <xf numFmtId="0" fontId="0" fillId="0" borderId="0" xfId="0" quotePrefix="1" applyBorder="1" applyAlignment="1" applyProtection="1">
      <alignment horizontal="right"/>
    </xf>
    <xf numFmtId="17" fontId="0" fillId="0" borderId="1" xfId="0" quotePrefix="1" applyNumberFormat="1" applyBorder="1" applyAlignment="1" applyProtection="1">
      <alignment horizontal="right"/>
    </xf>
    <xf numFmtId="0" fontId="11" fillId="0" borderId="0" xfId="0" applyFont="1" applyAlignment="1" applyProtection="1">
      <alignment horizontal="centerContinuous"/>
    </xf>
    <xf numFmtId="0" fontId="15" fillId="0" borderId="0" xfId="0" applyFont="1" applyAlignment="1" applyProtection="1">
      <alignment horizontal="centerContinuous"/>
    </xf>
    <xf numFmtId="0" fontId="16" fillId="0" borderId="0" xfId="0" applyFont="1" applyProtection="1"/>
    <xf numFmtId="0" fontId="17" fillId="0" borderId="0" xfId="0" applyFont="1" applyProtection="1"/>
    <xf numFmtId="0" fontId="0" fillId="0" borderId="0" xfId="0" quotePrefix="1" applyBorder="1" applyAlignment="1">
      <alignment horizontal="right"/>
    </xf>
    <xf numFmtId="39" fontId="3" fillId="0" borderId="0" xfId="0" applyNumberFormat="1" applyFont="1" applyAlignment="1" applyProtection="1">
      <alignment horizontal="right"/>
      <protection locked="0"/>
    </xf>
    <xf numFmtId="44" fontId="0" fillId="0" borderId="2" xfId="0" applyNumberFormat="1" applyBorder="1" applyProtection="1"/>
    <xf numFmtId="44" fontId="0" fillId="0" borderId="0" xfId="0" applyNumberFormat="1" applyProtection="1"/>
    <xf numFmtId="44" fontId="0" fillId="0" borderId="3" xfId="0" applyNumberFormat="1" applyBorder="1" applyProtection="1"/>
    <xf numFmtId="44" fontId="0" fillId="0" borderId="3" xfId="2" applyNumberFormat="1" applyFont="1" applyBorder="1" applyProtection="1"/>
    <xf numFmtId="44" fontId="0" fillId="0" borderId="3" xfId="1" applyNumberFormat="1" applyFont="1" applyBorder="1" applyProtection="1"/>
    <xf numFmtId="44" fontId="5" fillId="0" borderId="2" xfId="0" applyNumberFormat="1" applyFont="1" applyBorder="1" applyProtection="1"/>
    <xf numFmtId="37" fontId="0" fillId="0" borderId="0" xfId="0" applyNumberFormat="1" applyAlignment="1" applyProtection="1">
      <alignment horizontal="right"/>
    </xf>
    <xf numFmtId="0" fontId="0" fillId="0" borderId="1" xfId="0" quotePrefix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right"/>
    </xf>
    <xf numFmtId="0" fontId="18" fillId="0" borderId="0" xfId="0" applyFont="1"/>
    <xf numFmtId="3" fontId="0" fillId="0" borderId="0" xfId="0" applyNumberFormat="1"/>
    <xf numFmtId="165" fontId="2" fillId="0" borderId="0" xfId="4" applyNumberFormat="1"/>
    <xf numFmtId="0" fontId="18" fillId="0" borderId="3" xfId="0" applyFont="1" applyBorder="1" applyAlignment="1">
      <alignment horizontal="left"/>
    </xf>
    <xf numFmtId="0" fontId="18" fillId="0" borderId="3" xfId="0" applyFont="1" applyFill="1" applyBorder="1" applyAlignment="1">
      <alignment horizontal="right"/>
    </xf>
    <xf numFmtId="165" fontId="2" fillId="0" borderId="0" xfId="4" applyNumberFormat="1" applyFont="1"/>
    <xf numFmtId="0" fontId="18" fillId="0" borderId="0" xfId="0" applyFont="1" applyAlignment="1">
      <alignment horizontal="center" wrapText="1"/>
    </xf>
    <xf numFmtId="44" fontId="18" fillId="0" borderId="0" xfId="2" applyFont="1" applyBorder="1" applyAlignment="1">
      <alignment horizontal="center" wrapText="1"/>
    </xf>
    <xf numFmtId="0" fontId="18" fillId="0" borderId="0" xfId="0" applyFont="1" applyAlignment="1">
      <alignment wrapText="1"/>
    </xf>
    <xf numFmtId="43" fontId="2" fillId="0" borderId="0" xfId="1"/>
    <xf numFmtId="44" fontId="2" fillId="0" borderId="0" xfId="2"/>
    <xf numFmtId="10" fontId="0" fillId="0" borderId="0" xfId="0" applyNumberFormat="1"/>
    <xf numFmtId="10" fontId="2" fillId="0" borderId="0" xfId="4" applyNumberFormat="1"/>
    <xf numFmtId="0" fontId="0" fillId="0" borderId="0" xfId="0" applyAlignment="1">
      <alignment wrapText="1"/>
    </xf>
    <xf numFmtId="43" fontId="2" fillId="0" borderId="9" xfId="1" applyBorder="1"/>
    <xf numFmtId="0" fontId="0" fillId="0" borderId="0" xfId="0" quotePrefix="1" applyAlignment="1">
      <alignment wrapText="1"/>
    </xf>
    <xf numFmtId="43" fontId="0" fillId="0" borderId="9" xfId="0" applyNumberFormat="1" applyBorder="1"/>
    <xf numFmtId="43" fontId="18" fillId="0" borderId="0" xfId="1" applyFont="1"/>
    <xf numFmtId="0" fontId="18" fillId="0" borderId="9" xfId="0" applyFont="1" applyBorder="1" applyAlignment="1">
      <alignment horizontal="center" wrapText="1"/>
    </xf>
    <xf numFmtId="0" fontId="18" fillId="0" borderId="9" xfId="0" applyFont="1" applyBorder="1"/>
    <xf numFmtId="43" fontId="0" fillId="0" borderId="0" xfId="0" applyNumberFormat="1"/>
    <xf numFmtId="10" fontId="18" fillId="0" borderId="10" xfId="0" applyNumberFormat="1" applyFont="1" applyBorder="1"/>
    <xf numFmtId="43" fontId="18" fillId="0" borderId="10" xfId="1" applyFont="1" applyBorder="1"/>
    <xf numFmtId="43" fontId="2" fillId="0" borderId="10" xfId="1" applyBorder="1"/>
    <xf numFmtId="10" fontId="18" fillId="0" borderId="0" xfId="0" applyNumberFormat="1" applyFont="1" applyBorder="1"/>
    <xf numFmtId="0" fontId="18" fillId="0" borderId="9" xfId="0" applyFont="1" applyBorder="1" applyAlignment="1">
      <alignment wrapText="1"/>
    </xf>
    <xf numFmtId="0" fontId="18" fillId="0" borderId="9" xfId="0" quotePrefix="1" applyFont="1" applyBorder="1" applyAlignment="1">
      <alignment wrapText="1"/>
    </xf>
    <xf numFmtId="43" fontId="18" fillId="0" borderId="9" xfId="0" applyNumberFormat="1" applyFont="1" applyBorder="1" applyAlignment="1">
      <alignment wrapText="1"/>
    </xf>
    <xf numFmtId="187" fontId="2" fillId="0" borderId="0" xfId="1" applyNumberFormat="1"/>
    <xf numFmtId="10" fontId="0" fillId="0" borderId="0" xfId="0" applyNumberFormat="1" applyAlignment="1">
      <alignment wrapText="1"/>
    </xf>
    <xf numFmtId="43" fontId="2" fillId="0" borderId="0" xfId="1" applyFont="1"/>
    <xf numFmtId="187" fontId="18" fillId="0" borderId="10" xfId="0" applyNumberFormat="1" applyFont="1" applyBorder="1"/>
    <xf numFmtId="165" fontId="18" fillId="0" borderId="10" xfId="0" applyNumberFormat="1" applyFont="1" applyBorder="1"/>
    <xf numFmtId="165" fontId="18" fillId="0" borderId="10" xfId="4" applyNumberFormat="1" applyFont="1" applyBorder="1"/>
    <xf numFmtId="43" fontId="18" fillId="0" borderId="10" xfId="0" applyNumberFormat="1" applyFont="1" applyBorder="1"/>
    <xf numFmtId="44" fontId="18" fillId="0" borderId="10" xfId="2" applyFont="1" applyBorder="1"/>
    <xf numFmtId="10" fontId="18" fillId="0" borderId="10" xfId="0" applyNumberFormat="1" applyFont="1" applyBorder="1" applyAlignment="1">
      <alignment wrapText="1"/>
    </xf>
    <xf numFmtId="165" fontId="18" fillId="0" borderId="10" xfId="1" applyNumberFormat="1" applyFont="1" applyBorder="1"/>
    <xf numFmtId="44" fontId="2" fillId="0" borderId="0" xfId="2" applyFont="1"/>
    <xf numFmtId="44" fontId="0" fillId="0" borderId="0" xfId="0" applyNumberFormat="1" applyAlignment="1">
      <alignment wrapText="1"/>
    </xf>
    <xf numFmtId="43" fontId="18" fillId="0" borderId="0" xfId="4" applyNumberFormat="1" applyFont="1"/>
    <xf numFmtId="43" fontId="2" fillId="0" borderId="0" xfId="4" applyNumberFormat="1"/>
    <xf numFmtId="165" fontId="2" fillId="0" borderId="0" xfId="4" applyNumberFormat="1" applyBorder="1"/>
    <xf numFmtId="165" fontId="2" fillId="0" borderId="10" xfId="4" applyNumberFormat="1" applyBorder="1"/>
    <xf numFmtId="165" fontId="2" fillId="0" borderId="11" xfId="4" applyNumberFormat="1" applyBorder="1"/>
    <xf numFmtId="43" fontId="2" fillId="0" borderId="11" xfId="1" applyBorder="1"/>
    <xf numFmtId="165" fontId="2" fillId="0" borderId="12" xfId="4" applyNumberFormat="1" applyBorder="1"/>
    <xf numFmtId="165" fontId="2" fillId="0" borderId="0" xfId="4" applyNumberFormat="1" applyFont="1" applyBorder="1"/>
    <xf numFmtId="3" fontId="18" fillId="0" borderId="3" xfId="0" applyNumberFormat="1" applyFont="1" applyBorder="1" applyAlignment="1">
      <alignment horizontal="center" wrapText="1"/>
    </xf>
    <xf numFmtId="165" fontId="18" fillId="0" borderId="3" xfId="4" applyNumberFormat="1" applyFont="1" applyBorder="1" applyAlignment="1">
      <alignment horizontal="right" wrapText="1"/>
    </xf>
    <xf numFmtId="43" fontId="0" fillId="0" borderId="10" xfId="0" applyNumberFormat="1" applyBorder="1"/>
    <xf numFmtId="0" fontId="18" fillId="0" borderId="0" xfId="0" quotePrefix="1" applyFont="1" applyAlignment="1">
      <alignment wrapText="1"/>
    </xf>
    <xf numFmtId="0" fontId="18" fillId="0" borderId="0" xfId="0" applyFont="1" applyAlignment="1">
      <alignment vertical="top"/>
    </xf>
    <xf numFmtId="43" fontId="18" fillId="0" borderId="0" xfId="1" applyFont="1" applyBorder="1"/>
    <xf numFmtId="43" fontId="2" fillId="0" borderId="0" xfId="1" applyBorder="1"/>
    <xf numFmtId="0" fontId="18" fillId="0" borderId="3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165" fontId="2" fillId="0" borderId="0" xfId="4" applyNumberFormat="1" applyAlignment="1">
      <alignment wrapText="1"/>
    </xf>
    <xf numFmtId="165" fontId="2" fillId="0" borderId="0" xfId="4" applyNumberFormat="1" applyFont="1" applyAlignment="1">
      <alignment wrapText="1"/>
    </xf>
    <xf numFmtId="165" fontId="2" fillId="0" borderId="1" xfId="4" applyNumberFormat="1" applyBorder="1" applyAlignment="1">
      <alignment wrapText="1"/>
    </xf>
    <xf numFmtId="4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5" fontId="2" fillId="0" borderId="1" xfId="4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37" fontId="0" fillId="0" borderId="0" xfId="0" applyNumberFormat="1" applyAlignment="1">
      <alignment wrapText="1"/>
    </xf>
    <xf numFmtId="0" fontId="18" fillId="0" borderId="10" xfId="0" applyFont="1" applyBorder="1" applyAlignment="1">
      <alignment wrapText="1"/>
    </xf>
    <xf numFmtId="37" fontId="18" fillId="0" borderId="10" xfId="0" applyNumberFormat="1" applyFont="1" applyBorder="1" applyAlignment="1">
      <alignment wrapText="1"/>
    </xf>
    <xf numFmtId="0" fontId="18" fillId="0" borderId="3" xfId="0" applyFont="1" applyBorder="1" applyAlignment="1">
      <alignment horizontal="center" wrapText="1"/>
    </xf>
    <xf numFmtId="0" fontId="18" fillId="0" borderId="3" xfId="0" quotePrefix="1" applyFont="1" applyBorder="1" applyAlignment="1">
      <alignment horizontal="center" wrapText="1"/>
    </xf>
    <xf numFmtId="0" fontId="18" fillId="0" borderId="3" xfId="0" applyFont="1" applyBorder="1" applyAlignment="1">
      <alignment horizontal="right" wrapText="1"/>
    </xf>
    <xf numFmtId="10" fontId="0" fillId="0" borderId="0" xfId="0" applyNumberFormat="1" applyBorder="1" applyProtection="1"/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43" fontId="0" fillId="0" borderId="0" xfId="0" applyNumberFormat="1" applyAlignment="1" applyProtection="1">
      <alignment horizontal="fill"/>
    </xf>
    <xf numFmtId="0" fontId="18" fillId="0" borderId="3" xfId="0" quotePrefix="1" applyFont="1" applyBorder="1" applyAlignment="1" applyProtection="1">
      <alignment horizontal="center" wrapText="1"/>
    </xf>
    <xf numFmtId="0" fontId="19" fillId="0" borderId="0" xfId="0" applyFont="1" applyAlignment="1">
      <alignment wrapText="1"/>
    </xf>
    <xf numFmtId="0" fontId="18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4" fontId="0" fillId="0" borderId="13" xfId="0" applyNumberFormat="1" applyBorder="1" applyProtection="1"/>
    <xf numFmtId="4" fontId="0" fillId="0" borderId="13" xfId="0" applyNumberFormat="1" applyBorder="1"/>
    <xf numFmtId="4" fontId="0" fillId="0" borderId="0" xfId="0" applyNumberFormat="1" applyProtection="1"/>
    <xf numFmtId="4" fontId="0" fillId="0" borderId="0" xfId="0" applyNumberFormat="1"/>
    <xf numFmtId="4" fontId="2" fillId="0" borderId="13" xfId="1" applyNumberFormat="1" applyBorder="1" applyProtection="1"/>
    <xf numFmtId="43" fontId="18" fillId="0" borderId="3" xfId="1" applyFont="1" applyFill="1" applyBorder="1" applyAlignment="1">
      <alignment horizontal="right" wrapText="1"/>
    </xf>
    <xf numFmtId="39" fontId="0" fillId="0" borderId="0" xfId="0" applyNumberFormat="1" applyAlignment="1">
      <alignment wrapText="1"/>
    </xf>
    <xf numFmtId="39" fontId="0" fillId="0" borderId="0" xfId="0" applyNumberFormat="1" applyAlignment="1">
      <alignment horizontal="right" wrapText="1"/>
    </xf>
    <xf numFmtId="43" fontId="2" fillId="0" borderId="0" xfId="1" applyAlignment="1">
      <alignment wrapText="1"/>
    </xf>
    <xf numFmtId="39" fontId="0" fillId="0" borderId="0" xfId="0" applyNumberFormat="1" applyBorder="1" applyAlignment="1">
      <alignment wrapText="1"/>
    </xf>
    <xf numFmtId="4" fontId="0" fillId="0" borderId="0" xfId="0" applyNumberFormat="1" applyAlignment="1">
      <alignment wrapText="1"/>
    </xf>
    <xf numFmtId="39" fontId="18" fillId="0" borderId="10" xfId="0" applyNumberFormat="1" applyFont="1" applyBorder="1" applyAlignment="1">
      <alignment wrapText="1"/>
    </xf>
    <xf numFmtId="4" fontId="0" fillId="0" borderId="0" xfId="0" applyNumberFormat="1" applyAlignment="1">
      <alignment horizontal="right"/>
    </xf>
    <xf numFmtId="43" fontId="2" fillId="0" borderId="12" xfId="1" applyBorder="1"/>
    <xf numFmtId="0" fontId="18" fillId="0" borderId="0" xfId="0" quotePrefix="1" applyFont="1" applyAlignment="1">
      <alignment horizontal="center"/>
    </xf>
    <xf numFmtId="0" fontId="18" fillId="0" borderId="0" xfId="0" applyFont="1" applyProtection="1"/>
    <xf numFmtId="0" fontId="20" fillId="0" borderId="0" xfId="0" quotePrefix="1" applyFont="1" applyProtection="1">
      <protection locked="0"/>
    </xf>
    <xf numFmtId="0" fontId="4" fillId="0" borderId="0" xfId="0" quotePrefix="1" applyFont="1" applyAlignment="1" applyProtection="1">
      <alignment horizontal="left"/>
    </xf>
    <xf numFmtId="0" fontId="18" fillId="0" borderId="10" xfId="0" applyFont="1" applyBorder="1"/>
    <xf numFmtId="4" fontId="18" fillId="0" borderId="10" xfId="0" applyNumberFormat="1" applyFont="1" applyBorder="1"/>
    <xf numFmtId="181" fontId="0" fillId="0" borderId="0" xfId="0" applyNumberFormat="1" applyAlignment="1">
      <alignment wrapText="1"/>
    </xf>
    <xf numFmtId="181" fontId="0" fillId="0" borderId="0" xfId="0" applyNumberFormat="1" applyBorder="1" applyAlignment="1">
      <alignment wrapText="1"/>
    </xf>
    <xf numFmtId="181" fontId="18" fillId="0" borderId="10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" fontId="0" fillId="0" borderId="1" xfId="0" applyNumberFormat="1" applyBorder="1" applyProtection="1"/>
    <xf numFmtId="4" fontId="0" fillId="0" borderId="1" xfId="0" applyNumberFormat="1" applyBorder="1"/>
    <xf numFmtId="37" fontId="4" fillId="0" borderId="0" xfId="0" applyNumberFormat="1" applyFont="1" applyProtection="1"/>
    <xf numFmtId="39" fontId="4" fillId="0" borderId="0" xfId="0" applyNumberFormat="1" applyFont="1"/>
    <xf numFmtId="37" fontId="4" fillId="0" borderId="8" xfId="0" applyNumberFormat="1" applyFont="1" applyBorder="1" applyProtection="1"/>
    <xf numFmtId="0" fontId="4" fillId="0" borderId="0" xfId="0" applyFont="1" applyBorder="1"/>
    <xf numFmtId="0" fontId="0" fillId="0" borderId="3" xfId="0" applyBorder="1" applyAlignment="1">
      <alignment horizontal="centerContinuous"/>
    </xf>
    <xf numFmtId="0" fontId="0" fillId="0" borderId="3" xfId="0" applyBorder="1"/>
    <xf numFmtId="8" fontId="4" fillId="0" borderId="0" xfId="0" applyNumberFormat="1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44" fontId="0" fillId="0" borderId="0" xfId="0" applyNumberFormat="1"/>
    <xf numFmtId="210" fontId="0" fillId="0" borderId="0" xfId="0" applyNumberFormat="1" applyProtection="1"/>
    <xf numFmtId="0" fontId="22" fillId="0" borderId="0" xfId="0" applyFont="1" applyFill="1" applyBorder="1" applyAlignment="1">
      <alignment horizontal="left"/>
    </xf>
    <xf numFmtId="0" fontId="22" fillId="0" borderId="0" xfId="0" applyFont="1"/>
    <xf numFmtId="43" fontId="22" fillId="0" borderId="0" xfId="1" applyFont="1"/>
    <xf numFmtId="0" fontId="22" fillId="2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0" fillId="2" borderId="0" xfId="0" applyFill="1" applyProtection="1"/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quotePrefix="1" applyFill="1" applyAlignment="1" applyProtection="1">
      <alignment horizontal="right"/>
    </xf>
    <xf numFmtId="0" fontId="0" fillId="2" borderId="1" xfId="0" quotePrefix="1" applyFill="1" applyBorder="1" applyAlignment="1" applyProtection="1">
      <alignment horizontal="right"/>
    </xf>
    <xf numFmtId="39" fontId="0" fillId="2" borderId="0" xfId="0" applyNumberFormat="1" applyFill="1" applyProtection="1"/>
    <xf numFmtId="44" fontId="0" fillId="2" borderId="2" xfId="0" applyNumberFormat="1" applyFill="1" applyBorder="1" applyProtection="1"/>
    <xf numFmtId="43" fontId="2" fillId="2" borderId="0" xfId="1" applyFill="1" applyProtection="1"/>
    <xf numFmtId="4" fontId="0" fillId="2" borderId="13" xfId="0" applyNumberFormat="1" applyFill="1" applyBorder="1" applyProtection="1"/>
    <xf numFmtId="4" fontId="0" fillId="2" borderId="0" xfId="0" applyNumberFormat="1" applyFill="1" applyProtection="1"/>
    <xf numFmtId="4" fontId="0" fillId="2" borderId="13" xfId="0" applyNumberFormat="1" applyFill="1" applyBorder="1"/>
    <xf numFmtId="4" fontId="0" fillId="2" borderId="1" xfId="0" applyNumberFormat="1" applyFill="1" applyBorder="1"/>
    <xf numFmtId="4" fontId="0" fillId="2" borderId="0" xfId="0" applyNumberFormat="1" applyFill="1"/>
    <xf numFmtId="4" fontId="18" fillId="2" borderId="10" xfId="0" applyNumberFormat="1" applyFont="1" applyFill="1" applyBorder="1"/>
    <xf numFmtId="39" fontId="21" fillId="0" borderId="0" xfId="3" applyNumberFormat="1" applyAlignment="1" applyProtection="1"/>
    <xf numFmtId="44" fontId="0" fillId="0" borderId="0" xfId="0" applyNumberFormat="1" applyAlignment="1" applyProtection="1">
      <alignment horizontal="left"/>
    </xf>
    <xf numFmtId="2" fontId="4" fillId="0" borderId="0" xfId="0" applyNumberFormat="1" applyFont="1"/>
    <xf numFmtId="39" fontId="18" fillId="0" borderId="0" xfId="0" applyNumberFormat="1" applyFont="1" applyProtection="1"/>
    <xf numFmtId="43" fontId="0" fillId="0" borderId="0" xfId="1" applyFont="1" applyFill="1" applyBorder="1"/>
    <xf numFmtId="0" fontId="22" fillId="4" borderId="0" xfId="0" applyFont="1" applyFill="1" applyBorder="1" applyAlignment="1">
      <alignment horizontal="left"/>
    </xf>
    <xf numFmtId="43" fontId="2" fillId="4" borderId="0" xfId="1" applyFill="1"/>
    <xf numFmtId="40" fontId="0" fillId="0" borderId="0" xfId="0" applyNumberFormat="1"/>
    <xf numFmtId="39" fontId="0" fillId="0" borderId="10" xfId="0" applyNumberFormat="1" applyBorder="1"/>
    <xf numFmtId="37" fontId="18" fillId="0" borderId="0" xfId="0" applyNumberFormat="1" applyFont="1" applyProtection="1"/>
    <xf numFmtId="8" fontId="18" fillId="0" borderId="0" xfId="0" applyNumberFormat="1" applyFont="1" applyProtection="1"/>
    <xf numFmtId="8" fontId="0" fillId="0" borderId="0" xfId="0" applyNumberFormat="1" applyProtection="1"/>
    <xf numFmtId="8" fontId="0" fillId="0" borderId="2" xfId="0" applyNumberFormat="1" applyBorder="1" applyProtection="1"/>
    <xf numFmtId="0" fontId="18" fillId="0" borderId="0" xfId="0" applyFont="1" applyAlignment="1" applyProtection="1"/>
    <xf numFmtId="0" fontId="4" fillId="5" borderId="0" xfId="0" applyFont="1" applyFill="1" applyAlignment="1" applyProtection="1">
      <alignment horizontal="right"/>
    </xf>
    <xf numFmtId="0" fontId="18" fillId="0" borderId="0" xfId="0" applyFont="1" applyAlignment="1" applyProtection="1">
      <alignment horizontal="right"/>
    </xf>
    <xf numFmtId="0" fontId="0" fillId="0" borderId="0" xfId="0" applyFill="1" applyProtection="1"/>
    <xf numFmtId="0" fontId="0" fillId="0" borderId="0" xfId="0" applyFill="1" applyAlignment="1" applyProtection="1">
      <alignment horizontal="centerContinuous"/>
    </xf>
    <xf numFmtId="39" fontId="0" fillId="0" borderId="0" xfId="0" applyNumberFormat="1" applyFill="1" applyProtection="1"/>
    <xf numFmtId="0" fontId="0" fillId="0" borderId="0" xfId="0" applyFill="1"/>
    <xf numFmtId="40" fontId="0" fillId="0" borderId="0" xfId="0" applyNumberFormat="1" applyProtection="1"/>
    <xf numFmtId="165" fontId="0" fillId="0" borderId="0" xfId="0" applyNumberFormat="1"/>
    <xf numFmtId="0" fontId="0" fillId="6" borderId="10" xfId="0" applyFill="1" applyBorder="1"/>
    <xf numFmtId="38" fontId="0" fillId="0" borderId="0" xfId="0" applyNumberFormat="1"/>
    <xf numFmtId="38" fontId="18" fillId="0" borderId="10" xfId="0" applyNumberFormat="1" applyFont="1" applyBorder="1"/>
    <xf numFmtId="0" fontId="0" fillId="0" borderId="0" xfId="0" applyAlignment="1">
      <alignment horizontal="center" wrapText="1"/>
    </xf>
    <xf numFmtId="40" fontId="18" fillId="0" borderId="0" xfId="0" applyNumberFormat="1" applyFont="1"/>
    <xf numFmtId="40" fontId="18" fillId="0" borderId="3" xfId="0" quotePrefix="1" applyNumberFormat="1" applyFont="1" applyBorder="1" applyAlignment="1" applyProtection="1">
      <alignment horizontal="center" wrapText="1"/>
    </xf>
    <xf numFmtId="165" fontId="18" fillId="0" borderId="3" xfId="4" applyNumberFormat="1" applyFont="1" applyBorder="1" applyAlignment="1">
      <alignment horizontal="center" wrapText="1"/>
    </xf>
    <xf numFmtId="40" fontId="0" fillId="0" borderId="14" xfId="0" applyNumberFormat="1" applyBorder="1"/>
    <xf numFmtId="165" fontId="0" fillId="0" borderId="14" xfId="0" applyNumberFormat="1" applyBorder="1"/>
    <xf numFmtId="40" fontId="2" fillId="0" borderId="10" xfId="1" applyNumberFormat="1" applyBorder="1"/>
    <xf numFmtId="40" fontId="2" fillId="0" borderId="12" xfId="1" applyNumberFormat="1" applyFont="1" applyBorder="1"/>
    <xf numFmtId="40" fontId="0" fillId="0" borderId="10" xfId="0" applyNumberFormat="1" applyBorder="1"/>
    <xf numFmtId="165" fontId="2" fillId="0" borderId="10" xfId="4" applyNumberFormat="1" applyFont="1" applyBorder="1"/>
    <xf numFmtId="165" fontId="4" fillId="0" borderId="10" xfId="4" applyNumberFormat="1" applyFont="1" applyBorder="1"/>
    <xf numFmtId="0" fontId="18" fillId="0" borderId="0" xfId="0" applyFont="1" applyAlignment="1">
      <alignment horizontal="right"/>
    </xf>
    <xf numFmtId="0" fontId="0" fillId="5" borderId="0" xfId="0" applyFill="1"/>
    <xf numFmtId="191" fontId="0" fillId="0" borderId="0" xfId="0" applyNumberFormat="1"/>
    <xf numFmtId="0" fontId="23" fillId="0" borderId="0" xfId="0" applyFont="1"/>
    <xf numFmtId="37" fontId="23" fillId="5" borderId="0" xfId="0" applyNumberFormat="1" applyFont="1" applyFill="1" applyAlignment="1" applyProtection="1">
      <alignment horizontal="right"/>
    </xf>
    <xf numFmtId="0" fontId="23" fillId="0" borderId="3" xfId="0" applyFont="1" applyBorder="1" applyAlignment="1" applyProtection="1">
      <alignment horizontal="right"/>
    </xf>
    <xf numFmtId="0" fontId="23" fillId="0" borderId="3" xfId="0" applyFont="1" applyBorder="1" applyAlignment="1" applyProtection="1">
      <alignment horizontal="center"/>
    </xf>
    <xf numFmtId="0" fontId="24" fillId="0" borderId="0" xfId="0" applyFont="1" applyAlignment="1">
      <alignment horizontal="right"/>
    </xf>
    <xf numFmtId="8" fontId="0" fillId="0" borderId="0" xfId="0" applyNumberFormat="1"/>
    <xf numFmtId="8" fontId="0" fillId="0" borderId="3" xfId="0" applyNumberFormat="1" applyBorder="1" applyProtection="1"/>
    <xf numFmtId="0" fontId="25" fillId="0" borderId="7" xfId="0" applyFont="1" applyBorder="1" applyAlignment="1">
      <alignment wrapText="1"/>
    </xf>
    <xf numFmtId="0" fontId="25" fillId="0" borderId="9" xfId="0" applyFont="1" applyBorder="1" applyAlignment="1">
      <alignment wrapText="1"/>
    </xf>
    <xf numFmtId="43" fontId="28" fillId="7" borderId="0" xfId="0" applyNumberFormat="1" applyFont="1" applyFill="1"/>
    <xf numFmtId="165" fontId="28" fillId="7" borderId="0" xfId="0" applyNumberFormat="1" applyFont="1" applyFill="1"/>
    <xf numFmtId="43" fontId="29" fillId="7" borderId="0" xfId="0" applyNumberFormat="1" applyFont="1" applyFill="1"/>
    <xf numFmtId="43" fontId="30" fillId="7" borderId="0" xfId="0" applyNumberFormat="1" applyFont="1" applyFill="1"/>
    <xf numFmtId="43" fontId="31" fillId="7" borderId="10" xfId="1" applyFont="1" applyFill="1" applyBorder="1"/>
    <xf numFmtId="181" fontId="31" fillId="7" borderId="10" xfId="1" applyNumberFormat="1" applyFont="1" applyFill="1" applyBorder="1"/>
    <xf numFmtId="43" fontId="32" fillId="7" borderId="10" xfId="1" applyFont="1" applyFill="1" applyBorder="1"/>
    <xf numFmtId="43" fontId="33" fillId="7" borderId="10" xfId="1" applyFont="1" applyFill="1" applyBorder="1"/>
    <xf numFmtId="0" fontId="25" fillId="7" borderId="0" xfId="0" applyFont="1" applyFill="1" applyAlignment="1">
      <alignment wrapText="1"/>
    </xf>
    <xf numFmtId="0" fontId="18" fillId="7" borderId="0" xfId="0" applyFont="1" applyFill="1" applyAlignment="1">
      <alignment wrapText="1"/>
    </xf>
    <xf numFmtId="43" fontId="0" fillId="8" borderId="0" xfId="0" applyNumberFormat="1" applyFill="1"/>
    <xf numFmtId="43" fontId="2" fillId="8" borderId="0" xfId="1" applyFill="1"/>
    <xf numFmtId="0" fontId="0" fillId="8" borderId="0" xfId="0" applyFill="1"/>
    <xf numFmtId="43" fontId="18" fillId="8" borderId="10" xfId="1" applyFont="1" applyFill="1" applyBorder="1"/>
    <xf numFmtId="39" fontId="18" fillId="4" borderId="0" xfId="0" applyNumberFormat="1" applyFont="1" applyFill="1"/>
    <xf numFmtId="39" fontId="18" fillId="8" borderId="10" xfId="0" applyNumberFormat="1" applyFont="1" applyFill="1" applyBorder="1"/>
    <xf numFmtId="211" fontId="34" fillId="7" borderId="0" xfId="0" applyNumberFormat="1" applyFont="1" applyFill="1" applyProtection="1"/>
    <xf numFmtId="165" fontId="34" fillId="7" borderId="0" xfId="0" applyNumberFormat="1" applyFont="1" applyFill="1" applyProtection="1"/>
    <xf numFmtId="211" fontId="35" fillId="7" borderId="0" xfId="0" applyNumberFormat="1" applyFont="1" applyFill="1" applyProtection="1"/>
    <xf numFmtId="211" fontId="36" fillId="7" borderId="0" xfId="0" applyNumberFormat="1" applyFont="1" applyFill="1" applyProtection="1"/>
    <xf numFmtId="10" fontId="0" fillId="0" borderId="15" xfId="0" applyNumberFormat="1" applyBorder="1"/>
    <xf numFmtId="0" fontId="4" fillId="0" borderId="13" xfId="0" applyFont="1" applyBorder="1"/>
    <xf numFmtId="181" fontId="0" fillId="2" borderId="13" xfId="0" applyNumberFormat="1" applyFill="1" applyBorder="1"/>
    <xf numFmtId="43" fontId="34" fillId="7" borderId="0" xfId="0" applyNumberFormat="1" applyFont="1" applyFill="1" applyProtection="1"/>
    <xf numFmtId="43" fontId="35" fillId="7" borderId="0" xfId="0" applyNumberFormat="1" applyFont="1" applyFill="1" applyProtection="1"/>
    <xf numFmtId="43" fontId="36" fillId="7" borderId="0" xfId="0" applyNumberFormat="1" applyFont="1" applyFill="1" applyProtection="1"/>
    <xf numFmtId="165" fontId="34" fillId="7" borderId="1" xfId="0" applyNumberFormat="1" applyFont="1" applyFill="1" applyBorder="1" applyProtection="1"/>
    <xf numFmtId="43" fontId="36" fillId="7" borderId="1" xfId="0" applyNumberFormat="1" applyFont="1" applyFill="1" applyBorder="1" applyProtection="1"/>
    <xf numFmtId="211" fontId="34" fillId="7" borderId="10" xfId="0" applyNumberFormat="1" applyFont="1" applyFill="1" applyBorder="1" applyProtection="1"/>
    <xf numFmtId="10" fontId="34" fillId="7" borderId="10" xfId="0" applyNumberFormat="1" applyFont="1" applyFill="1" applyBorder="1" applyProtection="1"/>
    <xf numFmtId="211" fontId="35" fillId="7" borderId="10" xfId="0" applyNumberFormat="1" applyFont="1" applyFill="1" applyBorder="1" applyProtection="1"/>
    <xf numFmtId="211" fontId="36" fillId="7" borderId="10" xfId="0" applyNumberFormat="1" applyFont="1" applyFill="1" applyBorder="1" applyProtection="1"/>
    <xf numFmtId="0" fontId="0" fillId="0" borderId="13" xfId="0" applyBorder="1" applyAlignment="1">
      <alignment horizontal="right"/>
    </xf>
    <xf numFmtId="0" fontId="0" fillId="0" borderId="0" xfId="0" applyFill="1" applyBorder="1" applyAlignment="1" applyProtection="1">
      <alignment horizontal="right"/>
    </xf>
    <xf numFmtId="4" fontId="4" fillId="0" borderId="0" xfId="0" applyNumberFormat="1" applyFont="1" applyBorder="1"/>
    <xf numFmtId="0" fontId="18" fillId="0" borderId="13" xfId="0" applyFont="1" applyBorder="1"/>
    <xf numFmtId="4" fontId="18" fillId="0" borderId="13" xfId="0" applyNumberFormat="1" applyFont="1" applyBorder="1"/>
    <xf numFmtId="4" fontId="18" fillId="2" borderId="13" xfId="0" applyNumberFormat="1" applyFont="1" applyFill="1" applyBorder="1"/>
    <xf numFmtId="40" fontId="0" fillId="2" borderId="0" xfId="0" applyNumberFormat="1" applyFill="1"/>
    <xf numFmtId="10" fontId="0" fillId="0" borderId="8" xfId="0" applyNumberFormat="1" applyBorder="1"/>
    <xf numFmtId="181" fontId="0" fillId="2" borderId="0" xfId="0" applyNumberFormat="1" applyFill="1"/>
    <xf numFmtId="0" fontId="0" fillId="0" borderId="13" xfId="0" applyBorder="1"/>
    <xf numFmtId="10" fontId="4" fillId="0" borderId="8" xfId="0" applyNumberFormat="1" applyFont="1" applyBorder="1"/>
    <xf numFmtId="10" fontId="0" fillId="0" borderId="13" xfId="0" applyNumberFormat="1" applyBorder="1" applyProtection="1"/>
    <xf numFmtId="191" fontId="0" fillId="0" borderId="13" xfId="0" applyNumberFormat="1" applyBorder="1" applyProtection="1"/>
    <xf numFmtId="165" fontId="2" fillId="0" borderId="0" xfId="4" applyNumberFormat="1" applyBorder="1" applyAlignment="1">
      <alignment wrapText="1"/>
    </xf>
    <xf numFmtId="165" fontId="2" fillId="0" borderId="0" xfId="4" applyNumberFormat="1" applyFont="1" applyBorder="1" applyAlignment="1">
      <alignment wrapText="1"/>
    </xf>
    <xf numFmtId="4" fontId="2" fillId="0" borderId="0" xfId="4" applyNumberFormat="1" applyAlignment="1">
      <alignment wrapText="1"/>
    </xf>
    <xf numFmtId="4" fontId="0" fillId="0" borderId="10" xfId="0" applyNumberFormat="1" applyBorder="1"/>
    <xf numFmtId="4" fontId="0" fillId="2" borderId="10" xfId="0" applyNumberFormat="1" applyFill="1" applyBorder="1"/>
    <xf numFmtId="0" fontId="2" fillId="0" borderId="0" xfId="1" applyNumberFormat="1" applyAlignment="1">
      <alignment wrapText="1"/>
    </xf>
    <xf numFmtId="0" fontId="2" fillId="0" borderId="0" xfId="1" applyNumberFormat="1" applyFont="1" applyAlignment="1">
      <alignment wrapText="1"/>
    </xf>
    <xf numFmtId="39" fontId="4" fillId="2" borderId="0" xfId="0" applyNumberFormat="1" applyFont="1" applyFill="1" applyProtection="1"/>
    <xf numFmtId="0" fontId="0" fillId="7" borderId="0" xfId="0" applyFill="1" applyAlignment="1" applyProtection="1">
      <alignment horizontal="right"/>
    </xf>
    <xf numFmtId="0" fontId="4" fillId="7" borderId="3" xfId="0" quotePrefix="1" applyFont="1" applyFill="1" applyBorder="1" applyAlignment="1" applyProtection="1">
      <alignment horizontal="right"/>
    </xf>
    <xf numFmtId="0" fontId="4" fillId="7" borderId="0" xfId="0" applyFont="1" applyFill="1" applyAlignment="1" applyProtection="1">
      <alignment horizontal="right"/>
    </xf>
    <xf numFmtId="39" fontId="4" fillId="7" borderId="0" xfId="0" applyNumberFormat="1" applyFont="1" applyFill="1" applyProtection="1"/>
    <xf numFmtId="39" fontId="0" fillId="7" borderId="0" xfId="0" applyNumberFormat="1" applyFill="1" applyProtection="1"/>
    <xf numFmtId="39" fontId="0" fillId="7" borderId="2" xfId="0" applyNumberFormat="1" applyFill="1" applyBorder="1" applyProtection="1"/>
    <xf numFmtId="39" fontId="4" fillId="0" borderId="0" xfId="0" applyNumberFormat="1" applyFont="1" applyFill="1" applyProtection="1"/>
    <xf numFmtId="7" fontId="0" fillId="2" borderId="0" xfId="0" applyNumberFormat="1" applyFill="1" applyProtection="1"/>
    <xf numFmtId="0" fontId="0" fillId="0" borderId="0" xfId="0" applyFill="1" applyAlignment="1" applyProtection="1">
      <alignment horizontal="right"/>
    </xf>
    <xf numFmtId="0" fontId="4" fillId="0" borderId="3" xfId="0" quotePrefix="1" applyFont="1" applyFill="1" applyBorder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39" fontId="0" fillId="0" borderId="0" xfId="0" applyNumberFormat="1" applyFill="1" applyBorder="1" applyProtection="1"/>
    <xf numFmtId="39" fontId="18" fillId="0" borderId="0" xfId="0" applyNumberFormat="1" applyFont="1" applyFill="1" applyProtection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16" xfId="0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8" fillId="0" borderId="0" xfId="0" quotePrefix="1" applyFont="1" applyAlignment="1">
      <alignment horizontal="center"/>
    </xf>
    <xf numFmtId="40" fontId="18" fillId="0" borderId="0" xfId="0" applyNumberFormat="1" applyFont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mahoney/LOCALS~1/Temp/FY%202003%20STAT%20Template%20M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zerortn"/>
      <sheetName val="s2"/>
      <sheetName val="s2a"/>
      <sheetName val="s3"/>
      <sheetName val="s3a"/>
      <sheetName val="s3b"/>
      <sheetName val="s3c"/>
      <sheetName val="s4"/>
      <sheetName val="s5"/>
      <sheetName val="s5a"/>
      <sheetName val="s6"/>
      <sheetName val="s7"/>
      <sheetName val="col"/>
      <sheetName val="dis"/>
      <sheetName val="Journal"/>
      <sheetName val="Macros"/>
    </sheetNames>
    <sheetDataSet>
      <sheetData sheetId="0">
        <row r="7">
          <cell r="A7" t="str">
            <v>EXCISE TAX COLLECTED IN APRIL 2002 FOR APRIL 2002 FUEL TRANSACTIONS</v>
          </cell>
        </row>
        <row r="104">
          <cell r="A104" t="str">
            <v>Column Total</v>
          </cell>
        </row>
        <row r="105">
          <cell r="A105" t="str">
            <v>Plus Gasohol</v>
          </cell>
        </row>
        <row r="106">
          <cell r="A106" t="str">
            <v>TOTAL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>
        <row r="52">
          <cell r="C52">
            <v>264634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308"/>
  <sheetViews>
    <sheetView tabSelected="1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9" sqref="A9"/>
    </sheetView>
  </sheetViews>
  <sheetFormatPr defaultRowHeight="12.75" x14ac:dyDescent="0.2"/>
  <cols>
    <col min="1" max="1" width="25.7109375" customWidth="1"/>
    <col min="2" max="2" width="14.7109375" customWidth="1"/>
    <col min="3" max="3" width="14" customWidth="1"/>
    <col min="4" max="4" width="16.85546875" customWidth="1"/>
    <col min="5" max="7" width="16.5703125" customWidth="1"/>
    <col min="8" max="9" width="16.7109375" customWidth="1"/>
    <col min="10" max="10" width="17" customWidth="1"/>
    <col min="11" max="11" width="13.42578125" style="296" hidden="1" customWidth="1"/>
    <col min="12" max="12" width="10.7109375" hidden="1" customWidth="1"/>
    <col min="13" max="13" width="13.42578125" hidden="1" customWidth="1"/>
    <col min="14" max="14" width="11.140625" hidden="1" customWidth="1"/>
    <col min="15" max="15" width="11.7109375" hidden="1" customWidth="1"/>
    <col min="16" max="16" width="10" hidden="1" customWidth="1"/>
    <col min="17" max="17" width="9.7109375" hidden="1" customWidth="1"/>
    <col min="18" max="18" width="12.5703125" hidden="1" customWidth="1"/>
    <col min="19" max="19" width="8.42578125" hidden="1" customWidth="1"/>
    <col min="20" max="20" width="11.140625" hidden="1" customWidth="1"/>
    <col min="21" max="21" width="9" hidden="1" customWidth="1"/>
    <col min="22" max="22" width="8.7109375" hidden="1" customWidth="1"/>
    <col min="23" max="23" width="9.7109375" hidden="1" customWidth="1"/>
    <col min="24" max="24" width="0" hidden="1" customWidth="1"/>
    <col min="25" max="25" width="9.7109375" hidden="1" customWidth="1"/>
    <col min="26" max="26" width="10.5703125" hidden="1" customWidth="1"/>
    <col min="27" max="27" width="10" hidden="1" customWidth="1"/>
    <col min="28" max="28" width="10.7109375" hidden="1" customWidth="1"/>
    <col min="29" max="29" width="11.7109375" hidden="1" customWidth="1"/>
    <col min="30" max="31" width="10.7109375" hidden="1" customWidth="1"/>
    <col min="32" max="39" width="9.28515625" hidden="1" customWidth="1"/>
    <col min="40" max="40" width="12.85546875" hidden="1" customWidth="1"/>
    <col min="41" max="41" width="17.42578125" hidden="1" customWidth="1"/>
    <col min="42" max="42" width="12.42578125" hidden="1" customWidth="1"/>
    <col min="43" max="46" width="9.28515625" hidden="1" customWidth="1"/>
    <col min="47" max="47" width="10.7109375" hidden="1" customWidth="1"/>
    <col min="48" max="48" width="11" hidden="1" customWidth="1"/>
    <col min="49" max="49" width="14.28515625" hidden="1" customWidth="1"/>
    <col min="50" max="84" width="0" hidden="1" customWidth="1"/>
  </cols>
  <sheetData>
    <row r="1" spans="1:60" ht="15.75" x14ac:dyDescent="0.25">
      <c r="A1" s="63" t="s">
        <v>0</v>
      </c>
      <c r="B1" s="62"/>
      <c r="C1" s="62"/>
      <c r="E1" s="62"/>
      <c r="F1" s="62"/>
      <c r="G1" s="1"/>
      <c r="H1" s="1"/>
      <c r="I1" s="1"/>
      <c r="J1" s="1"/>
      <c r="K1" s="29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N1" t="s">
        <v>1</v>
      </c>
      <c r="AO1" s="83" t="s">
        <v>699</v>
      </c>
      <c r="AP1" s="82"/>
    </row>
    <row r="2" spans="1:60" ht="15.75" x14ac:dyDescent="0.25">
      <c r="A2" s="112" t="str">
        <f>ReportMonth</f>
        <v>JUNE 2004</v>
      </c>
      <c r="D2" s="62"/>
      <c r="E2" s="62"/>
      <c r="F2" s="62"/>
      <c r="G2" s="1"/>
      <c r="H2" s="1"/>
      <c r="I2" s="1"/>
      <c r="J2" s="1"/>
      <c r="K2" s="29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N2" t="s">
        <v>2</v>
      </c>
      <c r="AO2" s="83" t="s">
        <v>699</v>
      </c>
    </row>
    <row r="3" spans="1:60" ht="15" x14ac:dyDescent="0.2">
      <c r="A3" s="87" t="s">
        <v>3</v>
      </c>
      <c r="B3" s="87"/>
      <c r="C3" s="43"/>
      <c r="D3" s="87"/>
      <c r="E3" s="87"/>
      <c r="F3" s="87"/>
      <c r="G3" s="42"/>
      <c r="H3" s="42"/>
      <c r="I3" s="42"/>
      <c r="J3" s="42"/>
      <c r="K3" s="29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O3" s="83"/>
    </row>
    <row r="4" spans="1:60" ht="15" x14ac:dyDescent="0.2">
      <c r="A4" s="87" t="s">
        <v>441</v>
      </c>
      <c r="B4" s="87"/>
      <c r="C4" s="43"/>
      <c r="D4" s="87"/>
      <c r="E4" s="87"/>
      <c r="F4" s="87"/>
      <c r="G4" s="42"/>
      <c r="H4" s="42"/>
      <c r="I4" s="42"/>
      <c r="J4" s="42"/>
      <c r="K4" s="29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O4" s="83"/>
    </row>
    <row r="5" spans="1:60" ht="15" x14ac:dyDescent="0.2">
      <c r="A5" s="87" t="s">
        <v>4</v>
      </c>
      <c r="B5" s="43"/>
      <c r="C5" s="87"/>
      <c r="D5" s="87"/>
      <c r="E5" s="87"/>
      <c r="F5" s="87"/>
      <c r="G5" s="42"/>
      <c r="H5" s="42"/>
      <c r="I5" s="42"/>
      <c r="J5" s="42"/>
      <c r="K5" s="29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7" spans="1:60" ht="20.25" x14ac:dyDescent="0.3">
      <c r="A7" s="113" t="str">
        <f>CONCATENATE("EXCISE TAX COLLECTED IN ",ReportMonth," FOR ",ActivityMonth," FUEL TRANSACTIONS")</f>
        <v>EXCISE TAX COLLECTED IN JUNE 2004 FOR JUNE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294"/>
      <c r="L7" s="115" t="s">
        <v>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60" ht="18" customHeight="1" x14ac:dyDescent="0.2"/>
    <row r="9" spans="1:60" x14ac:dyDescent="0.2">
      <c r="A9" s="1"/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8</v>
      </c>
      <c r="H9" s="1"/>
      <c r="I9" s="5" t="s">
        <v>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60" x14ac:dyDescent="0.2">
      <c r="A10" s="1"/>
      <c r="B10" s="5" t="s">
        <v>5</v>
      </c>
      <c r="C10" s="5" t="s">
        <v>5</v>
      </c>
      <c r="D10" s="5" t="s">
        <v>9</v>
      </c>
      <c r="E10" s="5" t="s">
        <v>9</v>
      </c>
      <c r="F10" s="5" t="s">
        <v>8</v>
      </c>
      <c r="G10" s="5" t="s">
        <v>10</v>
      </c>
      <c r="H10" s="5" t="s">
        <v>8</v>
      </c>
      <c r="I10" s="5" t="s">
        <v>662</v>
      </c>
      <c r="J10" s="378" t="s">
        <v>11</v>
      </c>
      <c r="K10" s="386"/>
      <c r="L10" s="5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 t="s">
        <v>12</v>
      </c>
      <c r="AE10" s="1"/>
      <c r="AF10" s="395" t="s">
        <v>672</v>
      </c>
      <c r="AG10" s="395"/>
      <c r="AH10" s="395"/>
      <c r="AI10" s="395"/>
      <c r="AJ10" s="395"/>
      <c r="AK10" s="395"/>
      <c r="AL10" s="395"/>
      <c r="AM10" s="395"/>
      <c r="AN10" s="395"/>
      <c r="AO10" s="395"/>
      <c r="AP10" s="395"/>
      <c r="AQ10" s="395"/>
      <c r="AR10" s="395"/>
      <c r="AS10" s="395"/>
      <c r="AT10" s="395"/>
      <c r="AU10" s="395"/>
      <c r="AV10" s="395"/>
    </row>
    <row r="11" spans="1:60" s="20" customFormat="1" ht="15" customHeight="1" thickBot="1" x14ac:dyDescent="0.25">
      <c r="A11" s="80" t="s">
        <v>13</v>
      </c>
      <c r="B11" s="79" t="s">
        <v>9</v>
      </c>
      <c r="C11" s="79" t="s">
        <v>14</v>
      </c>
      <c r="D11" s="79" t="s">
        <v>15</v>
      </c>
      <c r="E11" s="79" t="s">
        <v>16</v>
      </c>
      <c r="F11" s="79" t="s">
        <v>17</v>
      </c>
      <c r="G11" s="79" t="s">
        <v>18</v>
      </c>
      <c r="H11" s="79" t="s">
        <v>19</v>
      </c>
      <c r="I11" s="79" t="s">
        <v>661</v>
      </c>
      <c r="J11" s="379" t="s">
        <v>20</v>
      </c>
      <c r="K11" s="387"/>
      <c r="L11" s="80"/>
      <c r="M11" s="106" t="s">
        <v>21</v>
      </c>
      <c r="N11" s="106" t="s">
        <v>22</v>
      </c>
      <c r="O11" s="107" t="s">
        <v>23</v>
      </c>
      <c r="P11" s="106" t="s">
        <v>24</v>
      </c>
      <c r="Q11" s="107" t="s">
        <v>25</v>
      </c>
      <c r="R11" s="106" t="s">
        <v>26</v>
      </c>
      <c r="S11" s="106" t="s">
        <v>27</v>
      </c>
      <c r="T11" s="106" t="s">
        <v>28</v>
      </c>
      <c r="U11" s="106" t="s">
        <v>29</v>
      </c>
      <c r="V11" s="106" t="s">
        <v>30</v>
      </c>
      <c r="W11" s="107" t="s">
        <v>31</v>
      </c>
      <c r="X11" s="106" t="s">
        <v>32</v>
      </c>
      <c r="Y11" s="107" t="s">
        <v>33</v>
      </c>
      <c r="Z11" s="106" t="s">
        <v>34</v>
      </c>
      <c r="AA11" s="106" t="s">
        <v>35</v>
      </c>
      <c r="AB11" s="107" t="s">
        <v>36</v>
      </c>
      <c r="AC11" s="106" t="s">
        <v>37</v>
      </c>
      <c r="AD11" s="106" t="s">
        <v>5</v>
      </c>
      <c r="AE11" s="18"/>
      <c r="AF11" s="318" t="s">
        <v>21</v>
      </c>
      <c r="AG11" s="318" t="s">
        <v>22</v>
      </c>
      <c r="AH11" s="319" t="s">
        <v>23</v>
      </c>
      <c r="AI11" s="318" t="s">
        <v>24</v>
      </c>
      <c r="AJ11" s="319" t="s">
        <v>25</v>
      </c>
      <c r="AK11" s="318" t="s">
        <v>26</v>
      </c>
      <c r="AL11" s="318" t="s">
        <v>27</v>
      </c>
      <c r="AM11" s="318" t="s">
        <v>28</v>
      </c>
      <c r="AN11" s="318" t="s">
        <v>29</v>
      </c>
      <c r="AO11" s="318" t="s">
        <v>30</v>
      </c>
      <c r="AP11" s="319" t="s">
        <v>31</v>
      </c>
      <c r="AQ11" s="318" t="s">
        <v>32</v>
      </c>
      <c r="AR11" s="319" t="s">
        <v>33</v>
      </c>
      <c r="AS11" s="318" t="s">
        <v>34</v>
      </c>
      <c r="AT11" s="318" t="s">
        <v>35</v>
      </c>
      <c r="AU11" s="319" t="s">
        <v>36</v>
      </c>
      <c r="AV11" s="318" t="s">
        <v>37</v>
      </c>
      <c r="AW11" s="320" t="s">
        <v>673</v>
      </c>
      <c r="AX11" s="316"/>
      <c r="AY11" s="316"/>
      <c r="AZ11" s="316"/>
      <c r="BA11" s="316"/>
      <c r="BB11" s="316"/>
      <c r="BC11" s="316"/>
      <c r="BD11" s="316"/>
      <c r="BE11" s="316"/>
      <c r="BF11" s="316"/>
      <c r="BG11" s="316"/>
      <c r="BH11" s="316"/>
    </row>
    <row r="12" spans="1:60" s="20" customFormat="1" ht="15" customHeigh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380"/>
      <c r="K12" s="388"/>
      <c r="L12" s="18"/>
      <c r="M12" s="28"/>
      <c r="N12" s="28"/>
      <c r="O12" s="26"/>
      <c r="P12" s="28"/>
      <c r="Q12" s="26"/>
      <c r="R12" s="28"/>
      <c r="S12" s="28"/>
      <c r="T12" s="28"/>
      <c r="U12" s="28"/>
      <c r="V12" s="28"/>
      <c r="W12" s="26"/>
      <c r="X12" s="28"/>
      <c r="Y12" s="26"/>
      <c r="Z12" s="28"/>
      <c r="AA12" s="28"/>
      <c r="AB12" s="26"/>
      <c r="AC12" s="28"/>
      <c r="AD12" s="28"/>
      <c r="AE12" s="18"/>
      <c r="AF12">
        <v>8.8200000000000001E-2</v>
      </c>
      <c r="AG12">
        <v>8.8200000000000001E-2</v>
      </c>
      <c r="AH12">
        <v>8.8200000000000001E-2</v>
      </c>
      <c r="AI12">
        <v>3.9199999999999999E-2</v>
      </c>
      <c r="AJ12">
        <v>3.9199999999999999E-2</v>
      </c>
      <c r="AK12">
        <v>3.9199999999999999E-2</v>
      </c>
      <c r="AL12">
        <v>3.9199999999999999E-2</v>
      </c>
      <c r="AM12">
        <v>8.8200000000000001E-2</v>
      </c>
      <c r="AN12">
        <v>8.8200000000000001E-2</v>
      </c>
      <c r="AO12">
        <v>3.9199999999999999E-2</v>
      </c>
      <c r="AP12">
        <v>8.8200000000000001E-2</v>
      </c>
      <c r="AQ12">
        <v>8.8200000000000001E-2</v>
      </c>
      <c r="AR12">
        <v>3.9199999999999999E-2</v>
      </c>
      <c r="AS12">
        <v>8.8200000000000001E-2</v>
      </c>
      <c r="AT12">
        <v>3.9199999999999999E-2</v>
      </c>
      <c r="AU12">
        <v>8.8200000000000001E-2</v>
      </c>
      <c r="AV12">
        <v>8.8200000000000001E-2</v>
      </c>
      <c r="AW12" s="320" t="s">
        <v>674</v>
      </c>
    </row>
    <row r="13" spans="1:60" ht="12.75" customHeight="1" x14ac:dyDescent="0.2">
      <c r="A13" s="1" t="s">
        <v>736</v>
      </c>
      <c r="B13" s="7">
        <v>3683</v>
      </c>
      <c r="C13" s="7">
        <v>0</v>
      </c>
      <c r="D13" s="2">
        <f>(B13+C13)*0.124</f>
        <v>456.69</v>
      </c>
      <c r="E13" s="2">
        <f>(B13+C13)*0.049</f>
        <v>180.47</v>
      </c>
      <c r="F13" s="2">
        <f>(B13+C13)*0.0524</f>
        <v>192.99</v>
      </c>
      <c r="G13" s="2">
        <f>+AW13</f>
        <v>324.83999999999997</v>
      </c>
      <c r="H13" s="2">
        <f>(B13+C13)*0.0098</f>
        <v>36.090000000000003</v>
      </c>
      <c r="I13" s="2">
        <f>(AB13)*0.0041219</f>
        <v>0</v>
      </c>
      <c r="J13" s="381">
        <f>SUM(D13:I13)</f>
        <v>1191.08</v>
      </c>
      <c r="K13" s="384"/>
      <c r="L13" s="7"/>
      <c r="M13" s="7"/>
      <c r="N13" s="7"/>
      <c r="O13" s="7">
        <v>3683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f>SUM(L13:AC13)</f>
        <v>3683</v>
      </c>
      <c r="AE13" s="1"/>
      <c r="AF13" s="284">
        <f>+M13*$AF$12</f>
        <v>0</v>
      </c>
      <c r="AG13" s="284">
        <f>+N13*$AG$12</f>
        <v>0</v>
      </c>
      <c r="AH13" s="284">
        <f>+O13*$AH$12</f>
        <v>324.83999999999997</v>
      </c>
      <c r="AI13" s="284">
        <f>+P13*$AI$12</f>
        <v>0</v>
      </c>
      <c r="AJ13" s="284">
        <f>+Q13*$AJ$12</f>
        <v>0</v>
      </c>
      <c r="AK13" s="284">
        <f>+R13*$AK$12</f>
        <v>0</v>
      </c>
      <c r="AL13" s="284">
        <f>+S13*$AL$12</f>
        <v>0</v>
      </c>
      <c r="AM13" s="284">
        <f>+T13*$AM$12</f>
        <v>0</v>
      </c>
      <c r="AN13" s="284">
        <f>+U13*$AN$12</f>
        <v>0</v>
      </c>
      <c r="AO13" s="284">
        <f>+V13*$AO$12</f>
        <v>0</v>
      </c>
      <c r="AP13" s="284">
        <f>+W13*$AP$12</f>
        <v>0</v>
      </c>
      <c r="AQ13" s="284">
        <f>+X13*$AQ$12</f>
        <v>0</v>
      </c>
      <c r="AR13" s="284">
        <f>+Y13*$AR$12</f>
        <v>0</v>
      </c>
      <c r="AS13" s="284">
        <f>+Z13*$AS$12</f>
        <v>0</v>
      </c>
      <c r="AT13" s="284">
        <f>+AA13*$AT$12</f>
        <v>0</v>
      </c>
      <c r="AU13" s="284">
        <f>+AB13*$AU$12</f>
        <v>0</v>
      </c>
      <c r="AV13" s="284">
        <f>+AC13*$AV$12</f>
        <v>0</v>
      </c>
      <c r="AW13" s="321">
        <f>SUM(AF13:AV13)</f>
        <v>324.83999999999997</v>
      </c>
    </row>
    <row r="14" spans="1:60" x14ac:dyDescent="0.2">
      <c r="A14" s="1" t="s">
        <v>342</v>
      </c>
      <c r="B14" s="7">
        <v>30713</v>
      </c>
      <c r="C14" s="7">
        <v>0</v>
      </c>
      <c r="D14" s="2">
        <f>(B14+C14)*0.124</f>
        <v>3808.41</v>
      </c>
      <c r="E14" s="2">
        <f t="shared" ref="E14:E24" si="0">(B14+C14)*0.049</f>
        <v>1504.94</v>
      </c>
      <c r="F14" s="2">
        <f t="shared" ref="F14:F24" si="1">(B14+C14)*0.0524</f>
        <v>1609.36</v>
      </c>
      <c r="G14" s="2">
        <f t="shared" ref="G14:G88" si="2">+AW14</f>
        <v>2708.89</v>
      </c>
      <c r="H14" s="2">
        <f t="shared" ref="H14:H96" si="3">(B14+C14)*0.0098</f>
        <v>300.99</v>
      </c>
      <c r="I14" s="2">
        <f t="shared" ref="I14:I88" si="4">(AB14)*0.0041219</f>
        <v>0</v>
      </c>
      <c r="J14" s="381">
        <f t="shared" ref="J14:J87" si="5">SUM(D14:I14)</f>
        <v>9932.59</v>
      </c>
      <c r="K14" s="384"/>
      <c r="L14" s="7"/>
      <c r="M14" s="7"/>
      <c r="N14" s="7"/>
      <c r="O14" s="7"/>
      <c r="P14" s="7"/>
      <c r="Q14" s="7"/>
      <c r="R14" s="7"/>
      <c r="S14" s="7"/>
      <c r="T14" s="7"/>
      <c r="U14" s="7">
        <v>30713</v>
      </c>
      <c r="V14" s="7"/>
      <c r="W14" s="7"/>
      <c r="X14" s="7"/>
      <c r="Y14" s="7"/>
      <c r="Z14" s="7"/>
      <c r="AA14" s="7"/>
      <c r="AB14" s="7"/>
      <c r="AC14" s="7"/>
      <c r="AD14" s="7">
        <f t="shared" ref="AD14:AD29" si="6">SUM(L14:AC14)</f>
        <v>30713</v>
      </c>
      <c r="AE14" s="1"/>
      <c r="AF14" s="284">
        <f t="shared" ref="AF14:AF88" si="7">+M14*$AF$12</f>
        <v>0</v>
      </c>
      <c r="AG14" s="284">
        <f t="shared" ref="AG14:AG88" si="8">+N14*$AG$12</f>
        <v>0</v>
      </c>
      <c r="AH14" s="284">
        <f t="shared" ref="AH14:AH88" si="9">+O14*$AH$12</f>
        <v>0</v>
      </c>
      <c r="AI14" s="284">
        <f t="shared" ref="AI14:AI88" si="10">+P14*$AI$12</f>
        <v>0</v>
      </c>
      <c r="AJ14" s="284">
        <f t="shared" ref="AJ14:AJ88" si="11">+Q14*$AJ$12</f>
        <v>0</v>
      </c>
      <c r="AK14" s="284">
        <f t="shared" ref="AK14:AK88" si="12">+R14*$AK$12</f>
        <v>0</v>
      </c>
      <c r="AL14" s="284">
        <f t="shared" ref="AL14:AL88" si="13">+S14*$AL$12</f>
        <v>0</v>
      </c>
      <c r="AM14" s="284">
        <f t="shared" ref="AM14:AM88" si="14">+T14*$AM$12</f>
        <v>0</v>
      </c>
      <c r="AN14" s="284">
        <f t="shared" ref="AN14:AN88" si="15">+U14*$AN$12</f>
        <v>2708.89</v>
      </c>
      <c r="AO14" s="284">
        <f t="shared" ref="AO14:AO88" si="16">+V14*$AO$12</f>
        <v>0</v>
      </c>
      <c r="AP14" s="284">
        <f t="shared" ref="AP14:AP88" si="17">+W14*$AP$12</f>
        <v>0</v>
      </c>
      <c r="AQ14" s="284">
        <f t="shared" ref="AQ14:AQ88" si="18">+X14*$AQ$12</f>
        <v>0</v>
      </c>
      <c r="AR14" s="284">
        <f t="shared" ref="AR14:AR88" si="19">+Y14*$AR$12</f>
        <v>0</v>
      </c>
      <c r="AS14" s="284">
        <f t="shared" ref="AS14:AS88" si="20">+Z14*$AS$12</f>
        <v>0</v>
      </c>
      <c r="AT14" s="284">
        <f t="shared" ref="AT14:AT88" si="21">+AA14*$AT$12</f>
        <v>0</v>
      </c>
      <c r="AU14" s="284">
        <f t="shared" ref="AU14:AU88" si="22">+AB14*$AU$12</f>
        <v>0</v>
      </c>
      <c r="AV14" s="284">
        <f t="shared" ref="AV14:AV88" si="23">+AC14*$AV$12</f>
        <v>0</v>
      </c>
      <c r="AW14" s="321">
        <f t="shared" ref="AW14:AW88" si="24">SUM(AF14:AV14)</f>
        <v>2708.89</v>
      </c>
    </row>
    <row r="15" spans="1:60" ht="12.75" customHeight="1" x14ac:dyDescent="0.2">
      <c r="A15" s="1" t="s">
        <v>742</v>
      </c>
      <c r="B15" s="7"/>
      <c r="C15" s="7"/>
      <c r="D15" s="2">
        <f>(B15+C15)*0.124</f>
        <v>0</v>
      </c>
      <c r="E15" s="2">
        <f>(B15+C15)*0.049</f>
        <v>0</v>
      </c>
      <c r="F15" s="2">
        <f>(B15+C15)*0.0524</f>
        <v>0</v>
      </c>
      <c r="G15" s="2">
        <f>+AW15+1190.8</f>
        <v>1190.8</v>
      </c>
      <c r="H15" s="2">
        <f>(B15+C15)*0.0098</f>
        <v>0</v>
      </c>
      <c r="I15" s="2">
        <f>(AB15)*0.0041219</f>
        <v>0</v>
      </c>
      <c r="J15" s="381">
        <f>SUM(D15:I15)</f>
        <v>1190.8</v>
      </c>
      <c r="K15" s="38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>
        <f>SUM(L15:AC15)</f>
        <v>0</v>
      </c>
      <c r="AE15" s="1"/>
      <c r="AF15" s="284">
        <f>+M15*$AF$12</f>
        <v>0</v>
      </c>
      <c r="AG15" s="284">
        <f>+N15*$AG$12</f>
        <v>0</v>
      </c>
      <c r="AH15" s="284">
        <f>+O15*$AH$12</f>
        <v>0</v>
      </c>
      <c r="AI15" s="284">
        <f>+P15*$AI$12</f>
        <v>0</v>
      </c>
      <c r="AJ15" s="284">
        <f>+Q15*$AJ$12</f>
        <v>0</v>
      </c>
      <c r="AK15" s="284">
        <f>+R15*$AK$12</f>
        <v>0</v>
      </c>
      <c r="AL15" s="284">
        <f>+S15*$AL$12</f>
        <v>0</v>
      </c>
      <c r="AM15" s="284">
        <f>+T15*$AM$12</f>
        <v>0</v>
      </c>
      <c r="AN15" s="284">
        <f>+U15*$AN$12</f>
        <v>0</v>
      </c>
      <c r="AO15" s="284">
        <f>+V15*$AO$12</f>
        <v>0</v>
      </c>
      <c r="AP15" s="284">
        <f>+W15*$AP$12</f>
        <v>0</v>
      </c>
      <c r="AQ15" s="284">
        <f>+X15*$AQ$12</f>
        <v>0</v>
      </c>
      <c r="AR15" s="284">
        <f>+Y15*$AR$12</f>
        <v>0</v>
      </c>
      <c r="AS15" s="284">
        <f>+Z15*$AS$12</f>
        <v>0</v>
      </c>
      <c r="AT15" s="284">
        <f>+AA15*$AT$12</f>
        <v>0</v>
      </c>
      <c r="AU15" s="284">
        <f>+AB15*$AU$12</f>
        <v>0</v>
      </c>
      <c r="AV15" s="284">
        <f>+AC15*$AV$12</f>
        <v>0</v>
      </c>
      <c r="AW15" s="321">
        <f>SUM(AF15:AV15)</f>
        <v>0</v>
      </c>
    </row>
    <row r="16" spans="1:60" ht="12.75" customHeight="1" x14ac:dyDescent="0.2">
      <c r="A16" s="1" t="s">
        <v>743</v>
      </c>
      <c r="B16" s="7"/>
      <c r="C16" s="7"/>
      <c r="D16" s="2">
        <f>(B16+C16)*0.124</f>
        <v>0</v>
      </c>
      <c r="E16" s="2">
        <f>(B16+C16)*0.049</f>
        <v>0</v>
      </c>
      <c r="F16" s="2">
        <f>(B16+C16)*0.0524</f>
        <v>0</v>
      </c>
      <c r="G16" s="2">
        <f>+AW16+1245.9</f>
        <v>1245.9000000000001</v>
      </c>
      <c r="H16" s="2">
        <f>(B16+C16)*0.0098</f>
        <v>0</v>
      </c>
      <c r="I16" s="2">
        <f>(AB16)*0.0041219</f>
        <v>0</v>
      </c>
      <c r="J16" s="381">
        <f>SUM(D16:I16)</f>
        <v>1245.9000000000001</v>
      </c>
      <c r="K16" s="38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>
        <f>SUM(L16:AC16)</f>
        <v>0</v>
      </c>
      <c r="AE16" s="1"/>
      <c r="AF16" s="284">
        <f>+M16*$AF$12</f>
        <v>0</v>
      </c>
      <c r="AG16" s="284">
        <f>+N16*$AG$12</f>
        <v>0</v>
      </c>
      <c r="AH16" s="284">
        <f>+O16*$AH$12</f>
        <v>0</v>
      </c>
      <c r="AI16" s="284">
        <f>+P16*$AI$12</f>
        <v>0</v>
      </c>
      <c r="AJ16" s="284">
        <f>+Q16*$AJ$12</f>
        <v>0</v>
      </c>
      <c r="AK16" s="284">
        <f>+R16*$AK$12</f>
        <v>0</v>
      </c>
      <c r="AL16" s="284">
        <f>+S16*$AL$12</f>
        <v>0</v>
      </c>
      <c r="AM16" s="284">
        <f>+T16*$AM$12</f>
        <v>0</v>
      </c>
      <c r="AN16" s="284">
        <f>+U16*$AN$12</f>
        <v>0</v>
      </c>
      <c r="AO16" s="284">
        <f>+V16*$AO$12</f>
        <v>0</v>
      </c>
      <c r="AP16" s="284">
        <f>+W16*$AP$12</f>
        <v>0</v>
      </c>
      <c r="AQ16" s="284">
        <f>+X16*$AQ$12</f>
        <v>0</v>
      </c>
      <c r="AR16" s="284">
        <f>+Y16*$AR$12</f>
        <v>0</v>
      </c>
      <c r="AS16" s="284">
        <f>+Z16*$AS$12</f>
        <v>0</v>
      </c>
      <c r="AT16" s="284">
        <f>+AA16*$AT$12</f>
        <v>0</v>
      </c>
      <c r="AU16" s="284">
        <f>+AB16*$AU$12</f>
        <v>0</v>
      </c>
      <c r="AV16" s="284">
        <f>+AC16*$AV$12</f>
        <v>0</v>
      </c>
      <c r="AW16" s="321">
        <f>SUM(AF16:AV16)</f>
        <v>0</v>
      </c>
    </row>
    <row r="17" spans="1:49" x14ac:dyDescent="0.2">
      <c r="A17" s="7" t="s">
        <v>38</v>
      </c>
      <c r="B17" s="7">
        <v>165</v>
      </c>
      <c r="C17" s="7">
        <v>0</v>
      </c>
      <c r="D17" s="2">
        <f>(B17+C17)*0.124-0.01</f>
        <v>20.45</v>
      </c>
      <c r="E17" s="2">
        <f t="shared" si="0"/>
        <v>8.09</v>
      </c>
      <c r="F17" s="2">
        <f t="shared" si="1"/>
        <v>8.65</v>
      </c>
      <c r="G17" s="2">
        <f t="shared" si="2"/>
        <v>14.55</v>
      </c>
      <c r="H17" s="2">
        <f t="shared" si="3"/>
        <v>1.62</v>
      </c>
      <c r="I17" s="2">
        <f t="shared" si="4"/>
        <v>0</v>
      </c>
      <c r="J17" s="381">
        <f t="shared" si="5"/>
        <v>53.36</v>
      </c>
      <c r="K17" s="384"/>
      <c r="L17" s="7"/>
      <c r="M17" s="7"/>
      <c r="N17" s="7"/>
      <c r="O17" s="7">
        <v>165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>
        <f t="shared" si="6"/>
        <v>165</v>
      </c>
      <c r="AF17" s="284">
        <f t="shared" si="7"/>
        <v>0</v>
      </c>
      <c r="AG17" s="284">
        <f t="shared" si="8"/>
        <v>0</v>
      </c>
      <c r="AH17" s="284">
        <f t="shared" si="9"/>
        <v>14.55</v>
      </c>
      <c r="AI17" s="284">
        <f t="shared" si="10"/>
        <v>0</v>
      </c>
      <c r="AJ17" s="284">
        <f t="shared" si="11"/>
        <v>0</v>
      </c>
      <c r="AK17" s="284">
        <f t="shared" si="12"/>
        <v>0</v>
      </c>
      <c r="AL17" s="284">
        <f t="shared" si="13"/>
        <v>0</v>
      </c>
      <c r="AM17" s="284">
        <f t="shared" si="14"/>
        <v>0</v>
      </c>
      <c r="AN17" s="284">
        <f t="shared" si="15"/>
        <v>0</v>
      </c>
      <c r="AO17" s="284">
        <f t="shared" si="16"/>
        <v>0</v>
      </c>
      <c r="AP17" s="284">
        <f t="shared" si="17"/>
        <v>0</v>
      </c>
      <c r="AQ17" s="284">
        <f t="shared" si="18"/>
        <v>0</v>
      </c>
      <c r="AR17" s="284">
        <f t="shared" si="19"/>
        <v>0</v>
      </c>
      <c r="AS17" s="284">
        <f t="shared" si="20"/>
        <v>0</v>
      </c>
      <c r="AT17" s="284">
        <f t="shared" si="21"/>
        <v>0</v>
      </c>
      <c r="AU17" s="284">
        <f t="shared" si="22"/>
        <v>0</v>
      </c>
      <c r="AV17" s="284">
        <f t="shared" si="23"/>
        <v>0</v>
      </c>
      <c r="AW17" s="321">
        <f t="shared" si="24"/>
        <v>14.55</v>
      </c>
    </row>
    <row r="18" spans="1:49" x14ac:dyDescent="0.2">
      <c r="A18" s="18" t="s">
        <v>610</v>
      </c>
      <c r="B18" s="7">
        <v>168</v>
      </c>
      <c r="C18" s="7">
        <v>0</v>
      </c>
      <c r="D18" s="2">
        <f>(B18+C18)*0.124+0.01</f>
        <v>20.84</v>
      </c>
      <c r="E18" s="2">
        <f>(B18+C18)*0.049</f>
        <v>8.23</v>
      </c>
      <c r="F18" s="2">
        <f>(B18+C18)*0.0524</f>
        <v>8.8000000000000007</v>
      </c>
      <c r="G18" s="2">
        <f t="shared" si="2"/>
        <v>14.82</v>
      </c>
      <c r="H18" s="2">
        <f t="shared" si="3"/>
        <v>1.65</v>
      </c>
      <c r="I18" s="2">
        <f t="shared" si="4"/>
        <v>0.69</v>
      </c>
      <c r="J18" s="381">
        <f t="shared" si="5"/>
        <v>55.03</v>
      </c>
      <c r="K18" s="384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>
        <v>168</v>
      </c>
      <c r="AC18" s="7"/>
      <c r="AD18" s="7">
        <f t="shared" si="6"/>
        <v>168</v>
      </c>
      <c r="AF18" s="284">
        <f t="shared" si="7"/>
        <v>0</v>
      </c>
      <c r="AG18" s="284">
        <f t="shared" si="8"/>
        <v>0</v>
      </c>
      <c r="AH18" s="284">
        <f t="shared" si="9"/>
        <v>0</v>
      </c>
      <c r="AI18" s="284">
        <f t="shared" si="10"/>
        <v>0</v>
      </c>
      <c r="AJ18" s="284">
        <f t="shared" si="11"/>
        <v>0</v>
      </c>
      <c r="AK18" s="284">
        <f t="shared" si="12"/>
        <v>0</v>
      </c>
      <c r="AL18" s="284">
        <f t="shared" si="13"/>
        <v>0</v>
      </c>
      <c r="AM18" s="284">
        <f t="shared" si="14"/>
        <v>0</v>
      </c>
      <c r="AN18" s="284">
        <f t="shared" si="15"/>
        <v>0</v>
      </c>
      <c r="AO18" s="284">
        <f t="shared" si="16"/>
        <v>0</v>
      </c>
      <c r="AP18" s="284">
        <f t="shared" si="17"/>
        <v>0</v>
      </c>
      <c r="AQ18" s="284">
        <f t="shared" si="18"/>
        <v>0</v>
      </c>
      <c r="AR18" s="284">
        <f t="shared" si="19"/>
        <v>0</v>
      </c>
      <c r="AS18" s="284">
        <f t="shared" si="20"/>
        <v>0</v>
      </c>
      <c r="AT18" s="284">
        <f t="shared" si="21"/>
        <v>0</v>
      </c>
      <c r="AU18" s="284">
        <f t="shared" si="22"/>
        <v>14.82</v>
      </c>
      <c r="AV18" s="284">
        <f t="shared" si="23"/>
        <v>0</v>
      </c>
      <c r="AW18" s="321">
        <f t="shared" si="24"/>
        <v>14.82</v>
      </c>
    </row>
    <row r="19" spans="1:49" x14ac:dyDescent="0.2">
      <c r="A19" s="1" t="s">
        <v>490</v>
      </c>
      <c r="B19" s="7">
        <v>0</v>
      </c>
      <c r="C19" s="7">
        <v>282142</v>
      </c>
      <c r="D19" s="2">
        <f>(B19+C19)*0.124</f>
        <v>34985.61</v>
      </c>
      <c r="E19" s="2">
        <f t="shared" si="0"/>
        <v>13824.96</v>
      </c>
      <c r="F19" s="2">
        <f t="shared" si="1"/>
        <v>14784.24</v>
      </c>
      <c r="G19" s="2">
        <f t="shared" si="2"/>
        <v>24884.92</v>
      </c>
      <c r="H19" s="2">
        <f t="shared" si="3"/>
        <v>2764.99</v>
      </c>
      <c r="I19" s="2">
        <f t="shared" si="4"/>
        <v>0</v>
      </c>
      <c r="J19" s="381">
        <f t="shared" si="5"/>
        <v>91244.72</v>
      </c>
      <c r="K19" s="384"/>
      <c r="L19" s="7"/>
      <c r="M19" s="7"/>
      <c r="N19" s="7"/>
      <c r="O19" s="7">
        <v>282142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>
        <f t="shared" si="6"/>
        <v>282142</v>
      </c>
      <c r="AE19" s="7"/>
      <c r="AF19" s="284">
        <f t="shared" si="7"/>
        <v>0</v>
      </c>
      <c r="AG19" s="284">
        <f t="shared" si="8"/>
        <v>0</v>
      </c>
      <c r="AH19" s="284">
        <f t="shared" si="9"/>
        <v>24884.92</v>
      </c>
      <c r="AI19" s="284">
        <f t="shared" si="10"/>
        <v>0</v>
      </c>
      <c r="AJ19" s="284">
        <f t="shared" si="11"/>
        <v>0</v>
      </c>
      <c r="AK19" s="284">
        <f t="shared" si="12"/>
        <v>0</v>
      </c>
      <c r="AL19" s="284">
        <f t="shared" si="13"/>
        <v>0</v>
      </c>
      <c r="AM19" s="284">
        <f t="shared" si="14"/>
        <v>0</v>
      </c>
      <c r="AN19" s="284">
        <f t="shared" si="15"/>
        <v>0</v>
      </c>
      <c r="AO19" s="284">
        <f t="shared" si="16"/>
        <v>0</v>
      </c>
      <c r="AP19" s="284">
        <f t="shared" si="17"/>
        <v>0</v>
      </c>
      <c r="AQ19" s="284">
        <f t="shared" si="18"/>
        <v>0</v>
      </c>
      <c r="AR19" s="284">
        <f t="shared" si="19"/>
        <v>0</v>
      </c>
      <c r="AS19" s="284">
        <f t="shared" si="20"/>
        <v>0</v>
      </c>
      <c r="AT19" s="284">
        <f t="shared" si="21"/>
        <v>0</v>
      </c>
      <c r="AU19" s="284">
        <f t="shared" si="22"/>
        <v>0</v>
      </c>
      <c r="AV19" s="284">
        <f t="shared" si="23"/>
        <v>0</v>
      </c>
      <c r="AW19" s="321">
        <f t="shared" si="24"/>
        <v>24884.92</v>
      </c>
    </row>
    <row r="20" spans="1:49" x14ac:dyDescent="0.2">
      <c r="A20" s="7" t="s">
        <v>605</v>
      </c>
      <c r="B20" s="7">
        <v>37825</v>
      </c>
      <c r="C20" s="7">
        <v>0</v>
      </c>
      <c r="D20" s="2">
        <f>(B20+C20)*0.124-383.92+0.01</f>
        <v>4306.3900000000003</v>
      </c>
      <c r="E20" s="2">
        <f>(B20+C20)*0.049-151.32</f>
        <v>1702.11</v>
      </c>
      <c r="F20" s="2">
        <f>(B20+C20)*0.0524-160.75</f>
        <v>1821.28</v>
      </c>
      <c r="G20" s="2">
        <f t="shared" si="2"/>
        <v>1361.7</v>
      </c>
      <c r="H20" s="2">
        <f>(B20+C20)*0.0098-30.26</f>
        <v>340.43</v>
      </c>
      <c r="I20" s="2">
        <f t="shared" si="4"/>
        <v>0</v>
      </c>
      <c r="J20" s="381">
        <f t="shared" si="5"/>
        <v>9531.91</v>
      </c>
      <c r="K20" s="384"/>
      <c r="L20" s="7"/>
      <c r="M20" s="7"/>
      <c r="N20" s="7"/>
      <c r="O20" s="7"/>
      <c r="P20" s="7"/>
      <c r="Q20" s="7"/>
      <c r="R20" s="7"/>
      <c r="S20" s="7"/>
      <c r="T20" s="7"/>
      <c r="U20" s="7">
        <v>37825</v>
      </c>
      <c r="V20" s="7"/>
      <c r="W20" s="7"/>
      <c r="X20" s="7"/>
      <c r="Y20" s="7"/>
      <c r="Z20" s="7"/>
      <c r="AA20" s="7"/>
      <c r="AB20" s="7"/>
      <c r="AC20" s="7"/>
      <c r="AD20" s="7">
        <f t="shared" si="6"/>
        <v>37825</v>
      </c>
      <c r="AF20" s="284">
        <f t="shared" si="7"/>
        <v>0</v>
      </c>
      <c r="AG20" s="284">
        <f t="shared" si="8"/>
        <v>0</v>
      </c>
      <c r="AH20" s="284">
        <f t="shared" si="9"/>
        <v>0</v>
      </c>
      <c r="AI20" s="284">
        <f t="shared" si="10"/>
        <v>0</v>
      </c>
      <c r="AJ20" s="284">
        <f t="shared" si="11"/>
        <v>0</v>
      </c>
      <c r="AK20" s="284">
        <f t="shared" si="12"/>
        <v>0</v>
      </c>
      <c r="AL20" s="284">
        <f t="shared" si="13"/>
        <v>0</v>
      </c>
      <c r="AM20" s="284">
        <f t="shared" si="14"/>
        <v>0</v>
      </c>
      <c r="AN20" s="284">
        <f>+U20*$AN$12-1974.47</f>
        <v>1361.7</v>
      </c>
      <c r="AO20" s="284">
        <f t="shared" si="16"/>
        <v>0</v>
      </c>
      <c r="AP20" s="284">
        <f t="shared" si="17"/>
        <v>0</v>
      </c>
      <c r="AQ20" s="284">
        <f t="shared" si="18"/>
        <v>0</v>
      </c>
      <c r="AR20" s="284">
        <f t="shared" si="19"/>
        <v>0</v>
      </c>
      <c r="AS20" s="284">
        <f t="shared" si="20"/>
        <v>0</v>
      </c>
      <c r="AT20" s="284">
        <f t="shared" si="21"/>
        <v>0</v>
      </c>
      <c r="AU20" s="284">
        <f t="shared" si="22"/>
        <v>0</v>
      </c>
      <c r="AV20" s="284">
        <f t="shared" si="23"/>
        <v>0</v>
      </c>
      <c r="AW20" s="321">
        <f t="shared" si="24"/>
        <v>1361.7</v>
      </c>
    </row>
    <row r="21" spans="1:49" x14ac:dyDescent="0.2">
      <c r="A21" s="1" t="s">
        <v>714</v>
      </c>
      <c r="B21" s="7">
        <v>143949</v>
      </c>
      <c r="C21" s="7">
        <v>0</v>
      </c>
      <c r="D21" s="2">
        <f>(B21+C21)*0.124-0.01</f>
        <v>17849.669999999998</v>
      </c>
      <c r="E21" s="2">
        <f>(B21+C21)*0.049</f>
        <v>7053.5</v>
      </c>
      <c r="F21" s="2">
        <f>(B21+C21)*0.0524</f>
        <v>7542.93</v>
      </c>
      <c r="G21" s="2">
        <f>+AW21</f>
        <v>12696.3</v>
      </c>
      <c r="H21" s="2">
        <f>(B21+C21)*0.0098</f>
        <v>1410.7</v>
      </c>
      <c r="I21" s="2">
        <f>(AB21)*0.0041219</f>
        <v>409.73</v>
      </c>
      <c r="J21" s="381">
        <f>SUM(D21:I21)</f>
        <v>46962.83</v>
      </c>
      <c r="K21" s="384"/>
      <c r="L21" s="7"/>
      <c r="M21" s="7"/>
      <c r="N21" s="7"/>
      <c r="O21" s="7"/>
      <c r="P21" s="7"/>
      <c r="Q21" s="7"/>
      <c r="R21" s="7"/>
      <c r="S21" s="7"/>
      <c r="T21" s="7">
        <v>44546</v>
      </c>
      <c r="U21" s="7"/>
      <c r="V21" s="7"/>
      <c r="W21" s="7"/>
      <c r="X21" s="7"/>
      <c r="Y21" s="7"/>
      <c r="Z21" s="7"/>
      <c r="AA21" s="7"/>
      <c r="AB21" s="7">
        <v>99403</v>
      </c>
      <c r="AC21" s="7"/>
      <c r="AD21" s="7">
        <f>SUM(L21:AC21)</f>
        <v>143949</v>
      </c>
      <c r="AE21" s="7"/>
      <c r="AF21" s="284">
        <f>+M21*$AF$12</f>
        <v>0</v>
      </c>
      <c r="AG21" s="284">
        <f>+N21*$AG$12</f>
        <v>0</v>
      </c>
      <c r="AH21" s="284">
        <f>+O21*$AH$12</f>
        <v>0</v>
      </c>
      <c r="AI21" s="284">
        <f>+P21*$AI$12</f>
        <v>0</v>
      </c>
      <c r="AJ21" s="284">
        <f>+Q21*$AJ$12</f>
        <v>0</v>
      </c>
      <c r="AK21" s="284">
        <f>+R21*$AK$12</f>
        <v>0</v>
      </c>
      <c r="AL21" s="284">
        <f>+S21*$AL$12</f>
        <v>0</v>
      </c>
      <c r="AM21" s="284">
        <f>+T21*$AM$12</f>
        <v>3928.96</v>
      </c>
      <c r="AN21" s="284">
        <f>+U21*$AN$12</f>
        <v>0</v>
      </c>
      <c r="AO21" s="284">
        <f>+V21*$AO$12</f>
        <v>0</v>
      </c>
      <c r="AP21" s="284">
        <f>+W21*$AP$12</f>
        <v>0</v>
      </c>
      <c r="AQ21" s="284">
        <f>+X21*$AQ$12</f>
        <v>0</v>
      </c>
      <c r="AR21" s="284">
        <f>+Y21*$AR$12</f>
        <v>0</v>
      </c>
      <c r="AS21" s="284">
        <f>+Z21*$AS$12</f>
        <v>0</v>
      </c>
      <c r="AT21" s="284">
        <f>+AA21*$AT$12</f>
        <v>0</v>
      </c>
      <c r="AU21" s="284">
        <f>+AB21*$AU$12</f>
        <v>8767.34</v>
      </c>
      <c r="AV21" s="284">
        <f>+AC21*$AV$12</f>
        <v>0</v>
      </c>
      <c r="AW21" s="321">
        <f>SUM(AF21:AV21)</f>
        <v>12696.3</v>
      </c>
    </row>
    <row r="22" spans="1:49" x14ac:dyDescent="0.2">
      <c r="A22" s="1" t="s">
        <v>39</v>
      </c>
      <c r="B22" s="7">
        <v>5520</v>
      </c>
      <c r="C22" s="7">
        <v>0</v>
      </c>
      <c r="D22" s="2">
        <f>(B22+C22)*0.124</f>
        <v>684.48</v>
      </c>
      <c r="E22" s="2">
        <f t="shared" si="0"/>
        <v>270.48</v>
      </c>
      <c r="F22" s="2">
        <f t="shared" si="1"/>
        <v>289.25</v>
      </c>
      <c r="G22" s="2">
        <f t="shared" si="2"/>
        <v>486.86</v>
      </c>
      <c r="H22" s="2">
        <f t="shared" si="3"/>
        <v>54.1</v>
      </c>
      <c r="I22" s="2">
        <f t="shared" si="4"/>
        <v>0</v>
      </c>
      <c r="J22" s="381">
        <f t="shared" si="5"/>
        <v>1785.17</v>
      </c>
      <c r="K22" s="384"/>
      <c r="L22" s="7"/>
      <c r="M22" s="7"/>
      <c r="N22" s="7"/>
      <c r="O22" s="7"/>
      <c r="P22" s="7"/>
      <c r="Q22" s="7"/>
      <c r="R22" s="7"/>
      <c r="S22" s="7"/>
      <c r="T22" s="7"/>
      <c r="U22" s="7">
        <v>5520</v>
      </c>
      <c r="V22" s="7"/>
      <c r="W22" s="7"/>
      <c r="X22" s="7"/>
      <c r="Y22" s="7"/>
      <c r="Z22" s="7"/>
      <c r="AA22" s="7"/>
      <c r="AB22" s="7"/>
      <c r="AC22" s="7"/>
      <c r="AD22" s="7">
        <f t="shared" si="6"/>
        <v>5520</v>
      </c>
      <c r="AE22" s="7"/>
      <c r="AF22" s="284">
        <f t="shared" si="7"/>
        <v>0</v>
      </c>
      <c r="AG22" s="284">
        <f t="shared" si="8"/>
        <v>0</v>
      </c>
      <c r="AH22" s="284">
        <f t="shared" si="9"/>
        <v>0</v>
      </c>
      <c r="AI22" s="284">
        <f t="shared" si="10"/>
        <v>0</v>
      </c>
      <c r="AJ22" s="284">
        <f t="shared" si="11"/>
        <v>0</v>
      </c>
      <c r="AK22" s="284">
        <f t="shared" si="12"/>
        <v>0</v>
      </c>
      <c r="AL22" s="284">
        <f t="shared" si="13"/>
        <v>0</v>
      </c>
      <c r="AM22" s="284">
        <f t="shared" si="14"/>
        <v>0</v>
      </c>
      <c r="AN22" s="284">
        <f t="shared" si="15"/>
        <v>486.86</v>
      </c>
      <c r="AO22" s="284">
        <f t="shared" si="16"/>
        <v>0</v>
      </c>
      <c r="AP22" s="284">
        <f t="shared" si="17"/>
        <v>0</v>
      </c>
      <c r="AQ22" s="284">
        <f t="shared" si="18"/>
        <v>0</v>
      </c>
      <c r="AR22" s="284">
        <f t="shared" si="19"/>
        <v>0</v>
      </c>
      <c r="AS22" s="284">
        <f t="shared" si="20"/>
        <v>0</v>
      </c>
      <c r="AT22" s="284">
        <f t="shared" si="21"/>
        <v>0</v>
      </c>
      <c r="AU22" s="284">
        <f t="shared" si="22"/>
        <v>0</v>
      </c>
      <c r="AV22" s="284">
        <f t="shared" si="23"/>
        <v>0</v>
      </c>
      <c r="AW22" s="321">
        <f t="shared" si="24"/>
        <v>486.86</v>
      </c>
    </row>
    <row r="23" spans="1:49" x14ac:dyDescent="0.2">
      <c r="A23" s="1" t="s">
        <v>429</v>
      </c>
      <c r="B23" s="7">
        <v>1556026</v>
      </c>
      <c r="C23" s="7">
        <v>0</v>
      </c>
      <c r="D23" s="2">
        <f>(B23+C23)*0.124</f>
        <v>192947.22</v>
      </c>
      <c r="E23" s="2">
        <f t="shared" si="0"/>
        <v>76245.27</v>
      </c>
      <c r="F23" s="2">
        <f t="shared" si="1"/>
        <v>81535.759999999995</v>
      </c>
      <c r="G23" s="2">
        <f t="shared" si="2"/>
        <v>137241.49</v>
      </c>
      <c r="H23" s="2">
        <f>(B23+C23)*0.0098+0.01</f>
        <v>15249.06</v>
      </c>
      <c r="I23" s="2">
        <f t="shared" si="4"/>
        <v>1494.68</v>
      </c>
      <c r="J23" s="381">
        <f t="shared" si="5"/>
        <v>504713.48</v>
      </c>
      <c r="K23" s="384"/>
      <c r="L23" s="7"/>
      <c r="M23" s="7"/>
      <c r="N23" s="7"/>
      <c r="O23" s="7">
        <v>1193406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>
        <v>362620</v>
      </c>
      <c r="AC23" s="7"/>
      <c r="AD23" s="7">
        <f t="shared" si="6"/>
        <v>1556026</v>
      </c>
      <c r="AE23" s="1"/>
      <c r="AF23" s="284">
        <f t="shared" si="7"/>
        <v>0</v>
      </c>
      <c r="AG23" s="284">
        <f t="shared" si="8"/>
        <v>0</v>
      </c>
      <c r="AH23" s="284">
        <f t="shared" si="9"/>
        <v>105258.41</v>
      </c>
      <c r="AI23" s="284">
        <f t="shared" si="10"/>
        <v>0</v>
      </c>
      <c r="AJ23" s="284">
        <f t="shared" si="11"/>
        <v>0</v>
      </c>
      <c r="AK23" s="284">
        <f t="shared" si="12"/>
        <v>0</v>
      </c>
      <c r="AL23" s="284">
        <f t="shared" si="13"/>
        <v>0</v>
      </c>
      <c r="AM23" s="284">
        <f t="shared" si="14"/>
        <v>0</v>
      </c>
      <c r="AN23" s="284">
        <f t="shared" si="15"/>
        <v>0</v>
      </c>
      <c r="AO23" s="284">
        <f t="shared" si="16"/>
        <v>0</v>
      </c>
      <c r="AP23" s="284">
        <f t="shared" si="17"/>
        <v>0</v>
      </c>
      <c r="AQ23" s="284">
        <f t="shared" si="18"/>
        <v>0</v>
      </c>
      <c r="AR23" s="284">
        <f t="shared" si="19"/>
        <v>0</v>
      </c>
      <c r="AS23" s="284">
        <f t="shared" si="20"/>
        <v>0</v>
      </c>
      <c r="AT23" s="284">
        <f t="shared" si="21"/>
        <v>0</v>
      </c>
      <c r="AU23" s="284">
        <f t="shared" si="22"/>
        <v>31983.08</v>
      </c>
      <c r="AV23" s="284">
        <f t="shared" si="23"/>
        <v>0</v>
      </c>
      <c r="AW23" s="321">
        <f t="shared" si="24"/>
        <v>137241.49</v>
      </c>
    </row>
    <row r="24" spans="1:49" x14ac:dyDescent="0.2">
      <c r="A24" s="1" t="s">
        <v>700</v>
      </c>
      <c r="B24" s="7">
        <v>26365</v>
      </c>
      <c r="C24" s="7">
        <v>0</v>
      </c>
      <c r="D24" s="2">
        <f>(B24+C24)*0.124-0.01</f>
        <v>3269.25</v>
      </c>
      <c r="E24" s="2">
        <f t="shared" si="0"/>
        <v>1291.8900000000001</v>
      </c>
      <c r="F24" s="2">
        <f t="shared" si="1"/>
        <v>1381.53</v>
      </c>
      <c r="G24" s="2">
        <f>+AW24</f>
        <v>2325.39</v>
      </c>
      <c r="H24" s="2">
        <f>(B24+C24)*0.0098</f>
        <v>258.38</v>
      </c>
      <c r="I24" s="2">
        <f>(AB24)*0.0041219</f>
        <v>0</v>
      </c>
      <c r="J24" s="381">
        <f>SUM(D24:I24)</f>
        <v>8526.44</v>
      </c>
      <c r="K24" s="384"/>
      <c r="L24" s="7"/>
      <c r="M24" s="7">
        <v>26365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>
        <f>SUM(L24:AC24)</f>
        <v>26365</v>
      </c>
      <c r="AE24" s="7"/>
      <c r="AF24" s="284">
        <f>+M24*$AF$12</f>
        <v>2325.39</v>
      </c>
      <c r="AG24" s="284">
        <f>+N24*$AG$12</f>
        <v>0</v>
      </c>
      <c r="AH24" s="284">
        <f>+O24*$AH$12</f>
        <v>0</v>
      </c>
      <c r="AI24" s="284">
        <f>+P24*$AI$12</f>
        <v>0</v>
      </c>
      <c r="AJ24" s="284">
        <f>+Q24*$AJ$12</f>
        <v>0</v>
      </c>
      <c r="AK24" s="284">
        <f>+R24*$AK$12</f>
        <v>0</v>
      </c>
      <c r="AL24" s="284">
        <f>+S24*$AL$12</f>
        <v>0</v>
      </c>
      <c r="AM24" s="284">
        <f>+T24*$AM$12</f>
        <v>0</v>
      </c>
      <c r="AN24" s="284">
        <f>+U24*$AN$12</f>
        <v>0</v>
      </c>
      <c r="AO24" s="284">
        <f>+V24*$AO$12</f>
        <v>0</v>
      </c>
      <c r="AP24" s="284">
        <f>+W24*$AP$12</f>
        <v>0</v>
      </c>
      <c r="AQ24" s="284">
        <f>+X24*$AQ$12</f>
        <v>0</v>
      </c>
      <c r="AR24" s="284">
        <f>+Y24*$AR$12</f>
        <v>0</v>
      </c>
      <c r="AS24" s="284">
        <f>+Z24*$AS$12</f>
        <v>0</v>
      </c>
      <c r="AT24" s="284">
        <f>+AA24*$AT$12</f>
        <v>0</v>
      </c>
      <c r="AU24" s="284">
        <f>+AB24*$AU$12</f>
        <v>0</v>
      </c>
      <c r="AV24" s="284">
        <f>+AC24*$AV$12</f>
        <v>0</v>
      </c>
      <c r="AW24" s="321">
        <f>SUM(AF24:AV24)</f>
        <v>2325.39</v>
      </c>
    </row>
    <row r="25" spans="1:49" x14ac:dyDescent="0.2">
      <c r="A25" s="1" t="s">
        <v>443</v>
      </c>
      <c r="B25" s="7">
        <v>303803</v>
      </c>
      <c r="C25" s="7">
        <v>0</v>
      </c>
      <c r="D25" s="2">
        <f>(B25+C25)*0.124</f>
        <v>37671.57</v>
      </c>
      <c r="E25" s="2">
        <f t="shared" ref="E25:E30" si="25">(B25+C25)*0.049</f>
        <v>14886.35</v>
      </c>
      <c r="F25" s="2">
        <f t="shared" ref="F25:F30" si="26">(B25+C25)*0.0524</f>
        <v>15919.28</v>
      </c>
      <c r="G25" s="2">
        <f t="shared" si="2"/>
        <v>24723.95</v>
      </c>
      <c r="H25" s="2">
        <f t="shared" si="3"/>
        <v>2977.27</v>
      </c>
      <c r="I25" s="2">
        <f t="shared" si="4"/>
        <v>0</v>
      </c>
      <c r="J25" s="381">
        <f t="shared" si="5"/>
        <v>96178.42</v>
      </c>
      <c r="K25" s="384"/>
      <c r="L25" s="7"/>
      <c r="M25" s="7"/>
      <c r="N25" s="7">
        <v>261528</v>
      </c>
      <c r="O25" s="7"/>
      <c r="P25" s="7">
        <v>42275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>
        <f t="shared" si="6"/>
        <v>303803</v>
      </c>
      <c r="AE25" s="7"/>
      <c r="AF25" s="284">
        <f t="shared" si="7"/>
        <v>0</v>
      </c>
      <c r="AG25" s="284">
        <f t="shared" si="8"/>
        <v>23066.77</v>
      </c>
      <c r="AH25" s="284">
        <f t="shared" si="9"/>
        <v>0</v>
      </c>
      <c r="AI25" s="284">
        <f t="shared" si="10"/>
        <v>1657.18</v>
      </c>
      <c r="AJ25" s="284">
        <f t="shared" si="11"/>
        <v>0</v>
      </c>
      <c r="AK25" s="284">
        <f t="shared" si="12"/>
        <v>0</v>
      </c>
      <c r="AL25" s="284">
        <f t="shared" si="13"/>
        <v>0</v>
      </c>
      <c r="AM25" s="284">
        <f t="shared" si="14"/>
        <v>0</v>
      </c>
      <c r="AN25" s="284">
        <f t="shared" si="15"/>
        <v>0</v>
      </c>
      <c r="AO25" s="284">
        <f t="shared" si="16"/>
        <v>0</v>
      </c>
      <c r="AP25" s="284">
        <f t="shared" si="17"/>
        <v>0</v>
      </c>
      <c r="AQ25" s="284">
        <f t="shared" si="18"/>
        <v>0</v>
      </c>
      <c r="AR25" s="284">
        <f t="shared" si="19"/>
        <v>0</v>
      </c>
      <c r="AS25" s="284">
        <f t="shared" si="20"/>
        <v>0</v>
      </c>
      <c r="AT25" s="284">
        <f t="shared" si="21"/>
        <v>0</v>
      </c>
      <c r="AU25" s="284">
        <f t="shared" si="22"/>
        <v>0</v>
      </c>
      <c r="AV25" s="284">
        <f t="shared" si="23"/>
        <v>0</v>
      </c>
      <c r="AW25" s="321">
        <f t="shared" si="24"/>
        <v>24723.95</v>
      </c>
    </row>
    <row r="26" spans="1:49" x14ac:dyDescent="0.2">
      <c r="A26" s="1" t="s">
        <v>444</v>
      </c>
      <c r="B26" s="7">
        <v>8365110</v>
      </c>
      <c r="C26" s="7">
        <v>0</v>
      </c>
      <c r="D26" s="2">
        <f>(B26+C26)*0.124-0.11</f>
        <v>1037273.53</v>
      </c>
      <c r="E26" s="2">
        <f>(B26+C26)*0.049</f>
        <v>409890.39</v>
      </c>
      <c r="F26" s="2">
        <f>(B26+C26)*0.0524</f>
        <v>438331.76</v>
      </c>
      <c r="G26" s="2">
        <f t="shared" si="2"/>
        <v>683296.88</v>
      </c>
      <c r="H26" s="2">
        <f>(B26+C26)*0.0098-0.01</f>
        <v>81978.070000000007</v>
      </c>
      <c r="I26" s="2">
        <f t="shared" si="4"/>
        <v>23194.880000000001</v>
      </c>
      <c r="J26" s="381">
        <f t="shared" si="5"/>
        <v>2673965.5099999998</v>
      </c>
      <c r="K26" s="384"/>
      <c r="L26" s="7"/>
      <c r="M26" s="7">
        <v>560006</v>
      </c>
      <c r="N26" s="7">
        <v>134663</v>
      </c>
      <c r="O26" s="7">
        <v>-9960</v>
      </c>
      <c r="P26" s="7">
        <v>711892</v>
      </c>
      <c r="Q26" s="7">
        <v>327343</v>
      </c>
      <c r="R26" s="7"/>
      <c r="S26" s="7">
        <v>59556</v>
      </c>
      <c r="T26" s="7">
        <v>284077</v>
      </c>
      <c r="U26" s="7">
        <v>180645</v>
      </c>
      <c r="V26" s="7"/>
      <c r="W26" s="7">
        <v>278621</v>
      </c>
      <c r="X26" s="7">
        <v>43332</v>
      </c>
      <c r="Y26" s="7">
        <v>13573</v>
      </c>
      <c r="Z26" s="7">
        <v>96437</v>
      </c>
      <c r="AA26" s="7"/>
      <c r="AB26" s="7">
        <v>5627229</v>
      </c>
      <c r="AC26" s="7">
        <v>57696</v>
      </c>
      <c r="AD26" s="7">
        <f>SUM(L26:AC26)</f>
        <v>8365110</v>
      </c>
      <c r="AE26" s="7"/>
      <c r="AF26" s="284">
        <f t="shared" si="7"/>
        <v>49392.53</v>
      </c>
      <c r="AG26" s="284">
        <f t="shared" si="8"/>
        <v>11877.28</v>
      </c>
      <c r="AH26" s="284">
        <f t="shared" si="9"/>
        <v>-878.47</v>
      </c>
      <c r="AI26" s="284">
        <f t="shared" si="10"/>
        <v>27906.17</v>
      </c>
      <c r="AJ26" s="284">
        <f t="shared" si="11"/>
        <v>12831.85</v>
      </c>
      <c r="AK26" s="284">
        <f t="shared" si="12"/>
        <v>0</v>
      </c>
      <c r="AL26" s="284">
        <f t="shared" si="13"/>
        <v>2334.6</v>
      </c>
      <c r="AM26" s="284">
        <f t="shared" si="14"/>
        <v>25055.59</v>
      </c>
      <c r="AN26" s="284">
        <f t="shared" si="15"/>
        <v>15932.89</v>
      </c>
      <c r="AO26" s="284">
        <f t="shared" si="16"/>
        <v>0</v>
      </c>
      <c r="AP26" s="284">
        <f t="shared" si="17"/>
        <v>24574.37</v>
      </c>
      <c r="AQ26" s="284">
        <f t="shared" si="18"/>
        <v>3821.88</v>
      </c>
      <c r="AR26" s="284">
        <f t="shared" si="19"/>
        <v>532.05999999999995</v>
      </c>
      <c r="AS26" s="284">
        <f t="shared" si="20"/>
        <v>8505.74</v>
      </c>
      <c r="AT26" s="284">
        <f t="shared" si="21"/>
        <v>0</v>
      </c>
      <c r="AU26" s="284">
        <f t="shared" si="22"/>
        <v>496321.6</v>
      </c>
      <c r="AV26" s="284">
        <f t="shared" si="23"/>
        <v>5088.79</v>
      </c>
      <c r="AW26" s="321">
        <f t="shared" si="24"/>
        <v>683296.88</v>
      </c>
    </row>
    <row r="27" spans="1:49" x14ac:dyDescent="0.2">
      <c r="A27" s="1" t="s">
        <v>361</v>
      </c>
      <c r="B27" s="7">
        <v>146291</v>
      </c>
      <c r="C27" s="7">
        <v>0</v>
      </c>
      <c r="D27" s="2">
        <f>(B27+C27)*0.124</f>
        <v>18140.080000000002</v>
      </c>
      <c r="E27" s="2">
        <f t="shared" si="25"/>
        <v>7168.26</v>
      </c>
      <c r="F27" s="2">
        <f t="shared" si="26"/>
        <v>7665.65</v>
      </c>
      <c r="G27" s="2">
        <f t="shared" si="2"/>
        <v>12902.87</v>
      </c>
      <c r="H27" s="2">
        <f t="shared" si="3"/>
        <v>1433.65</v>
      </c>
      <c r="I27" s="2">
        <f t="shared" si="4"/>
        <v>0</v>
      </c>
      <c r="J27" s="381">
        <f t="shared" si="5"/>
        <v>47310.51</v>
      </c>
      <c r="K27" s="384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>
        <v>146291</v>
      </c>
      <c r="X27" s="7"/>
      <c r="Y27" s="7"/>
      <c r="Z27" s="7"/>
      <c r="AA27" s="7"/>
      <c r="AB27" s="7"/>
      <c r="AC27" s="7"/>
      <c r="AD27" s="7">
        <f t="shared" si="6"/>
        <v>146291</v>
      </c>
      <c r="AE27" s="7"/>
      <c r="AF27" s="284">
        <f t="shared" si="7"/>
        <v>0</v>
      </c>
      <c r="AG27" s="284">
        <f t="shared" si="8"/>
        <v>0</v>
      </c>
      <c r="AH27" s="284">
        <f t="shared" si="9"/>
        <v>0</v>
      </c>
      <c r="AI27" s="284">
        <f t="shared" si="10"/>
        <v>0</v>
      </c>
      <c r="AJ27" s="284">
        <f t="shared" si="11"/>
        <v>0</v>
      </c>
      <c r="AK27" s="284">
        <f t="shared" si="12"/>
        <v>0</v>
      </c>
      <c r="AL27" s="284">
        <f t="shared" si="13"/>
        <v>0</v>
      </c>
      <c r="AM27" s="284">
        <f t="shared" si="14"/>
        <v>0</v>
      </c>
      <c r="AN27" s="284">
        <f t="shared" si="15"/>
        <v>0</v>
      </c>
      <c r="AO27" s="284">
        <f t="shared" si="16"/>
        <v>0</v>
      </c>
      <c r="AP27" s="284">
        <f t="shared" si="17"/>
        <v>12902.87</v>
      </c>
      <c r="AQ27" s="284">
        <f t="shared" si="18"/>
        <v>0</v>
      </c>
      <c r="AR27" s="284">
        <f t="shared" si="19"/>
        <v>0</v>
      </c>
      <c r="AS27" s="284">
        <f t="shared" si="20"/>
        <v>0</v>
      </c>
      <c r="AT27" s="284">
        <f t="shared" si="21"/>
        <v>0</v>
      </c>
      <c r="AU27" s="284">
        <f t="shared" si="22"/>
        <v>0</v>
      </c>
      <c r="AV27" s="284">
        <f t="shared" si="23"/>
        <v>0</v>
      </c>
      <c r="AW27" s="321">
        <f t="shared" si="24"/>
        <v>12902.87</v>
      </c>
    </row>
    <row r="28" spans="1:49" x14ac:dyDescent="0.2">
      <c r="A28" s="1" t="s">
        <v>445</v>
      </c>
      <c r="B28" s="7">
        <v>0</v>
      </c>
      <c r="C28" s="7">
        <v>13373901</v>
      </c>
      <c r="D28" s="2">
        <f>(B28+C28)*0.124-0.05</f>
        <v>1658363.67</v>
      </c>
      <c r="E28" s="2">
        <f t="shared" si="25"/>
        <v>655321.15</v>
      </c>
      <c r="F28" s="2">
        <f t="shared" si="26"/>
        <v>700792.41</v>
      </c>
      <c r="G28" s="2">
        <f t="shared" si="2"/>
        <v>1145205.8999999999</v>
      </c>
      <c r="H28" s="2">
        <f>(B28+C28)*0.0098+0.01</f>
        <v>131064.24</v>
      </c>
      <c r="I28" s="2">
        <f t="shared" si="4"/>
        <v>9626.36</v>
      </c>
      <c r="J28" s="381">
        <f t="shared" si="5"/>
        <v>4300373.7300000004</v>
      </c>
      <c r="K28" s="384"/>
      <c r="L28" s="7"/>
      <c r="M28" s="7">
        <v>1131863</v>
      </c>
      <c r="N28" s="7"/>
      <c r="O28" s="7">
        <v>9205147</v>
      </c>
      <c r="P28" s="7">
        <v>701473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>
        <v>2335418</v>
      </c>
      <c r="AC28" s="7"/>
      <c r="AD28" s="7">
        <f t="shared" si="6"/>
        <v>13373901</v>
      </c>
      <c r="AE28" s="7"/>
      <c r="AF28" s="284">
        <f t="shared" si="7"/>
        <v>99830.32</v>
      </c>
      <c r="AG28" s="284">
        <f t="shared" si="8"/>
        <v>0</v>
      </c>
      <c r="AH28" s="284">
        <f t="shared" si="9"/>
        <v>811893.97</v>
      </c>
      <c r="AI28" s="284">
        <f t="shared" si="10"/>
        <v>27497.74</v>
      </c>
      <c r="AJ28" s="284">
        <f t="shared" si="11"/>
        <v>0</v>
      </c>
      <c r="AK28" s="284">
        <f t="shared" si="12"/>
        <v>0</v>
      </c>
      <c r="AL28" s="284">
        <f t="shared" si="13"/>
        <v>0</v>
      </c>
      <c r="AM28" s="284">
        <f t="shared" si="14"/>
        <v>0</v>
      </c>
      <c r="AN28" s="284">
        <f t="shared" si="15"/>
        <v>0</v>
      </c>
      <c r="AO28" s="284">
        <f t="shared" si="16"/>
        <v>0</v>
      </c>
      <c r="AP28" s="284">
        <f t="shared" si="17"/>
        <v>0</v>
      </c>
      <c r="AQ28" s="284">
        <f t="shared" si="18"/>
        <v>0</v>
      </c>
      <c r="AR28" s="284">
        <f t="shared" si="19"/>
        <v>0</v>
      </c>
      <c r="AS28" s="284">
        <f t="shared" si="20"/>
        <v>0</v>
      </c>
      <c r="AT28" s="284">
        <f t="shared" si="21"/>
        <v>0</v>
      </c>
      <c r="AU28" s="284">
        <f t="shared" si="22"/>
        <v>205983.87</v>
      </c>
      <c r="AV28" s="284">
        <f t="shared" si="23"/>
        <v>0</v>
      </c>
      <c r="AW28" s="321">
        <f t="shared" si="24"/>
        <v>1145205.8999999999</v>
      </c>
    </row>
    <row r="29" spans="1:49" x14ac:dyDescent="0.2">
      <c r="A29" s="1" t="s">
        <v>346</v>
      </c>
      <c r="B29" s="7">
        <v>1057566</v>
      </c>
      <c r="C29" s="7">
        <v>0</v>
      </c>
      <c r="D29" s="2">
        <f>(B29+C29)*0.124</f>
        <v>131138.18</v>
      </c>
      <c r="E29" s="2">
        <f t="shared" si="25"/>
        <v>51820.73</v>
      </c>
      <c r="F29" s="2">
        <f t="shared" si="26"/>
        <v>55416.46</v>
      </c>
      <c r="G29" s="2">
        <f t="shared" si="2"/>
        <v>93277.32</v>
      </c>
      <c r="H29" s="2">
        <f t="shared" si="3"/>
        <v>10364.15</v>
      </c>
      <c r="I29" s="2">
        <f t="shared" si="4"/>
        <v>0</v>
      </c>
      <c r="J29" s="381">
        <f t="shared" si="5"/>
        <v>342016.84</v>
      </c>
      <c r="K29" s="384"/>
      <c r="L29" s="7"/>
      <c r="M29" s="7"/>
      <c r="N29" s="7"/>
      <c r="O29" s="7">
        <v>1042412</v>
      </c>
      <c r="P29" s="7"/>
      <c r="Q29" s="7"/>
      <c r="R29" s="7"/>
      <c r="S29" s="7"/>
      <c r="T29" s="7"/>
      <c r="U29" s="7"/>
      <c r="V29" s="7"/>
      <c r="W29" s="7">
        <v>15154</v>
      </c>
      <c r="X29" s="7"/>
      <c r="Y29" s="7"/>
      <c r="Z29" s="7"/>
      <c r="AA29" s="7"/>
      <c r="AB29" s="7"/>
      <c r="AC29" s="7"/>
      <c r="AD29" s="7">
        <f t="shared" si="6"/>
        <v>1057566</v>
      </c>
      <c r="AE29" s="7"/>
      <c r="AF29" s="284">
        <f t="shared" si="7"/>
        <v>0</v>
      </c>
      <c r="AG29" s="284">
        <f t="shared" si="8"/>
        <v>0</v>
      </c>
      <c r="AH29" s="284">
        <f t="shared" si="9"/>
        <v>91940.74</v>
      </c>
      <c r="AI29" s="284">
        <f t="shared" si="10"/>
        <v>0</v>
      </c>
      <c r="AJ29" s="284">
        <f t="shared" si="11"/>
        <v>0</v>
      </c>
      <c r="AK29" s="284">
        <f t="shared" si="12"/>
        <v>0</v>
      </c>
      <c r="AL29" s="284">
        <f t="shared" si="13"/>
        <v>0</v>
      </c>
      <c r="AM29" s="284">
        <f t="shared" si="14"/>
        <v>0</v>
      </c>
      <c r="AN29" s="284">
        <f t="shared" si="15"/>
        <v>0</v>
      </c>
      <c r="AO29" s="284">
        <f t="shared" si="16"/>
        <v>0</v>
      </c>
      <c r="AP29" s="284">
        <f t="shared" si="17"/>
        <v>1336.58</v>
      </c>
      <c r="AQ29" s="284">
        <f t="shared" si="18"/>
        <v>0</v>
      </c>
      <c r="AR29" s="284">
        <f t="shared" si="19"/>
        <v>0</v>
      </c>
      <c r="AS29" s="284">
        <f t="shared" si="20"/>
        <v>0</v>
      </c>
      <c r="AT29" s="284">
        <f t="shared" si="21"/>
        <v>0</v>
      </c>
      <c r="AU29" s="284">
        <f t="shared" si="22"/>
        <v>0</v>
      </c>
      <c r="AV29" s="284">
        <f t="shared" si="23"/>
        <v>0</v>
      </c>
      <c r="AW29" s="321">
        <f t="shared" si="24"/>
        <v>93277.32</v>
      </c>
    </row>
    <row r="30" spans="1:49" s="20" customFormat="1" x14ac:dyDescent="0.2">
      <c r="A30" s="18" t="s">
        <v>491</v>
      </c>
      <c r="B30" s="246">
        <v>65988</v>
      </c>
      <c r="C30" s="246">
        <v>0</v>
      </c>
      <c r="D30" s="2">
        <f>(B30+C30)*0.124+0.01</f>
        <v>8182.52</v>
      </c>
      <c r="E30" s="78">
        <f t="shared" si="25"/>
        <v>3233.41</v>
      </c>
      <c r="F30" s="78">
        <f t="shared" si="26"/>
        <v>3457.77</v>
      </c>
      <c r="G30" s="2">
        <f t="shared" si="2"/>
        <v>2586.73</v>
      </c>
      <c r="H30" s="2">
        <f t="shared" si="3"/>
        <v>646.67999999999995</v>
      </c>
      <c r="I30" s="2">
        <f t="shared" si="4"/>
        <v>0</v>
      </c>
      <c r="J30" s="381">
        <f t="shared" si="5"/>
        <v>18107.11</v>
      </c>
      <c r="K30" s="384"/>
      <c r="L30" s="246"/>
      <c r="M30" s="246"/>
      <c r="N30" s="246"/>
      <c r="O30" s="246"/>
      <c r="P30" s="246"/>
      <c r="Q30" s="246">
        <v>65988</v>
      </c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>
        <f>SUM(L30:AC30)</f>
        <v>65988</v>
      </c>
      <c r="AE30" s="246"/>
      <c r="AF30" s="284">
        <f t="shared" si="7"/>
        <v>0</v>
      </c>
      <c r="AG30" s="284">
        <f t="shared" si="8"/>
        <v>0</v>
      </c>
      <c r="AH30" s="284">
        <f t="shared" si="9"/>
        <v>0</v>
      </c>
      <c r="AI30" s="284">
        <f t="shared" si="10"/>
        <v>0</v>
      </c>
      <c r="AJ30" s="284">
        <f t="shared" si="11"/>
        <v>2586.73</v>
      </c>
      <c r="AK30" s="284">
        <f t="shared" si="12"/>
        <v>0</v>
      </c>
      <c r="AL30" s="284">
        <f t="shared" si="13"/>
        <v>0</v>
      </c>
      <c r="AM30" s="284">
        <f t="shared" si="14"/>
        <v>0</v>
      </c>
      <c r="AN30" s="284">
        <f t="shared" si="15"/>
        <v>0</v>
      </c>
      <c r="AO30" s="284">
        <f t="shared" si="16"/>
        <v>0</v>
      </c>
      <c r="AP30" s="284">
        <f t="shared" si="17"/>
        <v>0</v>
      </c>
      <c r="AQ30" s="284">
        <f t="shared" si="18"/>
        <v>0</v>
      </c>
      <c r="AR30" s="284">
        <f t="shared" si="19"/>
        <v>0</v>
      </c>
      <c r="AS30" s="284">
        <f t="shared" si="20"/>
        <v>0</v>
      </c>
      <c r="AT30" s="284">
        <f t="shared" si="21"/>
        <v>0</v>
      </c>
      <c r="AU30" s="284">
        <f t="shared" si="22"/>
        <v>0</v>
      </c>
      <c r="AV30" s="284">
        <f t="shared" si="23"/>
        <v>0</v>
      </c>
      <c r="AW30" s="321">
        <f t="shared" si="24"/>
        <v>2586.73</v>
      </c>
    </row>
    <row r="31" spans="1:49" s="20" customFormat="1" x14ac:dyDescent="0.2">
      <c r="A31" s="1" t="s">
        <v>293</v>
      </c>
      <c r="B31" s="246">
        <v>179872</v>
      </c>
      <c r="C31" s="246">
        <v>0</v>
      </c>
      <c r="D31" s="2">
        <f>(B31+C31)*0.124-0.01</f>
        <v>22304.12</v>
      </c>
      <c r="E31" s="78">
        <f t="shared" ref="E31:E37" si="27">(B31+C31)*0.049</f>
        <v>8813.73</v>
      </c>
      <c r="F31" s="78">
        <f t="shared" ref="F31:F37" si="28">(B31+C31)*0.0524</f>
        <v>9425.2900000000009</v>
      </c>
      <c r="G31" s="2">
        <f t="shared" si="2"/>
        <v>15864.71</v>
      </c>
      <c r="H31" s="2">
        <f t="shared" si="3"/>
        <v>1762.75</v>
      </c>
      <c r="I31" s="2">
        <f t="shared" si="4"/>
        <v>0</v>
      </c>
      <c r="J31" s="381">
        <f t="shared" si="5"/>
        <v>58170.6</v>
      </c>
      <c r="K31" s="384"/>
      <c r="L31" s="246"/>
      <c r="M31" s="246"/>
      <c r="N31" s="246"/>
      <c r="O31" s="246">
        <v>179872</v>
      </c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>
        <f t="shared" ref="AD31:AD37" si="29">SUM(L31:AC31)</f>
        <v>179872</v>
      </c>
      <c r="AE31" s="246"/>
      <c r="AF31" s="284">
        <f t="shared" si="7"/>
        <v>0</v>
      </c>
      <c r="AG31" s="284">
        <f t="shared" si="8"/>
        <v>0</v>
      </c>
      <c r="AH31" s="284">
        <f t="shared" si="9"/>
        <v>15864.71</v>
      </c>
      <c r="AI31" s="284">
        <f t="shared" si="10"/>
        <v>0</v>
      </c>
      <c r="AJ31" s="284">
        <f t="shared" si="11"/>
        <v>0</v>
      </c>
      <c r="AK31" s="284">
        <f t="shared" si="12"/>
        <v>0</v>
      </c>
      <c r="AL31" s="284">
        <f t="shared" si="13"/>
        <v>0</v>
      </c>
      <c r="AM31" s="284">
        <f t="shared" si="14"/>
        <v>0</v>
      </c>
      <c r="AN31" s="284">
        <f t="shared" si="15"/>
        <v>0</v>
      </c>
      <c r="AO31" s="284">
        <f t="shared" si="16"/>
        <v>0</v>
      </c>
      <c r="AP31" s="284">
        <f t="shared" si="17"/>
        <v>0</v>
      </c>
      <c r="AQ31" s="284">
        <f t="shared" si="18"/>
        <v>0</v>
      </c>
      <c r="AR31" s="284">
        <f t="shared" si="19"/>
        <v>0</v>
      </c>
      <c r="AS31" s="284">
        <f t="shared" si="20"/>
        <v>0</v>
      </c>
      <c r="AT31" s="284">
        <f t="shared" si="21"/>
        <v>0</v>
      </c>
      <c r="AU31" s="284">
        <f t="shared" si="22"/>
        <v>0</v>
      </c>
      <c r="AV31" s="284">
        <f t="shared" si="23"/>
        <v>0</v>
      </c>
      <c r="AW31" s="321">
        <f t="shared" si="24"/>
        <v>15864.71</v>
      </c>
    </row>
    <row r="32" spans="1:49" x14ac:dyDescent="0.2">
      <c r="A32" s="18" t="s">
        <v>639</v>
      </c>
      <c r="B32" s="7">
        <v>1219</v>
      </c>
      <c r="C32" s="7">
        <v>0</v>
      </c>
      <c r="D32" s="2">
        <f>(B32+C32)*0.124-0.01</f>
        <v>151.15</v>
      </c>
      <c r="E32" s="2">
        <f>(B32+C32)*0.049</f>
        <v>59.73</v>
      </c>
      <c r="F32" s="2">
        <f>(B32+C32)*0.0524</f>
        <v>63.88</v>
      </c>
      <c r="G32" s="2">
        <f t="shared" si="2"/>
        <v>47.78</v>
      </c>
      <c r="H32" s="2">
        <f t="shared" si="3"/>
        <v>11.95</v>
      </c>
      <c r="I32" s="2">
        <f t="shared" si="4"/>
        <v>0</v>
      </c>
      <c r="J32" s="381">
        <f t="shared" si="5"/>
        <v>334.49</v>
      </c>
      <c r="K32" s="384"/>
      <c r="L32" s="7"/>
      <c r="M32" s="7"/>
      <c r="N32" s="7"/>
      <c r="O32" s="7"/>
      <c r="P32" s="7"/>
      <c r="Q32" s="7">
        <v>1219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>
        <f t="shared" si="29"/>
        <v>1219</v>
      </c>
      <c r="AF32" s="284">
        <f t="shared" si="7"/>
        <v>0</v>
      </c>
      <c r="AG32" s="284">
        <f t="shared" si="8"/>
        <v>0</v>
      </c>
      <c r="AH32" s="284">
        <f t="shared" si="9"/>
        <v>0</v>
      </c>
      <c r="AI32" s="284">
        <f t="shared" si="10"/>
        <v>0</v>
      </c>
      <c r="AJ32" s="284">
        <f t="shared" si="11"/>
        <v>47.78</v>
      </c>
      <c r="AK32" s="284">
        <f t="shared" si="12"/>
        <v>0</v>
      </c>
      <c r="AL32" s="284">
        <f t="shared" si="13"/>
        <v>0</v>
      </c>
      <c r="AM32" s="284">
        <f t="shared" si="14"/>
        <v>0</v>
      </c>
      <c r="AN32" s="284">
        <f t="shared" si="15"/>
        <v>0</v>
      </c>
      <c r="AO32" s="284">
        <f t="shared" si="16"/>
        <v>0</v>
      </c>
      <c r="AP32" s="284">
        <f t="shared" si="17"/>
        <v>0</v>
      </c>
      <c r="AQ32" s="284">
        <f t="shared" si="18"/>
        <v>0</v>
      </c>
      <c r="AR32" s="284">
        <f t="shared" si="19"/>
        <v>0</v>
      </c>
      <c r="AS32" s="284">
        <f t="shared" si="20"/>
        <v>0</v>
      </c>
      <c r="AT32" s="284">
        <f t="shared" si="21"/>
        <v>0</v>
      </c>
      <c r="AU32" s="284">
        <f t="shared" si="22"/>
        <v>0</v>
      </c>
      <c r="AV32" s="284">
        <f t="shared" si="23"/>
        <v>0</v>
      </c>
      <c r="AW32" s="321">
        <f t="shared" si="24"/>
        <v>47.78</v>
      </c>
    </row>
    <row r="33" spans="1:49" x14ac:dyDescent="0.2">
      <c r="A33" s="1" t="s">
        <v>40</v>
      </c>
      <c r="B33" s="7">
        <v>539968</v>
      </c>
      <c r="C33" s="7">
        <v>0</v>
      </c>
      <c r="D33" s="2">
        <f>(B33+C33)*0.124+0.02</f>
        <v>66956.05</v>
      </c>
      <c r="E33" s="2">
        <f t="shared" si="27"/>
        <v>26458.43</v>
      </c>
      <c r="F33" s="2">
        <f t="shared" si="28"/>
        <v>28294.32</v>
      </c>
      <c r="G33" s="2">
        <f t="shared" si="2"/>
        <v>41442.94</v>
      </c>
      <c r="H33" s="2">
        <f t="shared" si="3"/>
        <v>5291.69</v>
      </c>
      <c r="I33" s="2">
        <f t="shared" si="4"/>
        <v>145.66</v>
      </c>
      <c r="J33" s="381">
        <f t="shared" si="5"/>
        <v>168589.09</v>
      </c>
      <c r="K33" s="384"/>
      <c r="L33" s="7"/>
      <c r="M33" s="7">
        <v>201051</v>
      </c>
      <c r="N33" s="7"/>
      <c r="O33" s="7"/>
      <c r="P33" s="7">
        <v>95558</v>
      </c>
      <c r="Q33" s="7"/>
      <c r="R33" s="7"/>
      <c r="S33" s="7"/>
      <c r="T33" s="7">
        <v>23211</v>
      </c>
      <c r="U33" s="7">
        <v>11799</v>
      </c>
      <c r="V33" s="7"/>
      <c r="W33" s="7">
        <v>137095</v>
      </c>
      <c r="X33" s="7"/>
      <c r="Y33" s="7"/>
      <c r="Z33" s="7">
        <v>5305</v>
      </c>
      <c r="AA33" s="7">
        <v>30610</v>
      </c>
      <c r="AB33" s="7">
        <v>35339</v>
      </c>
      <c r="AC33" s="7"/>
      <c r="AD33" s="7">
        <f t="shared" si="29"/>
        <v>539968</v>
      </c>
      <c r="AE33" s="7"/>
      <c r="AF33" s="284">
        <f t="shared" si="7"/>
        <v>17732.7</v>
      </c>
      <c r="AG33" s="284">
        <f t="shared" si="8"/>
        <v>0</v>
      </c>
      <c r="AH33" s="284">
        <f t="shared" si="9"/>
        <v>0</v>
      </c>
      <c r="AI33" s="284">
        <f t="shared" si="10"/>
        <v>3745.87</v>
      </c>
      <c r="AJ33" s="284">
        <f t="shared" si="11"/>
        <v>0</v>
      </c>
      <c r="AK33" s="284">
        <f t="shared" si="12"/>
        <v>0</v>
      </c>
      <c r="AL33" s="284">
        <f t="shared" si="13"/>
        <v>0</v>
      </c>
      <c r="AM33" s="284">
        <f t="shared" si="14"/>
        <v>2047.21</v>
      </c>
      <c r="AN33" s="284">
        <f t="shared" si="15"/>
        <v>1040.67</v>
      </c>
      <c r="AO33" s="284">
        <f t="shared" si="16"/>
        <v>0</v>
      </c>
      <c r="AP33" s="284">
        <f t="shared" si="17"/>
        <v>12091.78</v>
      </c>
      <c r="AQ33" s="284">
        <f t="shared" si="18"/>
        <v>0</v>
      </c>
      <c r="AR33" s="284">
        <f t="shared" si="19"/>
        <v>0</v>
      </c>
      <c r="AS33" s="284">
        <f t="shared" si="20"/>
        <v>467.9</v>
      </c>
      <c r="AT33" s="284">
        <f t="shared" si="21"/>
        <v>1199.9100000000001</v>
      </c>
      <c r="AU33" s="284">
        <f t="shared" si="22"/>
        <v>3116.9</v>
      </c>
      <c r="AV33" s="284">
        <f t="shared" si="23"/>
        <v>0</v>
      </c>
      <c r="AW33" s="321">
        <f t="shared" si="24"/>
        <v>41442.94</v>
      </c>
    </row>
    <row r="34" spans="1:49" x14ac:dyDescent="0.2">
      <c r="A34" s="1" t="s">
        <v>446</v>
      </c>
      <c r="B34" s="7">
        <v>538548</v>
      </c>
      <c r="C34" s="7">
        <v>0</v>
      </c>
      <c r="D34" s="2">
        <f>(B34+C34)*0.124-0.01</f>
        <v>66779.94</v>
      </c>
      <c r="E34" s="2">
        <f>(B34+C34)*0.049</f>
        <v>26388.85</v>
      </c>
      <c r="F34" s="2">
        <f>(B34+C34)*0.0524</f>
        <v>28219.919999999998</v>
      </c>
      <c r="G34" s="2">
        <f t="shared" si="2"/>
        <v>38458.26</v>
      </c>
      <c r="H34" s="2">
        <f>(B34+C34)*0.0098+0.01</f>
        <v>5277.78</v>
      </c>
      <c r="I34" s="2">
        <f t="shared" si="4"/>
        <v>0</v>
      </c>
      <c r="J34" s="381">
        <f t="shared" si="5"/>
        <v>165124.75</v>
      </c>
      <c r="K34" s="384"/>
      <c r="L34" s="7"/>
      <c r="M34" s="7"/>
      <c r="N34" s="7"/>
      <c r="O34" s="7"/>
      <c r="P34" s="7"/>
      <c r="Q34" s="7">
        <v>184524</v>
      </c>
      <c r="R34" s="7"/>
      <c r="S34" s="7"/>
      <c r="T34" s="7">
        <v>354024</v>
      </c>
      <c r="U34" s="7"/>
      <c r="V34" s="7"/>
      <c r="W34" s="7"/>
      <c r="X34" s="7"/>
      <c r="Y34" s="7"/>
      <c r="Z34" s="7"/>
      <c r="AA34" s="7"/>
      <c r="AB34" s="7"/>
      <c r="AC34" s="7"/>
      <c r="AD34" s="7">
        <f>SUM(L34:AC34)</f>
        <v>538548</v>
      </c>
      <c r="AE34" s="7"/>
      <c r="AF34" s="284">
        <f t="shared" si="7"/>
        <v>0</v>
      </c>
      <c r="AG34" s="284">
        <f t="shared" si="8"/>
        <v>0</v>
      </c>
      <c r="AH34" s="284">
        <f t="shared" si="9"/>
        <v>0</v>
      </c>
      <c r="AI34" s="284">
        <f t="shared" si="10"/>
        <v>0</v>
      </c>
      <c r="AJ34" s="284">
        <f t="shared" si="11"/>
        <v>7233.34</v>
      </c>
      <c r="AK34" s="284">
        <f t="shared" si="12"/>
        <v>0</v>
      </c>
      <c r="AL34" s="284">
        <f t="shared" si="13"/>
        <v>0</v>
      </c>
      <c r="AM34" s="284">
        <f t="shared" si="14"/>
        <v>31224.92</v>
      </c>
      <c r="AN34" s="284">
        <f t="shared" si="15"/>
        <v>0</v>
      </c>
      <c r="AO34" s="284">
        <f t="shared" si="16"/>
        <v>0</v>
      </c>
      <c r="AP34" s="284">
        <f t="shared" si="17"/>
        <v>0</v>
      </c>
      <c r="AQ34" s="284">
        <f t="shared" si="18"/>
        <v>0</v>
      </c>
      <c r="AR34" s="284">
        <f t="shared" si="19"/>
        <v>0</v>
      </c>
      <c r="AS34" s="284">
        <f t="shared" si="20"/>
        <v>0</v>
      </c>
      <c r="AT34" s="284">
        <f t="shared" si="21"/>
        <v>0</v>
      </c>
      <c r="AU34" s="284">
        <f t="shared" si="22"/>
        <v>0</v>
      </c>
      <c r="AV34" s="284">
        <f t="shared" si="23"/>
        <v>0</v>
      </c>
      <c r="AW34" s="321">
        <f t="shared" si="24"/>
        <v>38458.26</v>
      </c>
    </row>
    <row r="35" spans="1:49" x14ac:dyDescent="0.2">
      <c r="A35" s="1" t="s">
        <v>563</v>
      </c>
      <c r="B35" s="7">
        <v>28972</v>
      </c>
      <c r="C35" s="7">
        <v>0</v>
      </c>
      <c r="D35" s="2">
        <f>(B35+C35)*0.124-24.62</f>
        <v>3567.91</v>
      </c>
      <c r="E35" s="2">
        <f t="shared" si="27"/>
        <v>1419.63</v>
      </c>
      <c r="F35" s="2">
        <f t="shared" si="28"/>
        <v>1518.13</v>
      </c>
      <c r="G35" s="2">
        <f t="shared" si="2"/>
        <v>2555.33</v>
      </c>
      <c r="H35" s="2">
        <f t="shared" si="3"/>
        <v>283.93</v>
      </c>
      <c r="I35" s="2">
        <f t="shared" si="4"/>
        <v>0</v>
      </c>
      <c r="J35" s="381">
        <f t="shared" si="5"/>
        <v>9344.93</v>
      </c>
      <c r="K35" s="384"/>
      <c r="L35" s="7"/>
      <c r="M35" s="7"/>
      <c r="N35" s="7"/>
      <c r="O35" s="7">
        <v>28972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>
        <f t="shared" si="29"/>
        <v>28972</v>
      </c>
      <c r="AE35" s="7"/>
      <c r="AF35" s="284">
        <f t="shared" si="7"/>
        <v>0</v>
      </c>
      <c r="AG35" s="284">
        <f t="shared" si="8"/>
        <v>0</v>
      </c>
      <c r="AH35" s="284">
        <f t="shared" si="9"/>
        <v>2555.33</v>
      </c>
      <c r="AI35" s="284">
        <f t="shared" si="10"/>
        <v>0</v>
      </c>
      <c r="AJ35" s="284">
        <f t="shared" si="11"/>
        <v>0</v>
      </c>
      <c r="AK35" s="284">
        <f t="shared" si="12"/>
        <v>0</v>
      </c>
      <c r="AL35" s="284">
        <f t="shared" si="13"/>
        <v>0</v>
      </c>
      <c r="AM35" s="284">
        <f t="shared" si="14"/>
        <v>0</v>
      </c>
      <c r="AN35" s="284">
        <f t="shared" si="15"/>
        <v>0</v>
      </c>
      <c r="AO35" s="284">
        <f t="shared" si="16"/>
        <v>0</v>
      </c>
      <c r="AP35" s="284">
        <f t="shared" si="17"/>
        <v>0</v>
      </c>
      <c r="AQ35" s="284">
        <f t="shared" si="18"/>
        <v>0</v>
      </c>
      <c r="AR35" s="284">
        <f t="shared" si="19"/>
        <v>0</v>
      </c>
      <c r="AS35" s="284">
        <f t="shared" si="20"/>
        <v>0</v>
      </c>
      <c r="AT35" s="284">
        <f t="shared" si="21"/>
        <v>0</v>
      </c>
      <c r="AU35" s="284">
        <f t="shared" si="22"/>
        <v>0</v>
      </c>
      <c r="AV35" s="284">
        <f t="shared" si="23"/>
        <v>0</v>
      </c>
      <c r="AW35" s="321">
        <f t="shared" si="24"/>
        <v>2555.33</v>
      </c>
    </row>
    <row r="36" spans="1:49" x14ac:dyDescent="0.2">
      <c r="A36" s="1" t="s">
        <v>41</v>
      </c>
      <c r="B36" s="7">
        <v>13783970</v>
      </c>
      <c r="C36" s="7">
        <v>0</v>
      </c>
      <c r="D36" s="2">
        <f t="shared" ref="D36:D41" si="30">(B36+C36)*0.124</f>
        <v>1709212.28</v>
      </c>
      <c r="E36" s="2">
        <f>(B36+C36)*0.049</f>
        <v>675414.53</v>
      </c>
      <c r="F36" s="2">
        <f>(B36+C36)*0.0524</f>
        <v>722280.03</v>
      </c>
      <c r="G36" s="2">
        <f t="shared" si="2"/>
        <v>1205345.6599999999</v>
      </c>
      <c r="H36" s="2">
        <f t="shared" si="3"/>
        <v>135082.91</v>
      </c>
      <c r="I36" s="2">
        <f t="shared" si="4"/>
        <v>35.340000000000003</v>
      </c>
      <c r="J36" s="381">
        <f t="shared" si="5"/>
        <v>4447370.75</v>
      </c>
      <c r="K36" s="384"/>
      <c r="L36" s="7"/>
      <c r="M36" s="7"/>
      <c r="N36" s="7"/>
      <c r="O36" s="7">
        <v>13563142</v>
      </c>
      <c r="P36" s="7"/>
      <c r="Q36" s="7"/>
      <c r="R36" s="7"/>
      <c r="S36" s="7"/>
      <c r="T36" s="7"/>
      <c r="U36" s="7"/>
      <c r="V36" s="7"/>
      <c r="W36" s="7"/>
      <c r="X36" s="7"/>
      <c r="Y36" s="7">
        <v>212255</v>
      </c>
      <c r="Z36" s="7"/>
      <c r="AA36" s="7"/>
      <c r="AB36" s="7">
        <v>8573</v>
      </c>
      <c r="AC36" s="7"/>
      <c r="AD36" s="7">
        <f>SUM(L36:AC36)</f>
        <v>13783970</v>
      </c>
      <c r="AE36" s="7"/>
      <c r="AF36" s="284">
        <f t="shared" si="7"/>
        <v>0</v>
      </c>
      <c r="AG36" s="284">
        <f t="shared" si="8"/>
        <v>0</v>
      </c>
      <c r="AH36" s="284">
        <f t="shared" si="9"/>
        <v>1196269.1200000001</v>
      </c>
      <c r="AI36" s="284">
        <f t="shared" si="10"/>
        <v>0</v>
      </c>
      <c r="AJ36" s="284">
        <f t="shared" si="11"/>
        <v>0</v>
      </c>
      <c r="AK36" s="284">
        <f t="shared" si="12"/>
        <v>0</v>
      </c>
      <c r="AL36" s="284">
        <f t="shared" si="13"/>
        <v>0</v>
      </c>
      <c r="AM36" s="284">
        <f t="shared" si="14"/>
        <v>0</v>
      </c>
      <c r="AN36" s="284">
        <f t="shared" si="15"/>
        <v>0</v>
      </c>
      <c r="AO36" s="284">
        <f t="shared" si="16"/>
        <v>0</v>
      </c>
      <c r="AP36" s="284">
        <f t="shared" si="17"/>
        <v>0</v>
      </c>
      <c r="AQ36" s="284">
        <f t="shared" si="18"/>
        <v>0</v>
      </c>
      <c r="AR36" s="284">
        <f t="shared" si="19"/>
        <v>8320.4</v>
      </c>
      <c r="AS36" s="284">
        <f t="shared" si="20"/>
        <v>0</v>
      </c>
      <c r="AT36" s="284">
        <f t="shared" si="21"/>
        <v>0</v>
      </c>
      <c r="AU36" s="284">
        <f t="shared" si="22"/>
        <v>756.14</v>
      </c>
      <c r="AV36" s="284">
        <f t="shared" si="23"/>
        <v>0</v>
      </c>
      <c r="AW36" s="321">
        <f t="shared" si="24"/>
        <v>1205345.6599999999</v>
      </c>
    </row>
    <row r="37" spans="1:49" x14ac:dyDescent="0.2">
      <c r="A37" s="1" t="s">
        <v>42</v>
      </c>
      <c r="B37" s="7">
        <v>39136</v>
      </c>
      <c r="C37" s="7">
        <v>0</v>
      </c>
      <c r="D37" s="2">
        <f t="shared" si="30"/>
        <v>4852.8599999999997</v>
      </c>
      <c r="E37" s="2">
        <f t="shared" si="27"/>
        <v>1917.66</v>
      </c>
      <c r="F37" s="2">
        <f t="shared" si="28"/>
        <v>2050.73</v>
      </c>
      <c r="G37" s="2">
        <f t="shared" si="2"/>
        <v>3168.09</v>
      </c>
      <c r="H37" s="2">
        <f t="shared" si="3"/>
        <v>383.53</v>
      </c>
      <c r="I37" s="2">
        <f t="shared" si="4"/>
        <v>0</v>
      </c>
      <c r="J37" s="381">
        <f t="shared" si="5"/>
        <v>12372.87</v>
      </c>
      <c r="K37" s="384"/>
      <c r="L37" s="7"/>
      <c r="M37" s="7"/>
      <c r="N37" s="7"/>
      <c r="O37" s="7"/>
      <c r="P37" s="7"/>
      <c r="Q37" s="7"/>
      <c r="R37" s="7"/>
      <c r="S37" s="7">
        <v>3100</v>
      </c>
      <c r="T37" s="7"/>
      <c r="U37" s="7"/>
      <c r="V37" s="7"/>
      <c r="W37" s="7"/>
      <c r="X37" s="7"/>
      <c r="Y37" s="7">
        <v>2690</v>
      </c>
      <c r="Z37" s="7"/>
      <c r="AA37" s="7"/>
      <c r="AB37" s="7"/>
      <c r="AC37" s="7">
        <v>33346</v>
      </c>
      <c r="AD37" s="7">
        <f t="shared" si="29"/>
        <v>39136</v>
      </c>
      <c r="AE37" s="7"/>
      <c r="AF37" s="284">
        <f t="shared" si="7"/>
        <v>0</v>
      </c>
      <c r="AG37" s="284">
        <f t="shared" si="8"/>
        <v>0</v>
      </c>
      <c r="AH37" s="284">
        <f t="shared" si="9"/>
        <v>0</v>
      </c>
      <c r="AI37" s="284">
        <f t="shared" si="10"/>
        <v>0</v>
      </c>
      <c r="AJ37" s="284">
        <f t="shared" si="11"/>
        <v>0</v>
      </c>
      <c r="AK37" s="284">
        <f t="shared" si="12"/>
        <v>0</v>
      </c>
      <c r="AL37" s="284">
        <f t="shared" si="13"/>
        <v>121.52</v>
      </c>
      <c r="AM37" s="284">
        <f t="shared" si="14"/>
        <v>0</v>
      </c>
      <c r="AN37" s="284">
        <f t="shared" si="15"/>
        <v>0</v>
      </c>
      <c r="AO37" s="284">
        <f t="shared" si="16"/>
        <v>0</v>
      </c>
      <c r="AP37" s="284">
        <f t="shared" si="17"/>
        <v>0</v>
      </c>
      <c r="AQ37" s="284">
        <f t="shared" si="18"/>
        <v>0</v>
      </c>
      <c r="AR37" s="284">
        <f t="shared" si="19"/>
        <v>105.45</v>
      </c>
      <c r="AS37" s="284">
        <f t="shared" si="20"/>
        <v>0</v>
      </c>
      <c r="AT37" s="284">
        <f t="shared" si="21"/>
        <v>0</v>
      </c>
      <c r="AU37" s="284">
        <f t="shared" si="22"/>
        <v>0</v>
      </c>
      <c r="AV37" s="284">
        <f t="shared" si="23"/>
        <v>2941.12</v>
      </c>
      <c r="AW37" s="321">
        <f t="shared" si="24"/>
        <v>3168.09</v>
      </c>
    </row>
    <row r="38" spans="1:49" x14ac:dyDescent="0.2">
      <c r="A38" s="18" t="s">
        <v>43</v>
      </c>
      <c r="B38" s="7">
        <v>1327487</v>
      </c>
      <c r="C38" s="7">
        <v>32656</v>
      </c>
      <c r="D38" s="2">
        <f>(B38+C38)*0.124+0.01</f>
        <v>168657.74</v>
      </c>
      <c r="E38" s="2">
        <f>(B38+C38)*0.049</f>
        <v>66647.009999999995</v>
      </c>
      <c r="F38" s="2">
        <f>(B38+C38)*0.0524</f>
        <v>71271.490000000005</v>
      </c>
      <c r="G38" s="2">
        <f t="shared" si="2"/>
        <v>119964.61</v>
      </c>
      <c r="H38" s="2">
        <f t="shared" si="3"/>
        <v>13329.4</v>
      </c>
      <c r="I38" s="2">
        <f t="shared" si="4"/>
        <v>0</v>
      </c>
      <c r="J38" s="381">
        <f t="shared" si="5"/>
        <v>439870.25</v>
      </c>
      <c r="K38" s="384"/>
      <c r="L38" s="7"/>
      <c r="M38" s="7"/>
      <c r="N38" s="7"/>
      <c r="O38" s="7">
        <v>1360143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>
        <f>SUM(L38:AC38)</f>
        <v>1360143</v>
      </c>
      <c r="AE38" s="7"/>
      <c r="AF38" s="284">
        <f t="shared" si="7"/>
        <v>0</v>
      </c>
      <c r="AG38" s="284">
        <f t="shared" si="8"/>
        <v>0</v>
      </c>
      <c r="AH38" s="284">
        <f t="shared" si="9"/>
        <v>119964.61</v>
      </c>
      <c r="AI38" s="284">
        <f t="shared" si="10"/>
        <v>0</v>
      </c>
      <c r="AJ38" s="284">
        <f t="shared" si="11"/>
        <v>0</v>
      </c>
      <c r="AK38" s="284">
        <f t="shared" si="12"/>
        <v>0</v>
      </c>
      <c r="AL38" s="284">
        <f t="shared" si="13"/>
        <v>0</v>
      </c>
      <c r="AM38" s="284">
        <f t="shared" si="14"/>
        <v>0</v>
      </c>
      <c r="AN38" s="284">
        <f t="shared" si="15"/>
        <v>0</v>
      </c>
      <c r="AO38" s="284">
        <f t="shared" si="16"/>
        <v>0</v>
      </c>
      <c r="AP38" s="284">
        <f t="shared" si="17"/>
        <v>0</v>
      </c>
      <c r="AQ38" s="284">
        <f t="shared" si="18"/>
        <v>0</v>
      </c>
      <c r="AR38" s="284">
        <f t="shared" si="19"/>
        <v>0</v>
      </c>
      <c r="AS38" s="284">
        <f t="shared" si="20"/>
        <v>0</v>
      </c>
      <c r="AT38" s="284">
        <f t="shared" si="21"/>
        <v>0</v>
      </c>
      <c r="AU38" s="284">
        <f t="shared" si="22"/>
        <v>0</v>
      </c>
      <c r="AV38" s="284">
        <f t="shared" si="23"/>
        <v>0</v>
      </c>
      <c r="AW38" s="321">
        <f t="shared" si="24"/>
        <v>119964.61</v>
      </c>
    </row>
    <row r="39" spans="1:49" x14ac:dyDescent="0.2">
      <c r="A39" s="18" t="s">
        <v>615</v>
      </c>
      <c r="B39" s="7">
        <v>1608</v>
      </c>
      <c r="C39" s="7">
        <v>0</v>
      </c>
      <c r="D39" s="2">
        <f t="shared" si="30"/>
        <v>199.39</v>
      </c>
      <c r="E39" s="2">
        <f>(B39+C39)*0.049</f>
        <v>78.790000000000006</v>
      </c>
      <c r="F39" s="2">
        <f>(B39+C39)*0.0524</f>
        <v>84.26</v>
      </c>
      <c r="G39" s="2">
        <f t="shared" si="2"/>
        <v>141.83000000000001</v>
      </c>
      <c r="H39" s="2">
        <f t="shared" si="3"/>
        <v>15.76</v>
      </c>
      <c r="I39" s="2">
        <f t="shared" si="4"/>
        <v>4.53</v>
      </c>
      <c r="J39" s="381">
        <f t="shared" si="5"/>
        <v>524.55999999999995</v>
      </c>
      <c r="K39" s="384"/>
      <c r="L39" s="7"/>
      <c r="M39" s="7"/>
      <c r="N39" s="7"/>
      <c r="O39" s="7">
        <v>508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>
        <v>1100</v>
      </c>
      <c r="AC39" s="7"/>
      <c r="AD39" s="7">
        <f>SUM(L39:AC39)</f>
        <v>1608</v>
      </c>
      <c r="AF39" s="284">
        <f t="shared" si="7"/>
        <v>0</v>
      </c>
      <c r="AG39" s="284">
        <f t="shared" si="8"/>
        <v>0</v>
      </c>
      <c r="AH39" s="284">
        <f t="shared" si="9"/>
        <v>44.81</v>
      </c>
      <c r="AI39" s="284">
        <f t="shared" si="10"/>
        <v>0</v>
      </c>
      <c r="AJ39" s="284">
        <f t="shared" si="11"/>
        <v>0</v>
      </c>
      <c r="AK39" s="284">
        <f t="shared" si="12"/>
        <v>0</v>
      </c>
      <c r="AL39" s="284">
        <f t="shared" si="13"/>
        <v>0</v>
      </c>
      <c r="AM39" s="284">
        <f t="shared" si="14"/>
        <v>0</v>
      </c>
      <c r="AN39" s="284">
        <f t="shared" si="15"/>
        <v>0</v>
      </c>
      <c r="AO39" s="284">
        <f t="shared" si="16"/>
        <v>0</v>
      </c>
      <c r="AP39" s="284">
        <f t="shared" si="17"/>
        <v>0</v>
      </c>
      <c r="AQ39" s="284">
        <f t="shared" si="18"/>
        <v>0</v>
      </c>
      <c r="AR39" s="284">
        <f t="shared" si="19"/>
        <v>0</v>
      </c>
      <c r="AS39" s="284">
        <f t="shared" si="20"/>
        <v>0</v>
      </c>
      <c r="AT39" s="284">
        <f t="shared" si="21"/>
        <v>0</v>
      </c>
      <c r="AU39" s="284">
        <f t="shared" si="22"/>
        <v>97.02</v>
      </c>
      <c r="AV39" s="284">
        <f t="shared" si="23"/>
        <v>0</v>
      </c>
      <c r="AW39" s="321">
        <f t="shared" si="24"/>
        <v>141.83000000000001</v>
      </c>
    </row>
    <row r="40" spans="1:49" x14ac:dyDescent="0.2">
      <c r="A40" s="18" t="s">
        <v>606</v>
      </c>
      <c r="B40" s="7">
        <v>292213</v>
      </c>
      <c r="C40" s="7">
        <v>0</v>
      </c>
      <c r="D40" s="2">
        <f>(B40+C40)*0.124-0.01</f>
        <v>36234.400000000001</v>
      </c>
      <c r="E40" s="2">
        <f>(B40+C40)*0.049</f>
        <v>14318.44</v>
      </c>
      <c r="F40" s="2">
        <f>(B40+C40)*0.0524</f>
        <v>15311.96</v>
      </c>
      <c r="G40" s="2">
        <f t="shared" si="2"/>
        <v>25773.19</v>
      </c>
      <c r="H40" s="2">
        <f>(B40+C40)*0.0098</f>
        <v>2863.69</v>
      </c>
      <c r="I40" s="2">
        <f t="shared" si="4"/>
        <v>1103.68</v>
      </c>
      <c r="J40" s="381">
        <f t="shared" si="5"/>
        <v>95605.36</v>
      </c>
      <c r="K40" s="384"/>
      <c r="L40" s="7"/>
      <c r="M40" s="7"/>
      <c r="N40" s="7"/>
      <c r="O40" s="7">
        <v>24452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>
        <v>267761</v>
      </c>
      <c r="AC40" s="7"/>
      <c r="AD40" s="7">
        <f>SUM(L40:AC40)</f>
        <v>292213</v>
      </c>
      <c r="AE40" s="7"/>
      <c r="AF40" s="284">
        <f t="shared" si="7"/>
        <v>0</v>
      </c>
      <c r="AG40" s="284">
        <f t="shared" si="8"/>
        <v>0</v>
      </c>
      <c r="AH40" s="284">
        <f t="shared" si="9"/>
        <v>2156.67</v>
      </c>
      <c r="AI40" s="284">
        <f t="shared" si="10"/>
        <v>0</v>
      </c>
      <c r="AJ40" s="284">
        <f t="shared" si="11"/>
        <v>0</v>
      </c>
      <c r="AK40" s="284">
        <f t="shared" si="12"/>
        <v>0</v>
      </c>
      <c r="AL40" s="284">
        <f t="shared" si="13"/>
        <v>0</v>
      </c>
      <c r="AM40" s="284">
        <f t="shared" si="14"/>
        <v>0</v>
      </c>
      <c r="AN40" s="284">
        <f t="shared" si="15"/>
        <v>0</v>
      </c>
      <c r="AO40" s="284">
        <f t="shared" si="16"/>
        <v>0</v>
      </c>
      <c r="AP40" s="284">
        <f t="shared" si="17"/>
        <v>0</v>
      </c>
      <c r="AQ40" s="284">
        <f t="shared" si="18"/>
        <v>0</v>
      </c>
      <c r="AR40" s="284">
        <f t="shared" si="19"/>
        <v>0</v>
      </c>
      <c r="AS40" s="284">
        <f t="shared" si="20"/>
        <v>0</v>
      </c>
      <c r="AT40" s="284">
        <f t="shared" si="21"/>
        <v>0</v>
      </c>
      <c r="AU40" s="284">
        <f t="shared" si="22"/>
        <v>23616.52</v>
      </c>
      <c r="AV40" s="284">
        <f t="shared" si="23"/>
        <v>0</v>
      </c>
      <c r="AW40" s="321">
        <f t="shared" si="24"/>
        <v>25773.19</v>
      </c>
    </row>
    <row r="41" spans="1:49" x14ac:dyDescent="0.2">
      <c r="A41" s="1" t="s">
        <v>44</v>
      </c>
      <c r="B41" s="7">
        <v>147128</v>
      </c>
      <c r="C41" s="7">
        <v>0</v>
      </c>
      <c r="D41" s="2">
        <f t="shared" si="30"/>
        <v>18243.87</v>
      </c>
      <c r="E41" s="2">
        <f t="shared" ref="E41:E48" si="31">(B41+C41)*0.049</f>
        <v>7209.27</v>
      </c>
      <c r="F41" s="2">
        <f t="shared" ref="F41:F48" si="32">(B41+C41)*0.0524</f>
        <v>7709.51</v>
      </c>
      <c r="G41" s="2">
        <f t="shared" si="2"/>
        <v>5767.42</v>
      </c>
      <c r="H41" s="2">
        <f t="shared" si="3"/>
        <v>1441.85</v>
      </c>
      <c r="I41" s="2">
        <f t="shared" si="4"/>
        <v>0</v>
      </c>
      <c r="J41" s="381">
        <f t="shared" si="5"/>
        <v>40371.919999999998</v>
      </c>
      <c r="K41" s="384"/>
      <c r="L41" s="7"/>
      <c r="M41" s="7"/>
      <c r="N41" s="7"/>
      <c r="O41" s="7"/>
      <c r="P41" s="7"/>
      <c r="Q41" s="7">
        <v>147128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>
        <f t="shared" ref="AD41:AD50" si="33">SUM(L41:AC41)</f>
        <v>147128</v>
      </c>
      <c r="AE41" s="1"/>
      <c r="AF41" s="284">
        <f t="shared" si="7"/>
        <v>0</v>
      </c>
      <c r="AG41" s="284">
        <f t="shared" si="8"/>
        <v>0</v>
      </c>
      <c r="AH41" s="284">
        <f t="shared" si="9"/>
        <v>0</v>
      </c>
      <c r="AI41" s="284">
        <f t="shared" si="10"/>
        <v>0</v>
      </c>
      <c r="AJ41" s="284">
        <f t="shared" si="11"/>
        <v>5767.42</v>
      </c>
      <c r="AK41" s="284">
        <f t="shared" si="12"/>
        <v>0</v>
      </c>
      <c r="AL41" s="284">
        <f t="shared" si="13"/>
        <v>0</v>
      </c>
      <c r="AM41" s="284">
        <f t="shared" si="14"/>
        <v>0</v>
      </c>
      <c r="AN41" s="284">
        <f t="shared" si="15"/>
        <v>0</v>
      </c>
      <c r="AO41" s="284">
        <f t="shared" si="16"/>
        <v>0</v>
      </c>
      <c r="AP41" s="284">
        <f t="shared" si="17"/>
        <v>0</v>
      </c>
      <c r="AQ41" s="284">
        <f t="shared" si="18"/>
        <v>0</v>
      </c>
      <c r="AR41" s="284">
        <f t="shared" si="19"/>
        <v>0</v>
      </c>
      <c r="AS41" s="284">
        <f t="shared" si="20"/>
        <v>0</v>
      </c>
      <c r="AT41" s="284">
        <f t="shared" si="21"/>
        <v>0</v>
      </c>
      <c r="AU41" s="284">
        <f t="shared" si="22"/>
        <v>0</v>
      </c>
      <c r="AV41" s="284">
        <f t="shared" si="23"/>
        <v>0</v>
      </c>
      <c r="AW41" s="321">
        <f t="shared" si="24"/>
        <v>5767.42</v>
      </c>
    </row>
    <row r="42" spans="1:49" x14ac:dyDescent="0.2">
      <c r="A42" s="1" t="s">
        <v>447</v>
      </c>
      <c r="B42" s="7">
        <v>2446</v>
      </c>
      <c r="C42" s="7">
        <v>0</v>
      </c>
      <c r="D42" s="2">
        <f>(B42+C42)*0.124+0.01</f>
        <v>303.31</v>
      </c>
      <c r="E42" s="2">
        <f t="shared" si="31"/>
        <v>119.85</v>
      </c>
      <c r="F42" s="2">
        <f t="shared" si="32"/>
        <v>128.16999999999999</v>
      </c>
      <c r="G42" s="2">
        <f t="shared" si="2"/>
        <v>215.74</v>
      </c>
      <c r="H42" s="2">
        <f t="shared" si="3"/>
        <v>23.97</v>
      </c>
      <c r="I42" s="2">
        <f t="shared" si="4"/>
        <v>0</v>
      </c>
      <c r="J42" s="381">
        <f t="shared" si="5"/>
        <v>791.04</v>
      </c>
      <c r="K42" s="384"/>
      <c r="L42" s="7"/>
      <c r="M42" s="7"/>
      <c r="N42" s="7"/>
      <c r="O42" s="7">
        <v>2446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>
        <f t="shared" si="33"/>
        <v>2446</v>
      </c>
      <c r="AE42" s="1"/>
      <c r="AF42" s="284">
        <f t="shared" si="7"/>
        <v>0</v>
      </c>
      <c r="AG42" s="284">
        <f t="shared" si="8"/>
        <v>0</v>
      </c>
      <c r="AH42" s="284">
        <f t="shared" si="9"/>
        <v>215.74</v>
      </c>
      <c r="AI42" s="284">
        <f t="shared" si="10"/>
        <v>0</v>
      </c>
      <c r="AJ42" s="284">
        <f t="shared" si="11"/>
        <v>0</v>
      </c>
      <c r="AK42" s="284">
        <f t="shared" si="12"/>
        <v>0</v>
      </c>
      <c r="AL42" s="284">
        <f t="shared" si="13"/>
        <v>0</v>
      </c>
      <c r="AM42" s="284">
        <f t="shared" si="14"/>
        <v>0</v>
      </c>
      <c r="AN42" s="284">
        <f t="shared" si="15"/>
        <v>0</v>
      </c>
      <c r="AO42" s="284">
        <f t="shared" si="16"/>
        <v>0</v>
      </c>
      <c r="AP42" s="284">
        <f t="shared" si="17"/>
        <v>0</v>
      </c>
      <c r="AQ42" s="284">
        <f t="shared" si="18"/>
        <v>0</v>
      </c>
      <c r="AR42" s="284">
        <f t="shared" si="19"/>
        <v>0</v>
      </c>
      <c r="AS42" s="284">
        <f t="shared" si="20"/>
        <v>0</v>
      </c>
      <c r="AT42" s="284">
        <f t="shared" si="21"/>
        <v>0</v>
      </c>
      <c r="AU42" s="284">
        <f t="shared" si="22"/>
        <v>0</v>
      </c>
      <c r="AV42" s="284">
        <f t="shared" si="23"/>
        <v>0</v>
      </c>
      <c r="AW42" s="321">
        <f t="shared" si="24"/>
        <v>215.74</v>
      </c>
    </row>
    <row r="43" spans="1:49" x14ac:dyDescent="0.2">
      <c r="A43" s="1" t="s">
        <v>430</v>
      </c>
      <c r="B43" s="7">
        <v>2242755</v>
      </c>
      <c r="C43" s="7">
        <v>0</v>
      </c>
      <c r="D43" s="2">
        <f>(B43+C43)*0.124-0.01</f>
        <v>278101.61</v>
      </c>
      <c r="E43" s="2">
        <f t="shared" si="31"/>
        <v>109895</v>
      </c>
      <c r="F43" s="2">
        <f t="shared" si="32"/>
        <v>117520.36</v>
      </c>
      <c r="G43" s="2">
        <f t="shared" si="2"/>
        <v>192493.61</v>
      </c>
      <c r="H43" s="2">
        <f t="shared" si="3"/>
        <v>21979</v>
      </c>
      <c r="I43" s="2">
        <f t="shared" si="4"/>
        <v>0</v>
      </c>
      <c r="J43" s="381">
        <f t="shared" si="5"/>
        <v>719989.58</v>
      </c>
      <c r="K43" s="384"/>
      <c r="L43" s="7"/>
      <c r="M43" s="7"/>
      <c r="N43" s="7"/>
      <c r="O43" s="7">
        <v>2134237</v>
      </c>
      <c r="P43" s="7"/>
      <c r="Q43" s="7"/>
      <c r="R43" s="7"/>
      <c r="S43" s="7"/>
      <c r="T43" s="7"/>
      <c r="U43" s="7"/>
      <c r="V43" s="7"/>
      <c r="W43" s="7"/>
      <c r="X43" s="7"/>
      <c r="Y43" s="7">
        <v>108518</v>
      </c>
      <c r="Z43" s="7"/>
      <c r="AA43" s="7"/>
      <c r="AB43" s="7"/>
      <c r="AC43" s="7"/>
      <c r="AD43" s="7">
        <f t="shared" si="33"/>
        <v>2242755</v>
      </c>
      <c r="AE43" s="1"/>
      <c r="AF43" s="284">
        <f t="shared" si="7"/>
        <v>0</v>
      </c>
      <c r="AG43" s="284">
        <f t="shared" si="8"/>
        <v>0</v>
      </c>
      <c r="AH43" s="284">
        <f t="shared" si="9"/>
        <v>188239.7</v>
      </c>
      <c r="AI43" s="284">
        <f t="shared" si="10"/>
        <v>0</v>
      </c>
      <c r="AJ43" s="284">
        <f t="shared" si="11"/>
        <v>0</v>
      </c>
      <c r="AK43" s="284">
        <f t="shared" si="12"/>
        <v>0</v>
      </c>
      <c r="AL43" s="284">
        <f t="shared" si="13"/>
        <v>0</v>
      </c>
      <c r="AM43" s="284">
        <f t="shared" si="14"/>
        <v>0</v>
      </c>
      <c r="AN43" s="284">
        <f t="shared" si="15"/>
        <v>0</v>
      </c>
      <c r="AO43" s="284">
        <f t="shared" si="16"/>
        <v>0</v>
      </c>
      <c r="AP43" s="284">
        <f t="shared" si="17"/>
        <v>0</v>
      </c>
      <c r="AQ43" s="284">
        <f t="shared" si="18"/>
        <v>0</v>
      </c>
      <c r="AR43" s="284">
        <f t="shared" si="19"/>
        <v>4253.91</v>
      </c>
      <c r="AS43" s="284">
        <f t="shared" si="20"/>
        <v>0</v>
      </c>
      <c r="AT43" s="284">
        <f t="shared" si="21"/>
        <v>0</v>
      </c>
      <c r="AU43" s="284">
        <f t="shared" si="22"/>
        <v>0</v>
      </c>
      <c r="AV43" s="284">
        <f t="shared" si="23"/>
        <v>0</v>
      </c>
      <c r="AW43" s="321">
        <f t="shared" si="24"/>
        <v>192493.61</v>
      </c>
    </row>
    <row r="44" spans="1:49" x14ac:dyDescent="0.2">
      <c r="A44" s="1" t="s">
        <v>448</v>
      </c>
      <c r="B44" s="7">
        <v>233322</v>
      </c>
      <c r="C44" s="7">
        <v>0</v>
      </c>
      <c r="D44" s="2">
        <f>(B44+C44)*0.124</f>
        <v>28931.93</v>
      </c>
      <c r="E44" s="2">
        <f t="shared" si="31"/>
        <v>11432.78</v>
      </c>
      <c r="F44" s="2">
        <f t="shared" si="32"/>
        <v>12226.07</v>
      </c>
      <c r="G44" s="2">
        <f t="shared" si="2"/>
        <v>17596.810000000001</v>
      </c>
      <c r="H44" s="2">
        <f t="shared" si="3"/>
        <v>2286.56</v>
      </c>
      <c r="I44" s="2">
        <f t="shared" si="4"/>
        <v>98.89</v>
      </c>
      <c r="J44" s="381">
        <f t="shared" si="5"/>
        <v>72573.039999999994</v>
      </c>
      <c r="K44" s="384"/>
      <c r="L44" s="7"/>
      <c r="M44" s="7"/>
      <c r="N44" s="7"/>
      <c r="O44" s="7">
        <v>148470</v>
      </c>
      <c r="P44" s="7"/>
      <c r="Q44" s="7">
        <v>60861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>
        <v>23991</v>
      </c>
      <c r="AC44" s="7"/>
      <c r="AD44" s="7">
        <f t="shared" si="33"/>
        <v>233322</v>
      </c>
      <c r="AE44" s="7"/>
      <c r="AF44" s="284">
        <f t="shared" si="7"/>
        <v>0</v>
      </c>
      <c r="AG44" s="284">
        <f t="shared" si="8"/>
        <v>0</v>
      </c>
      <c r="AH44" s="284">
        <f t="shared" si="9"/>
        <v>13095.05</v>
      </c>
      <c r="AI44" s="284">
        <f t="shared" si="10"/>
        <v>0</v>
      </c>
      <c r="AJ44" s="284">
        <f t="shared" si="11"/>
        <v>2385.75</v>
      </c>
      <c r="AK44" s="284">
        <f t="shared" si="12"/>
        <v>0</v>
      </c>
      <c r="AL44" s="284">
        <f t="shared" si="13"/>
        <v>0</v>
      </c>
      <c r="AM44" s="284">
        <f t="shared" si="14"/>
        <v>0</v>
      </c>
      <c r="AN44" s="284">
        <f t="shared" si="15"/>
        <v>0</v>
      </c>
      <c r="AO44" s="284">
        <f t="shared" si="16"/>
        <v>0</v>
      </c>
      <c r="AP44" s="284">
        <f t="shared" si="17"/>
        <v>0</v>
      </c>
      <c r="AQ44" s="284">
        <f t="shared" si="18"/>
        <v>0</v>
      </c>
      <c r="AR44" s="284">
        <f t="shared" si="19"/>
        <v>0</v>
      </c>
      <c r="AS44" s="284">
        <f t="shared" si="20"/>
        <v>0</v>
      </c>
      <c r="AT44" s="284">
        <f t="shared" si="21"/>
        <v>0</v>
      </c>
      <c r="AU44" s="284">
        <f t="shared" si="22"/>
        <v>2116.0100000000002</v>
      </c>
      <c r="AV44" s="284">
        <f t="shared" si="23"/>
        <v>0</v>
      </c>
      <c r="AW44" s="321">
        <f t="shared" si="24"/>
        <v>17596.810000000001</v>
      </c>
    </row>
    <row r="45" spans="1:49" x14ac:dyDescent="0.2">
      <c r="A45" s="1" t="s">
        <v>715</v>
      </c>
      <c r="B45" s="7">
        <v>2458</v>
      </c>
      <c r="C45" s="7">
        <v>0</v>
      </c>
      <c r="D45" s="2">
        <f>(B45+C45)*0.124-24.94</f>
        <v>279.85000000000002</v>
      </c>
      <c r="E45" s="2">
        <f>(B45+C45)*0.049-9.83</f>
        <v>110.61</v>
      </c>
      <c r="F45" s="2">
        <f>(B45+C45)*0.0524-10.45</f>
        <v>118.35</v>
      </c>
      <c r="G45" s="2">
        <f>+AW45</f>
        <v>88.49</v>
      </c>
      <c r="H45" s="2">
        <f>(B45+C45)*0.0098-1.97</f>
        <v>22.12</v>
      </c>
      <c r="I45" s="2">
        <f>(AB45)*0.0041219</f>
        <v>0</v>
      </c>
      <c r="J45" s="381">
        <f>SUM(D45:I45)</f>
        <v>619.41999999999996</v>
      </c>
      <c r="K45" s="384"/>
      <c r="L45" s="7"/>
      <c r="M45" s="7"/>
      <c r="N45" s="7"/>
      <c r="O45" s="7"/>
      <c r="P45" s="7"/>
      <c r="Q45" s="7">
        <v>2458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>
        <f>SUM(L45:AC45)</f>
        <v>2458</v>
      </c>
      <c r="AE45" s="7"/>
      <c r="AF45" s="284">
        <f>+M45*$AF$12</f>
        <v>0</v>
      </c>
      <c r="AG45" s="284">
        <f>+N45*$AG$12</f>
        <v>0</v>
      </c>
      <c r="AH45" s="284">
        <f>+O45*$AH$12</f>
        <v>0</v>
      </c>
      <c r="AI45" s="284">
        <f>+P45*$AI$12</f>
        <v>0</v>
      </c>
      <c r="AJ45" s="284">
        <f>+Q45*$AJ$12-7.86</f>
        <v>88.49</v>
      </c>
      <c r="AK45" s="284">
        <f>+R45*$AK$12</f>
        <v>0</v>
      </c>
      <c r="AL45" s="284">
        <f>+S45*$AL$12</f>
        <v>0</v>
      </c>
      <c r="AM45" s="284">
        <f>+T45*$AM$12</f>
        <v>0</v>
      </c>
      <c r="AN45" s="284">
        <f>+U45*$AN$12</f>
        <v>0</v>
      </c>
      <c r="AO45" s="284">
        <f>+V45*$AO$12</f>
        <v>0</v>
      </c>
      <c r="AP45" s="284">
        <f>+W45*$AP$12</f>
        <v>0</v>
      </c>
      <c r="AQ45" s="284">
        <f>+X45*$AQ$12</f>
        <v>0</v>
      </c>
      <c r="AR45" s="284">
        <f>+Y45*$AR$12</f>
        <v>0</v>
      </c>
      <c r="AS45" s="284">
        <f>+Z45*$AS$12</f>
        <v>0</v>
      </c>
      <c r="AT45" s="284">
        <f>+AA45*$AT$12</f>
        <v>0</v>
      </c>
      <c r="AU45" s="284">
        <f>+AB45*$AU$12</f>
        <v>0</v>
      </c>
      <c r="AV45" s="284">
        <f>+AC45*$AV$12</f>
        <v>0</v>
      </c>
      <c r="AW45" s="321">
        <f>SUM(AF45:AV45)</f>
        <v>88.49</v>
      </c>
    </row>
    <row r="46" spans="1:49" x14ac:dyDescent="0.2">
      <c r="A46" s="1" t="s">
        <v>454</v>
      </c>
      <c r="B46" s="7">
        <v>1502</v>
      </c>
      <c r="C46" s="7">
        <v>0</v>
      </c>
      <c r="D46" s="2">
        <f>(B46+C46)*0.124</f>
        <v>186.25</v>
      </c>
      <c r="E46" s="2">
        <f t="shared" si="31"/>
        <v>73.599999999999994</v>
      </c>
      <c r="F46" s="2">
        <f t="shared" si="32"/>
        <v>78.7</v>
      </c>
      <c r="G46" s="2">
        <f t="shared" si="2"/>
        <v>132.47999999999999</v>
      </c>
      <c r="H46" s="2">
        <f t="shared" si="3"/>
        <v>14.72</v>
      </c>
      <c r="I46" s="2">
        <f>(AB46)*0.0041219</f>
        <v>0.93</v>
      </c>
      <c r="J46" s="381">
        <f t="shared" si="5"/>
        <v>486.68</v>
      </c>
      <c r="K46" s="384"/>
      <c r="L46" s="7"/>
      <c r="M46" s="7"/>
      <c r="N46" s="7"/>
      <c r="O46" s="7"/>
      <c r="P46" s="7"/>
      <c r="Q46" s="7"/>
      <c r="R46" s="7"/>
      <c r="S46" s="7"/>
      <c r="T46" s="7">
        <v>1277</v>
      </c>
      <c r="U46" s="7"/>
      <c r="V46" s="7"/>
      <c r="W46" s="7"/>
      <c r="X46" s="7"/>
      <c r="Y46" s="7"/>
      <c r="Z46" s="7"/>
      <c r="AA46" s="7"/>
      <c r="AB46" s="7">
        <v>225</v>
      </c>
      <c r="AC46" s="7"/>
      <c r="AD46" s="7">
        <f t="shared" si="33"/>
        <v>1502</v>
      </c>
      <c r="AE46" s="7"/>
      <c r="AF46" s="284">
        <f t="shared" si="7"/>
        <v>0</v>
      </c>
      <c r="AG46" s="284">
        <f t="shared" si="8"/>
        <v>0</v>
      </c>
      <c r="AH46" s="284">
        <f t="shared" si="9"/>
        <v>0</v>
      </c>
      <c r="AI46" s="284">
        <f t="shared" si="10"/>
        <v>0</v>
      </c>
      <c r="AJ46" s="284">
        <f t="shared" si="11"/>
        <v>0</v>
      </c>
      <c r="AK46" s="284">
        <f t="shared" si="12"/>
        <v>0</v>
      </c>
      <c r="AL46" s="284">
        <f t="shared" si="13"/>
        <v>0</v>
      </c>
      <c r="AM46" s="284">
        <f t="shared" si="14"/>
        <v>112.63</v>
      </c>
      <c r="AN46" s="284">
        <f t="shared" si="15"/>
        <v>0</v>
      </c>
      <c r="AO46" s="284">
        <f t="shared" si="16"/>
        <v>0</v>
      </c>
      <c r="AP46" s="284">
        <f t="shared" si="17"/>
        <v>0</v>
      </c>
      <c r="AQ46" s="284">
        <f t="shared" si="18"/>
        <v>0</v>
      </c>
      <c r="AR46" s="284">
        <f t="shared" si="19"/>
        <v>0</v>
      </c>
      <c r="AS46" s="284">
        <f t="shared" si="20"/>
        <v>0</v>
      </c>
      <c r="AT46" s="284">
        <f t="shared" si="21"/>
        <v>0</v>
      </c>
      <c r="AU46" s="284">
        <f t="shared" si="22"/>
        <v>19.850000000000001</v>
      </c>
      <c r="AV46" s="284">
        <f t="shared" si="23"/>
        <v>0</v>
      </c>
      <c r="AW46" s="321">
        <f t="shared" si="24"/>
        <v>132.47999999999999</v>
      </c>
    </row>
    <row r="47" spans="1:49" x14ac:dyDescent="0.2">
      <c r="A47" s="1" t="s">
        <v>728</v>
      </c>
      <c r="B47" s="7">
        <v>126111</v>
      </c>
      <c r="C47" s="7">
        <v>0</v>
      </c>
      <c r="D47" s="2">
        <f>(B47+C47)*0.124-726.73</f>
        <v>14911.03</v>
      </c>
      <c r="E47" s="2">
        <f>(B47+C47)*0.049-285.79</f>
        <v>5893.65</v>
      </c>
      <c r="F47" s="2">
        <f>(B47+C47)*0.0524-301.94</f>
        <v>6306.28</v>
      </c>
      <c r="G47" s="2">
        <f>+AW47</f>
        <v>10619.23</v>
      </c>
      <c r="H47" s="2">
        <f>(B47+C47)*0.0098-55.98</f>
        <v>1179.9100000000001</v>
      </c>
      <c r="I47" s="2">
        <f>(AB47)*0.0041219</f>
        <v>0</v>
      </c>
      <c r="J47" s="381">
        <f>SUM(D47:I47)</f>
        <v>38910.1</v>
      </c>
      <c r="K47" s="384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>
        <v>126111</v>
      </c>
      <c r="AD47" s="7">
        <f>SUM(L47:AC47)</f>
        <v>126111</v>
      </c>
      <c r="AE47" s="7"/>
      <c r="AF47" s="284">
        <f>+M47*$AF$12</f>
        <v>0</v>
      </c>
      <c r="AG47" s="284">
        <f>+N47*$AG$12</f>
        <v>0</v>
      </c>
      <c r="AH47" s="284">
        <f>+O47*$AH$12</f>
        <v>0</v>
      </c>
      <c r="AI47" s="284">
        <f>+P47*$AI$12</f>
        <v>0</v>
      </c>
      <c r="AJ47" s="284">
        <f>+Q47*$AJ$12</f>
        <v>0</v>
      </c>
      <c r="AK47" s="284">
        <f>+R47*$AK$12</f>
        <v>0</v>
      </c>
      <c r="AL47" s="284">
        <f>+S47*$AL$12</f>
        <v>0</v>
      </c>
      <c r="AM47" s="284">
        <f>+T47*$AM$12</f>
        <v>0</v>
      </c>
      <c r="AN47" s="284">
        <f>+U47*$AN$12</f>
        <v>0</v>
      </c>
      <c r="AO47" s="284">
        <f>+V47*$AO$12</f>
        <v>0</v>
      </c>
      <c r="AP47" s="284">
        <f>+W47*$AP$12</f>
        <v>0</v>
      </c>
      <c r="AQ47" s="284">
        <f>+X47*$AQ$12</f>
        <v>0</v>
      </c>
      <c r="AR47" s="284">
        <f>+Y47*$AR$12</f>
        <v>0</v>
      </c>
      <c r="AS47" s="284">
        <f>+Z47*$AS$12</f>
        <v>0</v>
      </c>
      <c r="AT47" s="284">
        <f>+AA47*$AT$12</f>
        <v>0</v>
      </c>
      <c r="AU47" s="284">
        <f>+AB47*$AU$12</f>
        <v>0</v>
      </c>
      <c r="AV47" s="284">
        <f>+AC47*$AV$12-503.76</f>
        <v>10619.23</v>
      </c>
      <c r="AW47" s="321">
        <f>SUM(AF47:AV47)</f>
        <v>10619.23</v>
      </c>
    </row>
    <row r="48" spans="1:49" s="20" customFormat="1" x14ac:dyDescent="0.2">
      <c r="A48" s="18" t="s">
        <v>497</v>
      </c>
      <c r="B48" s="246">
        <v>3179370</v>
      </c>
      <c r="C48" s="246">
        <v>0</v>
      </c>
      <c r="D48" s="2">
        <f>(B48+C48)*0.124-0.01</f>
        <v>394241.87</v>
      </c>
      <c r="E48" s="78">
        <f t="shared" si="31"/>
        <v>155789.13</v>
      </c>
      <c r="F48" s="78">
        <f t="shared" si="32"/>
        <v>166598.99</v>
      </c>
      <c r="G48" s="2">
        <f t="shared" si="2"/>
        <v>280420.43</v>
      </c>
      <c r="H48" s="2">
        <f t="shared" si="3"/>
        <v>31157.83</v>
      </c>
      <c r="I48" s="2">
        <f t="shared" si="4"/>
        <v>673.95</v>
      </c>
      <c r="J48" s="381">
        <f t="shared" si="5"/>
        <v>1028882.2</v>
      </c>
      <c r="K48" s="384"/>
      <c r="L48" s="246"/>
      <c r="M48" s="246"/>
      <c r="N48" s="246">
        <v>58501</v>
      </c>
      <c r="O48" s="246">
        <v>2957365</v>
      </c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>
        <v>163504</v>
      </c>
      <c r="AC48" s="246"/>
      <c r="AD48" s="246">
        <f t="shared" si="33"/>
        <v>3179370</v>
      </c>
      <c r="AE48" s="18"/>
      <c r="AF48" s="284">
        <f t="shared" si="7"/>
        <v>0</v>
      </c>
      <c r="AG48" s="284">
        <f t="shared" si="8"/>
        <v>5159.79</v>
      </c>
      <c r="AH48" s="284">
        <f t="shared" si="9"/>
        <v>260839.59</v>
      </c>
      <c r="AI48" s="284">
        <f t="shared" si="10"/>
        <v>0</v>
      </c>
      <c r="AJ48" s="284">
        <f t="shared" si="11"/>
        <v>0</v>
      </c>
      <c r="AK48" s="284">
        <f t="shared" si="12"/>
        <v>0</v>
      </c>
      <c r="AL48" s="284">
        <f t="shared" si="13"/>
        <v>0</v>
      </c>
      <c r="AM48" s="284">
        <f t="shared" si="14"/>
        <v>0</v>
      </c>
      <c r="AN48" s="284">
        <f t="shared" si="15"/>
        <v>0</v>
      </c>
      <c r="AO48" s="284">
        <f t="shared" si="16"/>
        <v>0</v>
      </c>
      <c r="AP48" s="284">
        <f t="shared" si="17"/>
        <v>0</v>
      </c>
      <c r="AQ48" s="284">
        <f t="shared" si="18"/>
        <v>0</v>
      </c>
      <c r="AR48" s="284">
        <f t="shared" si="19"/>
        <v>0</v>
      </c>
      <c r="AS48" s="284">
        <f t="shared" si="20"/>
        <v>0</v>
      </c>
      <c r="AT48" s="284">
        <f t="shared" si="21"/>
        <v>0</v>
      </c>
      <c r="AU48" s="284">
        <f t="shared" si="22"/>
        <v>14421.05</v>
      </c>
      <c r="AV48" s="284">
        <f t="shared" si="23"/>
        <v>0</v>
      </c>
      <c r="AW48" s="321">
        <f t="shared" si="24"/>
        <v>280420.43</v>
      </c>
    </row>
    <row r="49" spans="1:49" x14ac:dyDescent="0.2">
      <c r="A49" s="18" t="s">
        <v>705</v>
      </c>
      <c r="B49" s="7">
        <v>167795</v>
      </c>
      <c r="C49" s="7">
        <v>0</v>
      </c>
      <c r="D49" s="2">
        <f>(B49+C49)*0.124-0.03</f>
        <v>20806.55</v>
      </c>
      <c r="E49" s="2">
        <f>(B49+C49)*0.049</f>
        <v>8221.9599999999991</v>
      </c>
      <c r="F49" s="2">
        <f>(B49+C49)*0.0524</f>
        <v>8792.4599999999991</v>
      </c>
      <c r="G49" s="2">
        <f t="shared" si="2"/>
        <v>6577.56</v>
      </c>
      <c r="H49" s="2">
        <f t="shared" si="3"/>
        <v>1644.39</v>
      </c>
      <c r="I49" s="2">
        <f t="shared" si="4"/>
        <v>0</v>
      </c>
      <c r="J49" s="381">
        <f t="shared" si="5"/>
        <v>46042.92</v>
      </c>
      <c r="K49" s="384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>
        <v>167795</v>
      </c>
      <c r="Z49" s="7"/>
      <c r="AA49" s="7"/>
      <c r="AB49" s="7"/>
      <c r="AC49" s="7"/>
      <c r="AD49" s="7">
        <f t="shared" si="33"/>
        <v>167795</v>
      </c>
      <c r="AF49" s="284">
        <f t="shared" si="7"/>
        <v>0</v>
      </c>
      <c r="AG49" s="284">
        <f t="shared" si="8"/>
        <v>0</v>
      </c>
      <c r="AH49" s="284">
        <f t="shared" si="9"/>
        <v>0</v>
      </c>
      <c r="AI49" s="284">
        <f t="shared" si="10"/>
        <v>0</v>
      </c>
      <c r="AJ49" s="284">
        <f t="shared" si="11"/>
        <v>0</v>
      </c>
      <c r="AK49" s="284">
        <f t="shared" si="12"/>
        <v>0</v>
      </c>
      <c r="AL49" s="284">
        <f t="shared" si="13"/>
        <v>0</v>
      </c>
      <c r="AM49" s="284">
        <f t="shared" si="14"/>
        <v>0</v>
      </c>
      <c r="AN49" s="284">
        <f t="shared" si="15"/>
        <v>0</v>
      </c>
      <c r="AO49" s="284">
        <f t="shared" si="16"/>
        <v>0</v>
      </c>
      <c r="AP49" s="284">
        <f t="shared" si="17"/>
        <v>0</v>
      </c>
      <c r="AQ49" s="284">
        <f t="shared" si="18"/>
        <v>0</v>
      </c>
      <c r="AR49" s="284">
        <f t="shared" si="19"/>
        <v>6577.56</v>
      </c>
      <c r="AS49" s="284">
        <f t="shared" si="20"/>
        <v>0</v>
      </c>
      <c r="AT49" s="284">
        <f t="shared" si="21"/>
        <v>0</v>
      </c>
      <c r="AU49" s="284">
        <f t="shared" si="22"/>
        <v>0</v>
      </c>
      <c r="AV49" s="284">
        <f t="shared" si="23"/>
        <v>0</v>
      </c>
      <c r="AW49" s="321">
        <f t="shared" si="24"/>
        <v>6577.56</v>
      </c>
    </row>
    <row r="50" spans="1:49" ht="12.75" customHeight="1" x14ac:dyDescent="0.2">
      <c r="A50" s="1" t="s">
        <v>754</v>
      </c>
      <c r="B50" s="7"/>
      <c r="C50" s="7"/>
      <c r="D50" s="2">
        <f>(B50+C50)*0.124+0.03</f>
        <v>0.03</v>
      </c>
      <c r="E50" s="2">
        <f>(B50+C50)*0.049</f>
        <v>0</v>
      </c>
      <c r="F50" s="2">
        <f>(B50+C50)*0.0524</f>
        <v>0</v>
      </c>
      <c r="G50" s="2">
        <f>+AW50</f>
        <v>0</v>
      </c>
      <c r="H50" s="2">
        <f>(B50+C50)*0.0098</f>
        <v>0</v>
      </c>
      <c r="I50" s="2">
        <f>(AB50)*0.0041219</f>
        <v>0</v>
      </c>
      <c r="J50" s="381">
        <f>SUM(D50:I50)</f>
        <v>0.03</v>
      </c>
      <c r="K50" s="384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>
        <f t="shared" si="33"/>
        <v>0</v>
      </c>
      <c r="AE50" s="1"/>
      <c r="AF50" s="284">
        <f>+M50*$AF$12</f>
        <v>0</v>
      </c>
      <c r="AG50" s="284">
        <f>+N50*$AG$12</f>
        <v>0</v>
      </c>
      <c r="AH50" s="284">
        <f>+O50*$AH$12</f>
        <v>0</v>
      </c>
      <c r="AI50" s="284">
        <f>+P50*$AI$12</f>
        <v>0</v>
      </c>
      <c r="AJ50" s="284">
        <f>+Q50*$AJ$12</f>
        <v>0</v>
      </c>
      <c r="AK50" s="284">
        <f>+R50*$AK$12</f>
        <v>0</v>
      </c>
      <c r="AL50" s="284">
        <f>+S50*$AL$12</f>
        <v>0</v>
      </c>
      <c r="AM50" s="284">
        <f>+T50*$AM$12</f>
        <v>0</v>
      </c>
      <c r="AN50" s="284">
        <f>+U50*$AN$12</f>
        <v>0</v>
      </c>
      <c r="AO50" s="284">
        <f>+V50*$AO$12</f>
        <v>0</v>
      </c>
      <c r="AP50" s="284">
        <f>+W50*$AP$12</f>
        <v>0</v>
      </c>
      <c r="AQ50" s="284">
        <f>+X50*$AQ$12</f>
        <v>0</v>
      </c>
      <c r="AR50" s="284">
        <f>+Y50*$AR$12</f>
        <v>0</v>
      </c>
      <c r="AS50" s="284">
        <f>+Z50*$AS$12</f>
        <v>0</v>
      </c>
      <c r="AT50" s="284">
        <f>+AA50*$AT$12</f>
        <v>0</v>
      </c>
      <c r="AU50" s="284">
        <f>+AB50*$AU$12</f>
        <v>0</v>
      </c>
      <c r="AV50" s="284">
        <f>+AC50*$AV$12</f>
        <v>0</v>
      </c>
      <c r="AW50" s="321">
        <f>SUM(AF50:AV50)</f>
        <v>0</v>
      </c>
    </row>
    <row r="51" spans="1:49" x14ac:dyDescent="0.2">
      <c r="A51" s="1" t="s">
        <v>431</v>
      </c>
      <c r="B51" s="7">
        <v>2088523</v>
      </c>
      <c r="C51" s="7">
        <v>0</v>
      </c>
      <c r="D51" s="2">
        <f>(B51+C51)*0.124-0.01</f>
        <v>258976.84</v>
      </c>
      <c r="E51" s="2">
        <f>(B51+C51)*0.049</f>
        <v>102337.63</v>
      </c>
      <c r="F51" s="2">
        <f>(B51+C51)*0.0524</f>
        <v>109438.61</v>
      </c>
      <c r="G51" s="2">
        <f t="shared" si="2"/>
        <v>180484.84</v>
      </c>
      <c r="H51" s="2">
        <f>(B51+C51)*0.0098+3.05</f>
        <v>20470.580000000002</v>
      </c>
      <c r="I51" s="2">
        <f t="shared" si="4"/>
        <v>0</v>
      </c>
      <c r="J51" s="381">
        <f t="shared" si="5"/>
        <v>671708.5</v>
      </c>
      <c r="K51" s="384"/>
      <c r="L51" s="7"/>
      <c r="M51" s="7"/>
      <c r="N51" s="7"/>
      <c r="O51" s="7">
        <v>2012296</v>
      </c>
      <c r="P51" s="7"/>
      <c r="Q51" s="7"/>
      <c r="R51" s="7"/>
      <c r="S51" s="7"/>
      <c r="T51" s="7"/>
      <c r="U51" s="7"/>
      <c r="V51" s="7"/>
      <c r="W51" s="7"/>
      <c r="X51" s="7"/>
      <c r="Y51" s="7">
        <v>76539</v>
      </c>
      <c r="Z51" s="7"/>
      <c r="AA51" s="7"/>
      <c r="AB51" s="7"/>
      <c r="AC51" s="7"/>
      <c r="AD51" s="7">
        <f t="shared" ref="AD51:AD64" si="34">SUM(L51:AC51)</f>
        <v>2088835</v>
      </c>
      <c r="AE51" s="1"/>
      <c r="AF51" s="284">
        <f t="shared" si="7"/>
        <v>0</v>
      </c>
      <c r="AG51" s="284">
        <f t="shared" si="8"/>
        <v>0</v>
      </c>
      <c r="AH51" s="284">
        <f t="shared" si="9"/>
        <v>177484.51</v>
      </c>
      <c r="AI51" s="284">
        <f t="shared" si="10"/>
        <v>0</v>
      </c>
      <c r="AJ51" s="284">
        <f t="shared" si="11"/>
        <v>0</v>
      </c>
      <c r="AK51" s="284">
        <f t="shared" si="12"/>
        <v>0</v>
      </c>
      <c r="AL51" s="284">
        <f t="shared" si="13"/>
        <v>0</v>
      </c>
      <c r="AM51" s="284">
        <f t="shared" si="14"/>
        <v>0</v>
      </c>
      <c r="AN51" s="284">
        <f t="shared" si="15"/>
        <v>0</v>
      </c>
      <c r="AO51" s="284">
        <f t="shared" si="16"/>
        <v>0</v>
      </c>
      <c r="AP51" s="284">
        <f t="shared" si="17"/>
        <v>0</v>
      </c>
      <c r="AQ51" s="284">
        <f t="shared" si="18"/>
        <v>0</v>
      </c>
      <c r="AR51" s="284">
        <f t="shared" si="19"/>
        <v>3000.33</v>
      </c>
      <c r="AS51" s="284">
        <f t="shared" si="20"/>
        <v>0</v>
      </c>
      <c r="AT51" s="284">
        <f t="shared" si="21"/>
        <v>0</v>
      </c>
      <c r="AU51" s="284">
        <f t="shared" si="22"/>
        <v>0</v>
      </c>
      <c r="AV51" s="284">
        <f t="shared" si="23"/>
        <v>0</v>
      </c>
      <c r="AW51" s="321">
        <f t="shared" si="24"/>
        <v>180484.84</v>
      </c>
    </row>
    <row r="52" spans="1:49" s="20" customFormat="1" x14ac:dyDescent="0.2">
      <c r="A52" s="18" t="s">
        <v>500</v>
      </c>
      <c r="B52" s="246">
        <v>125156</v>
      </c>
      <c r="C52" s="246">
        <v>0</v>
      </c>
      <c r="D52" s="2">
        <f>(B52+C52)*0.124+0.01</f>
        <v>15519.35</v>
      </c>
      <c r="E52" s="78">
        <f t="shared" ref="E52:E57" si="35">(B52+C52)*0.049</f>
        <v>6132.64</v>
      </c>
      <c r="F52" s="78">
        <f t="shared" ref="F52:F57" si="36">(B52+C52)*0.0524</f>
        <v>6558.17</v>
      </c>
      <c r="G52" s="2">
        <f t="shared" si="2"/>
        <v>4906.12</v>
      </c>
      <c r="H52" s="2">
        <f t="shared" si="3"/>
        <v>1226.53</v>
      </c>
      <c r="I52" s="2">
        <f t="shared" si="4"/>
        <v>0</v>
      </c>
      <c r="J52" s="381">
        <f t="shared" si="5"/>
        <v>34342.81</v>
      </c>
      <c r="K52" s="384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>
        <v>125156</v>
      </c>
      <c r="Z52" s="246"/>
      <c r="AA52" s="246"/>
      <c r="AB52" s="246"/>
      <c r="AC52" s="246"/>
      <c r="AD52" s="246">
        <f>SUM(L52:AC52)</f>
        <v>125156</v>
      </c>
      <c r="AE52" s="18"/>
      <c r="AF52" s="284">
        <f t="shared" si="7"/>
        <v>0</v>
      </c>
      <c r="AG52" s="284">
        <f t="shared" si="8"/>
        <v>0</v>
      </c>
      <c r="AH52" s="284">
        <f t="shared" si="9"/>
        <v>0</v>
      </c>
      <c r="AI52" s="284">
        <f t="shared" si="10"/>
        <v>0</v>
      </c>
      <c r="AJ52" s="284">
        <f t="shared" si="11"/>
        <v>0</v>
      </c>
      <c r="AK52" s="284">
        <f t="shared" si="12"/>
        <v>0</v>
      </c>
      <c r="AL52" s="284">
        <f t="shared" si="13"/>
        <v>0</v>
      </c>
      <c r="AM52" s="284">
        <f t="shared" si="14"/>
        <v>0</v>
      </c>
      <c r="AN52" s="284">
        <f t="shared" si="15"/>
        <v>0</v>
      </c>
      <c r="AO52" s="284">
        <f t="shared" si="16"/>
        <v>0</v>
      </c>
      <c r="AP52" s="284">
        <f t="shared" si="17"/>
        <v>0</v>
      </c>
      <c r="AQ52" s="284">
        <f t="shared" si="18"/>
        <v>0</v>
      </c>
      <c r="AR52" s="284">
        <f t="shared" si="19"/>
        <v>4906.12</v>
      </c>
      <c r="AS52" s="284">
        <f t="shared" si="20"/>
        <v>0</v>
      </c>
      <c r="AT52" s="284">
        <f t="shared" si="21"/>
        <v>0</v>
      </c>
      <c r="AU52" s="284">
        <f t="shared" si="22"/>
        <v>0</v>
      </c>
      <c r="AV52" s="284">
        <f t="shared" si="23"/>
        <v>0</v>
      </c>
      <c r="AW52" s="321">
        <f t="shared" si="24"/>
        <v>4906.12</v>
      </c>
    </row>
    <row r="53" spans="1:49" s="20" customFormat="1" x14ac:dyDescent="0.2">
      <c r="A53" s="18" t="s">
        <v>607</v>
      </c>
      <c r="B53" s="246">
        <v>753039</v>
      </c>
      <c r="C53" s="246">
        <v>0</v>
      </c>
      <c r="D53" s="2">
        <f>(B53+C53)*0.124</f>
        <v>93376.84</v>
      </c>
      <c r="E53" s="78">
        <f>(B53+C53)*0.049</f>
        <v>36898.910000000003</v>
      </c>
      <c r="F53" s="78">
        <f>(B53+C53)*0.0524</f>
        <v>39459.24</v>
      </c>
      <c r="G53" s="2">
        <f t="shared" si="2"/>
        <v>56207.47</v>
      </c>
      <c r="H53" s="2">
        <f>(B53+C53)*0.0098</f>
        <v>7379.78</v>
      </c>
      <c r="I53" s="2">
        <f t="shared" si="4"/>
        <v>109.82</v>
      </c>
      <c r="J53" s="381">
        <f t="shared" si="5"/>
        <v>233432.06</v>
      </c>
      <c r="K53" s="384"/>
      <c r="L53" s="246"/>
      <c r="M53" s="246"/>
      <c r="N53" s="246"/>
      <c r="O53" s="246">
        <v>518016</v>
      </c>
      <c r="P53" s="246">
        <v>52729</v>
      </c>
      <c r="Q53" s="246">
        <v>155650</v>
      </c>
      <c r="R53" s="246"/>
      <c r="S53" s="246"/>
      <c r="T53" s="246"/>
      <c r="U53" s="246"/>
      <c r="V53" s="246"/>
      <c r="W53" s="246"/>
      <c r="X53" s="246"/>
      <c r="Y53" s="246"/>
      <c r="Z53" s="246"/>
      <c r="AA53" s="246"/>
      <c r="AB53" s="246">
        <v>26644</v>
      </c>
      <c r="AC53" s="246"/>
      <c r="AD53" s="246">
        <f>SUM(L53:AC53)</f>
        <v>753039</v>
      </c>
      <c r="AE53" s="18"/>
      <c r="AF53" s="284">
        <f t="shared" si="7"/>
        <v>0</v>
      </c>
      <c r="AG53" s="284">
        <f t="shared" si="8"/>
        <v>0</v>
      </c>
      <c r="AH53" s="284">
        <f t="shared" si="9"/>
        <v>45689.01</v>
      </c>
      <c r="AI53" s="284">
        <f t="shared" si="10"/>
        <v>2066.98</v>
      </c>
      <c r="AJ53" s="284">
        <f t="shared" si="11"/>
        <v>6101.48</v>
      </c>
      <c r="AK53" s="284">
        <f t="shared" si="12"/>
        <v>0</v>
      </c>
      <c r="AL53" s="284">
        <f t="shared" si="13"/>
        <v>0</v>
      </c>
      <c r="AM53" s="284">
        <f t="shared" si="14"/>
        <v>0</v>
      </c>
      <c r="AN53" s="284">
        <f t="shared" si="15"/>
        <v>0</v>
      </c>
      <c r="AO53" s="284">
        <f t="shared" si="16"/>
        <v>0</v>
      </c>
      <c r="AP53" s="284">
        <f t="shared" si="17"/>
        <v>0</v>
      </c>
      <c r="AQ53" s="284">
        <f t="shared" si="18"/>
        <v>0</v>
      </c>
      <c r="AR53" s="284">
        <f t="shared" si="19"/>
        <v>0</v>
      </c>
      <c r="AS53" s="284">
        <f t="shared" si="20"/>
        <v>0</v>
      </c>
      <c r="AT53" s="284">
        <f t="shared" si="21"/>
        <v>0</v>
      </c>
      <c r="AU53" s="284">
        <f t="shared" si="22"/>
        <v>2350</v>
      </c>
      <c r="AV53" s="284">
        <f t="shared" si="23"/>
        <v>0</v>
      </c>
      <c r="AW53" s="321">
        <f t="shared" si="24"/>
        <v>56207.47</v>
      </c>
    </row>
    <row r="54" spans="1:49" ht="15" customHeight="1" x14ac:dyDescent="0.2">
      <c r="A54" s="7" t="s">
        <v>345</v>
      </c>
      <c r="B54" s="7">
        <v>221729</v>
      </c>
      <c r="C54" s="7">
        <v>0</v>
      </c>
      <c r="D54" s="2">
        <f>(B54+C54)*0.124</f>
        <v>27494.400000000001</v>
      </c>
      <c r="E54" s="2">
        <f t="shared" si="35"/>
        <v>10864.72</v>
      </c>
      <c r="F54" s="2">
        <f t="shared" si="36"/>
        <v>11618.6</v>
      </c>
      <c r="G54" s="2">
        <f t="shared" si="2"/>
        <v>11130.95</v>
      </c>
      <c r="H54" s="2">
        <f t="shared" si="3"/>
        <v>2172.94</v>
      </c>
      <c r="I54" s="2">
        <f t="shared" si="4"/>
        <v>0</v>
      </c>
      <c r="J54" s="381">
        <f t="shared" si="5"/>
        <v>63281.61</v>
      </c>
      <c r="K54" s="384"/>
      <c r="L54" s="7"/>
      <c r="M54" s="7"/>
      <c r="N54" s="7"/>
      <c r="O54" s="7"/>
      <c r="P54" s="7"/>
      <c r="Q54" s="7"/>
      <c r="R54" s="7">
        <v>19073</v>
      </c>
      <c r="S54" s="7"/>
      <c r="T54" s="7"/>
      <c r="U54" s="7"/>
      <c r="V54" s="7"/>
      <c r="W54" s="7"/>
      <c r="X54" s="7"/>
      <c r="Y54" s="7">
        <v>152877</v>
      </c>
      <c r="Z54" s="7"/>
      <c r="AA54" s="7"/>
      <c r="AB54" s="7"/>
      <c r="AC54" s="7">
        <v>49779</v>
      </c>
      <c r="AD54" s="7">
        <f t="shared" si="34"/>
        <v>221729</v>
      </c>
      <c r="AE54" s="7"/>
      <c r="AF54" s="284">
        <f t="shared" si="7"/>
        <v>0</v>
      </c>
      <c r="AG54" s="284">
        <f t="shared" si="8"/>
        <v>0</v>
      </c>
      <c r="AH54" s="284">
        <f t="shared" si="9"/>
        <v>0</v>
      </c>
      <c r="AI54" s="284">
        <f t="shared" si="10"/>
        <v>0</v>
      </c>
      <c r="AJ54" s="284">
        <f t="shared" si="11"/>
        <v>0</v>
      </c>
      <c r="AK54" s="284">
        <f t="shared" si="12"/>
        <v>747.66</v>
      </c>
      <c r="AL54" s="284">
        <f t="shared" si="13"/>
        <v>0</v>
      </c>
      <c r="AM54" s="284">
        <f t="shared" si="14"/>
        <v>0</v>
      </c>
      <c r="AN54" s="284">
        <f t="shared" si="15"/>
        <v>0</v>
      </c>
      <c r="AO54" s="284">
        <f t="shared" si="16"/>
        <v>0</v>
      </c>
      <c r="AP54" s="284">
        <f t="shared" si="17"/>
        <v>0</v>
      </c>
      <c r="AQ54" s="284">
        <f t="shared" si="18"/>
        <v>0</v>
      </c>
      <c r="AR54" s="284">
        <f t="shared" si="19"/>
        <v>5992.78</v>
      </c>
      <c r="AS54" s="284">
        <f t="shared" si="20"/>
        <v>0</v>
      </c>
      <c r="AT54" s="284">
        <f t="shared" si="21"/>
        <v>0</v>
      </c>
      <c r="AU54" s="284">
        <f t="shared" si="22"/>
        <v>0</v>
      </c>
      <c r="AV54" s="284">
        <f t="shared" si="23"/>
        <v>4390.51</v>
      </c>
      <c r="AW54" s="321">
        <f t="shared" si="24"/>
        <v>11130.95</v>
      </c>
    </row>
    <row r="55" spans="1:49" s="20" customFormat="1" x14ac:dyDescent="0.2">
      <c r="A55" s="246" t="s">
        <v>455</v>
      </c>
      <c r="B55" s="246">
        <v>1298523</v>
      </c>
      <c r="C55" s="246">
        <v>0</v>
      </c>
      <c r="D55" s="2">
        <f>(B55+C55)*0.124-0.01</f>
        <v>161016.84</v>
      </c>
      <c r="E55" s="78">
        <f t="shared" si="35"/>
        <v>63627.63</v>
      </c>
      <c r="F55" s="78">
        <f t="shared" si="36"/>
        <v>68042.61</v>
      </c>
      <c r="G55" s="2">
        <f t="shared" si="2"/>
        <v>114529.73</v>
      </c>
      <c r="H55" s="2">
        <f t="shared" si="3"/>
        <v>12725.53</v>
      </c>
      <c r="I55" s="2">
        <f t="shared" si="4"/>
        <v>0</v>
      </c>
      <c r="J55" s="381">
        <f t="shared" si="5"/>
        <v>419942.34</v>
      </c>
      <c r="K55" s="384"/>
      <c r="L55" s="246"/>
      <c r="M55" s="246"/>
      <c r="N55" s="246"/>
      <c r="O55" s="246">
        <v>1298523</v>
      </c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>
        <f>SUM(L55:AC55)</f>
        <v>1298523</v>
      </c>
      <c r="AE55" s="246"/>
      <c r="AF55" s="284">
        <f t="shared" si="7"/>
        <v>0</v>
      </c>
      <c r="AG55" s="284">
        <f t="shared" si="8"/>
        <v>0</v>
      </c>
      <c r="AH55" s="284">
        <f t="shared" si="9"/>
        <v>114529.73</v>
      </c>
      <c r="AI55" s="284">
        <f t="shared" si="10"/>
        <v>0</v>
      </c>
      <c r="AJ55" s="284">
        <f t="shared" si="11"/>
        <v>0</v>
      </c>
      <c r="AK55" s="284">
        <f t="shared" si="12"/>
        <v>0</v>
      </c>
      <c r="AL55" s="284">
        <f t="shared" si="13"/>
        <v>0</v>
      </c>
      <c r="AM55" s="284">
        <f t="shared" si="14"/>
        <v>0</v>
      </c>
      <c r="AN55" s="284">
        <f t="shared" si="15"/>
        <v>0</v>
      </c>
      <c r="AO55" s="284">
        <f t="shared" si="16"/>
        <v>0</v>
      </c>
      <c r="AP55" s="284">
        <f t="shared" si="17"/>
        <v>0</v>
      </c>
      <c r="AQ55" s="284">
        <f t="shared" si="18"/>
        <v>0</v>
      </c>
      <c r="AR55" s="284">
        <f t="shared" si="19"/>
        <v>0</v>
      </c>
      <c r="AS55" s="284">
        <f t="shared" si="20"/>
        <v>0</v>
      </c>
      <c r="AT55" s="284">
        <f t="shared" si="21"/>
        <v>0</v>
      </c>
      <c r="AU55" s="284">
        <f t="shared" si="22"/>
        <v>0</v>
      </c>
      <c r="AV55" s="284">
        <f t="shared" si="23"/>
        <v>0</v>
      </c>
      <c r="AW55" s="321">
        <f t="shared" si="24"/>
        <v>114529.73</v>
      </c>
    </row>
    <row r="56" spans="1:49" x14ac:dyDescent="0.2">
      <c r="A56" s="7" t="s">
        <v>432</v>
      </c>
      <c r="B56" s="7">
        <v>24496</v>
      </c>
      <c r="C56" s="7">
        <v>0</v>
      </c>
      <c r="D56" s="2">
        <f>(B56+C56)*0.124+0.01</f>
        <v>3037.51</v>
      </c>
      <c r="E56" s="2">
        <f t="shared" si="35"/>
        <v>1200.3</v>
      </c>
      <c r="F56" s="2">
        <f t="shared" si="36"/>
        <v>1283.5899999999999</v>
      </c>
      <c r="G56" s="2">
        <f t="shared" si="2"/>
        <v>2160.5500000000002</v>
      </c>
      <c r="H56" s="2">
        <f t="shared" si="3"/>
        <v>240.06</v>
      </c>
      <c r="I56" s="2">
        <f t="shared" si="4"/>
        <v>0</v>
      </c>
      <c r="J56" s="381">
        <f t="shared" si="5"/>
        <v>7922.01</v>
      </c>
      <c r="K56" s="384"/>
      <c r="L56" s="7"/>
      <c r="M56" s="7"/>
      <c r="N56" s="7"/>
      <c r="O56" s="7"/>
      <c r="P56" s="7"/>
      <c r="Q56" s="7"/>
      <c r="R56" s="7"/>
      <c r="S56" s="7"/>
      <c r="T56" s="7">
        <v>24496</v>
      </c>
      <c r="U56" s="7"/>
      <c r="V56" s="7"/>
      <c r="W56" s="7"/>
      <c r="X56" s="7"/>
      <c r="Y56" s="7"/>
      <c r="Z56" s="7"/>
      <c r="AA56" s="7"/>
      <c r="AB56" s="7"/>
      <c r="AC56" s="7"/>
      <c r="AD56" s="7">
        <f t="shared" si="34"/>
        <v>24496</v>
      </c>
      <c r="AE56" s="7"/>
      <c r="AF56" s="284">
        <f t="shared" si="7"/>
        <v>0</v>
      </c>
      <c r="AG56" s="284">
        <f t="shared" si="8"/>
        <v>0</v>
      </c>
      <c r="AH56" s="284">
        <f t="shared" si="9"/>
        <v>0</v>
      </c>
      <c r="AI56" s="284">
        <f t="shared" si="10"/>
        <v>0</v>
      </c>
      <c r="AJ56" s="284">
        <f t="shared" si="11"/>
        <v>0</v>
      </c>
      <c r="AK56" s="284">
        <f t="shared" si="12"/>
        <v>0</v>
      </c>
      <c r="AL56" s="284">
        <f t="shared" si="13"/>
        <v>0</v>
      </c>
      <c r="AM56" s="284">
        <f t="shared" si="14"/>
        <v>2160.5500000000002</v>
      </c>
      <c r="AN56" s="284">
        <f t="shared" si="15"/>
        <v>0</v>
      </c>
      <c r="AO56" s="284">
        <f t="shared" si="16"/>
        <v>0</v>
      </c>
      <c r="AP56" s="284">
        <f t="shared" si="17"/>
        <v>0</v>
      </c>
      <c r="AQ56" s="284">
        <f t="shared" si="18"/>
        <v>0</v>
      </c>
      <c r="AR56" s="284">
        <f t="shared" si="19"/>
        <v>0</v>
      </c>
      <c r="AS56" s="284">
        <f t="shared" si="20"/>
        <v>0</v>
      </c>
      <c r="AT56" s="284">
        <f t="shared" si="21"/>
        <v>0</v>
      </c>
      <c r="AU56" s="284">
        <f t="shared" si="22"/>
        <v>0</v>
      </c>
      <c r="AV56" s="284">
        <f t="shared" si="23"/>
        <v>0</v>
      </c>
      <c r="AW56" s="321">
        <f t="shared" si="24"/>
        <v>2160.5500000000002</v>
      </c>
    </row>
    <row r="57" spans="1:49" x14ac:dyDescent="0.2">
      <c r="A57" s="1" t="s">
        <v>45</v>
      </c>
      <c r="B57" s="7">
        <v>114658</v>
      </c>
      <c r="C57" s="7">
        <v>0</v>
      </c>
      <c r="D57" s="2">
        <f>(B57+C57)*0.124+0.01</f>
        <v>14217.6</v>
      </c>
      <c r="E57" s="2">
        <f t="shared" si="35"/>
        <v>5618.24</v>
      </c>
      <c r="F57" s="2">
        <f t="shared" si="36"/>
        <v>6008.08</v>
      </c>
      <c r="G57" s="2">
        <f t="shared" si="2"/>
        <v>5592.19</v>
      </c>
      <c r="H57" s="2">
        <f t="shared" si="3"/>
        <v>1123.6500000000001</v>
      </c>
      <c r="I57" s="2">
        <f t="shared" si="4"/>
        <v>0</v>
      </c>
      <c r="J57" s="381">
        <f t="shared" si="5"/>
        <v>32559.759999999998</v>
      </c>
      <c r="K57" s="384"/>
      <c r="L57" s="7"/>
      <c r="M57" s="7"/>
      <c r="N57" s="7"/>
      <c r="O57" s="7"/>
      <c r="P57" s="7"/>
      <c r="Q57" s="7">
        <v>92258</v>
      </c>
      <c r="R57" s="7"/>
      <c r="S57" s="7"/>
      <c r="T57" s="7">
        <v>22400</v>
      </c>
      <c r="U57" s="7"/>
      <c r="V57" s="7"/>
      <c r="W57" s="7"/>
      <c r="X57" s="7"/>
      <c r="Y57" s="7"/>
      <c r="Z57" s="7"/>
      <c r="AA57" s="7"/>
      <c r="AB57" s="7"/>
      <c r="AC57" s="7"/>
      <c r="AD57" s="7">
        <f>SUM(L57:AC57)</f>
        <v>114658</v>
      </c>
      <c r="AE57" s="1"/>
      <c r="AF57" s="284">
        <f t="shared" si="7"/>
        <v>0</v>
      </c>
      <c r="AG57" s="284">
        <f t="shared" si="8"/>
        <v>0</v>
      </c>
      <c r="AH57" s="284">
        <f t="shared" si="9"/>
        <v>0</v>
      </c>
      <c r="AI57" s="284">
        <f t="shared" si="10"/>
        <v>0</v>
      </c>
      <c r="AJ57" s="284">
        <f t="shared" si="11"/>
        <v>3616.51</v>
      </c>
      <c r="AK57" s="284">
        <f t="shared" si="12"/>
        <v>0</v>
      </c>
      <c r="AL57" s="284">
        <f t="shared" si="13"/>
        <v>0</v>
      </c>
      <c r="AM57" s="284">
        <f t="shared" si="14"/>
        <v>1975.68</v>
      </c>
      <c r="AN57" s="284">
        <f t="shared" si="15"/>
        <v>0</v>
      </c>
      <c r="AO57" s="284">
        <f t="shared" si="16"/>
        <v>0</v>
      </c>
      <c r="AP57" s="284">
        <f t="shared" si="17"/>
        <v>0</v>
      </c>
      <c r="AQ57" s="284">
        <f t="shared" si="18"/>
        <v>0</v>
      </c>
      <c r="AR57" s="284">
        <f t="shared" si="19"/>
        <v>0</v>
      </c>
      <c r="AS57" s="284">
        <f t="shared" si="20"/>
        <v>0</v>
      </c>
      <c r="AT57" s="284">
        <f t="shared" si="21"/>
        <v>0</v>
      </c>
      <c r="AU57" s="284">
        <f t="shared" si="22"/>
        <v>0</v>
      </c>
      <c r="AV57" s="284">
        <f t="shared" si="23"/>
        <v>0</v>
      </c>
      <c r="AW57" s="321">
        <f t="shared" si="24"/>
        <v>5592.19</v>
      </c>
    </row>
    <row r="58" spans="1:49" s="20" customFormat="1" x14ac:dyDescent="0.2">
      <c r="A58" s="18" t="s">
        <v>46</v>
      </c>
      <c r="B58" s="246">
        <v>985554</v>
      </c>
      <c r="C58" s="246">
        <v>0</v>
      </c>
      <c r="D58" s="2">
        <f>(B58+C58)*0.124+0.01</f>
        <v>122208.71</v>
      </c>
      <c r="E58" s="78">
        <f>(B58+C58)*0.049</f>
        <v>48292.15</v>
      </c>
      <c r="F58" s="78">
        <f>(B58+C58)*0.0524</f>
        <v>51643.03</v>
      </c>
      <c r="G58" s="2">
        <f t="shared" si="2"/>
        <v>83425.539999999994</v>
      </c>
      <c r="H58" s="2">
        <f>(B58+C58)*0.0098-0.01</f>
        <v>9658.42</v>
      </c>
      <c r="I58" s="2">
        <f t="shared" si="4"/>
        <v>0</v>
      </c>
      <c r="J58" s="381">
        <f t="shared" si="5"/>
        <v>315227.84999999998</v>
      </c>
      <c r="K58" s="384"/>
      <c r="L58" s="246"/>
      <c r="M58" s="246"/>
      <c r="N58" s="246"/>
      <c r="O58" s="246">
        <v>819883</v>
      </c>
      <c r="P58" s="246"/>
      <c r="Q58" s="246">
        <v>47982</v>
      </c>
      <c r="R58" s="246"/>
      <c r="S58" s="246">
        <v>12453</v>
      </c>
      <c r="T58" s="246">
        <v>6250</v>
      </c>
      <c r="U58" s="246">
        <v>40515</v>
      </c>
      <c r="V58" s="246">
        <v>8454</v>
      </c>
      <c r="W58" s="246"/>
      <c r="X58" s="246"/>
      <c r="Y58" s="246">
        <v>2546</v>
      </c>
      <c r="Z58" s="246">
        <v>38978</v>
      </c>
      <c r="AA58" s="246"/>
      <c r="AB58" s="246"/>
      <c r="AC58" s="246">
        <v>8493</v>
      </c>
      <c r="AD58" s="246">
        <f t="shared" si="34"/>
        <v>985554</v>
      </c>
      <c r="AE58" s="18"/>
      <c r="AF58" s="284">
        <f t="shared" si="7"/>
        <v>0</v>
      </c>
      <c r="AG58" s="284">
        <f t="shared" si="8"/>
        <v>0</v>
      </c>
      <c r="AH58" s="284">
        <f t="shared" si="9"/>
        <v>72313.679999999993</v>
      </c>
      <c r="AI58" s="284">
        <f t="shared" si="10"/>
        <v>0</v>
      </c>
      <c r="AJ58" s="284">
        <f t="shared" si="11"/>
        <v>1880.89</v>
      </c>
      <c r="AK58" s="284">
        <f t="shared" si="12"/>
        <v>0</v>
      </c>
      <c r="AL58" s="284">
        <f t="shared" si="13"/>
        <v>488.16</v>
      </c>
      <c r="AM58" s="284">
        <f t="shared" si="14"/>
        <v>551.25</v>
      </c>
      <c r="AN58" s="284">
        <f t="shared" si="15"/>
        <v>3573.42</v>
      </c>
      <c r="AO58" s="284">
        <f t="shared" si="16"/>
        <v>331.4</v>
      </c>
      <c r="AP58" s="284">
        <f t="shared" si="17"/>
        <v>0</v>
      </c>
      <c r="AQ58" s="284">
        <f t="shared" si="18"/>
        <v>0</v>
      </c>
      <c r="AR58" s="284">
        <f t="shared" si="19"/>
        <v>99.8</v>
      </c>
      <c r="AS58" s="284">
        <f t="shared" si="20"/>
        <v>3437.86</v>
      </c>
      <c r="AT58" s="284">
        <f t="shared" si="21"/>
        <v>0</v>
      </c>
      <c r="AU58" s="284">
        <f t="shared" si="22"/>
        <v>0</v>
      </c>
      <c r="AV58" s="284">
        <f t="shared" si="23"/>
        <v>749.08</v>
      </c>
      <c r="AW58" s="321">
        <f t="shared" si="24"/>
        <v>83425.539999999994</v>
      </c>
    </row>
    <row r="59" spans="1:49" ht="12.75" customHeight="1" x14ac:dyDescent="0.2">
      <c r="A59" s="1" t="s">
        <v>775</v>
      </c>
      <c r="B59" s="7">
        <v>-5077</v>
      </c>
      <c r="C59" s="7">
        <v>0</v>
      </c>
      <c r="D59" s="2">
        <f>(B59+C59)*0.124-0.01</f>
        <v>-629.55999999999995</v>
      </c>
      <c r="E59" s="2">
        <f>(B59+C59)*0.049</f>
        <v>-248.77</v>
      </c>
      <c r="F59" s="2">
        <f>(B59+C59)*0.0524</f>
        <v>-266.02999999999997</v>
      </c>
      <c r="G59" s="2">
        <f>+AW59</f>
        <v>-199.02</v>
      </c>
      <c r="H59" s="2">
        <f>(B59+C59)*0.0098</f>
        <v>-49.75</v>
      </c>
      <c r="I59" s="2">
        <f>(AB59)*0.0041219</f>
        <v>0</v>
      </c>
      <c r="J59" s="381">
        <f>SUM(D59:I59)</f>
        <v>-1393.13</v>
      </c>
      <c r="K59" s="384"/>
      <c r="L59" s="7"/>
      <c r="M59" s="7"/>
      <c r="N59" s="7"/>
      <c r="O59" s="7"/>
      <c r="P59" s="7"/>
      <c r="Q59" s="7">
        <v>-5077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f t="shared" si="34"/>
        <v>-5077</v>
      </c>
      <c r="AE59" s="1"/>
      <c r="AF59" s="284">
        <f>+M59*$AF$12</f>
        <v>0</v>
      </c>
      <c r="AG59" s="284">
        <f>+N59*$AG$12</f>
        <v>0</v>
      </c>
      <c r="AH59" s="284">
        <f>+O59*$AH$12</f>
        <v>0</v>
      </c>
      <c r="AI59" s="284">
        <f>+P59*$AI$12</f>
        <v>0</v>
      </c>
      <c r="AJ59" s="284">
        <f>+Q59*$AJ$12</f>
        <v>-199.02</v>
      </c>
      <c r="AK59" s="284">
        <f>+R59*$AK$12</f>
        <v>0</v>
      </c>
      <c r="AL59" s="284">
        <f>+S59*$AL$12</f>
        <v>0</v>
      </c>
      <c r="AM59" s="284">
        <f>+T59*$AM$12</f>
        <v>0</v>
      </c>
      <c r="AN59" s="284">
        <f>+U59*$AN$12</f>
        <v>0</v>
      </c>
      <c r="AO59" s="284">
        <f>+V59*$AO$12</f>
        <v>0</v>
      </c>
      <c r="AP59" s="284">
        <f>+W59*$AP$12</f>
        <v>0</v>
      </c>
      <c r="AQ59" s="284">
        <f>+X59*$AQ$12</f>
        <v>0</v>
      </c>
      <c r="AR59" s="284">
        <f>+Y59*$AR$12</f>
        <v>0</v>
      </c>
      <c r="AS59" s="284">
        <f>+Z59*$AS$12</f>
        <v>0</v>
      </c>
      <c r="AT59" s="284">
        <f>+AA59*$AT$12</f>
        <v>0</v>
      </c>
      <c r="AU59" s="284">
        <f>+AB59*$AU$12</f>
        <v>0</v>
      </c>
      <c r="AV59" s="284">
        <f>+AC59*$AV$12</f>
        <v>0</v>
      </c>
      <c r="AW59" s="321">
        <f>SUM(AF59:AV59)</f>
        <v>-199.02</v>
      </c>
    </row>
    <row r="60" spans="1:49" x14ac:dyDescent="0.2">
      <c r="A60" s="1" t="s">
        <v>47</v>
      </c>
      <c r="B60" s="7">
        <v>898293</v>
      </c>
      <c r="C60" s="7">
        <v>0</v>
      </c>
      <c r="D60" s="2">
        <f>(B60+C60)*0.124+0.01</f>
        <v>111388.34</v>
      </c>
      <c r="E60" s="2">
        <f>(B60+C60)*0.049</f>
        <v>44016.36</v>
      </c>
      <c r="F60" s="2">
        <f>(B60+C60)*0.0524</f>
        <v>47070.55</v>
      </c>
      <c r="G60" s="2">
        <f t="shared" si="2"/>
        <v>74325.42</v>
      </c>
      <c r="H60" s="2">
        <f t="shared" si="3"/>
        <v>8803.27</v>
      </c>
      <c r="I60" s="2">
        <f t="shared" si="4"/>
        <v>0</v>
      </c>
      <c r="J60" s="381">
        <f t="shared" si="5"/>
        <v>285603.94</v>
      </c>
      <c r="K60" s="384"/>
      <c r="L60" s="7"/>
      <c r="M60" s="7"/>
      <c r="N60" s="7"/>
      <c r="O60" s="7">
        <v>798211</v>
      </c>
      <c r="P60" s="7"/>
      <c r="Q60" s="7"/>
      <c r="R60" s="7"/>
      <c r="S60" s="7"/>
      <c r="T60" s="7"/>
      <c r="U60" s="7"/>
      <c r="V60" s="7"/>
      <c r="W60" s="7"/>
      <c r="X60" s="7"/>
      <c r="Y60" s="7">
        <v>100082</v>
      </c>
      <c r="Z60" s="7"/>
      <c r="AA60" s="7"/>
      <c r="AB60" s="7"/>
      <c r="AC60" s="7"/>
      <c r="AD60" s="7">
        <f>SUM(L60:AC60)</f>
        <v>898293</v>
      </c>
      <c r="AE60" s="1"/>
      <c r="AF60" s="284">
        <f t="shared" si="7"/>
        <v>0</v>
      </c>
      <c r="AG60" s="284">
        <f t="shared" si="8"/>
        <v>0</v>
      </c>
      <c r="AH60" s="284">
        <f t="shared" si="9"/>
        <v>70402.210000000006</v>
      </c>
      <c r="AI60" s="284">
        <f t="shared" si="10"/>
        <v>0</v>
      </c>
      <c r="AJ60" s="284">
        <f t="shared" si="11"/>
        <v>0</v>
      </c>
      <c r="AK60" s="284">
        <f t="shared" si="12"/>
        <v>0</v>
      </c>
      <c r="AL60" s="284">
        <f t="shared" si="13"/>
        <v>0</v>
      </c>
      <c r="AM60" s="284">
        <f t="shared" si="14"/>
        <v>0</v>
      </c>
      <c r="AN60" s="284">
        <f t="shared" si="15"/>
        <v>0</v>
      </c>
      <c r="AO60" s="284">
        <f t="shared" si="16"/>
        <v>0</v>
      </c>
      <c r="AP60" s="284">
        <f t="shared" si="17"/>
        <v>0</v>
      </c>
      <c r="AQ60" s="284">
        <f t="shared" si="18"/>
        <v>0</v>
      </c>
      <c r="AR60" s="284">
        <f t="shared" si="19"/>
        <v>3923.21</v>
      </c>
      <c r="AS60" s="284">
        <f t="shared" si="20"/>
        <v>0</v>
      </c>
      <c r="AT60" s="284">
        <f t="shared" si="21"/>
        <v>0</v>
      </c>
      <c r="AU60" s="284">
        <f t="shared" si="22"/>
        <v>0</v>
      </c>
      <c r="AV60" s="284">
        <f t="shared" si="23"/>
        <v>0</v>
      </c>
      <c r="AW60" s="321">
        <f t="shared" si="24"/>
        <v>74325.42</v>
      </c>
    </row>
    <row r="61" spans="1:49" x14ac:dyDescent="0.2">
      <c r="A61" s="1" t="s">
        <v>355</v>
      </c>
      <c r="B61" s="7">
        <v>487772</v>
      </c>
      <c r="C61" s="7">
        <v>0</v>
      </c>
      <c r="D61" s="2">
        <f>(B61+C61)*0.124-0.01</f>
        <v>60483.72</v>
      </c>
      <c r="E61" s="2">
        <f t="shared" ref="E61:E68" si="37">(B61+C61)*0.049</f>
        <v>23900.83</v>
      </c>
      <c r="F61" s="78">
        <f t="shared" ref="F61:F98" si="38">(B61+C61)*0.0524</f>
        <v>25559.25</v>
      </c>
      <c r="G61" s="2">
        <f t="shared" si="2"/>
        <v>40325.71</v>
      </c>
      <c r="H61" s="2">
        <f t="shared" si="3"/>
        <v>4780.17</v>
      </c>
      <c r="I61" s="2">
        <f t="shared" si="4"/>
        <v>0</v>
      </c>
      <c r="J61" s="381">
        <f t="shared" si="5"/>
        <v>155049.68</v>
      </c>
      <c r="K61" s="384"/>
      <c r="L61" s="7"/>
      <c r="M61" s="7">
        <v>51051</v>
      </c>
      <c r="N61" s="7"/>
      <c r="O61" s="7">
        <v>381705</v>
      </c>
      <c r="P61" s="7"/>
      <c r="Q61" s="7"/>
      <c r="R61" s="7"/>
      <c r="S61" s="7"/>
      <c r="T61" s="7"/>
      <c r="U61" s="7"/>
      <c r="V61" s="7">
        <v>41266</v>
      </c>
      <c r="W61" s="7"/>
      <c r="X61" s="7"/>
      <c r="Y61" s="7">
        <v>13750</v>
      </c>
      <c r="Z61" s="7"/>
      <c r="AA61" s="7"/>
      <c r="AB61" s="7"/>
      <c r="AC61" s="7"/>
      <c r="AD61" s="7">
        <f t="shared" si="34"/>
        <v>487772</v>
      </c>
      <c r="AE61" s="1"/>
      <c r="AF61" s="284">
        <f t="shared" si="7"/>
        <v>4502.7</v>
      </c>
      <c r="AG61" s="284">
        <f t="shared" si="8"/>
        <v>0</v>
      </c>
      <c r="AH61" s="284">
        <f t="shared" si="9"/>
        <v>33666.379999999997</v>
      </c>
      <c r="AI61" s="284">
        <f t="shared" si="10"/>
        <v>0</v>
      </c>
      <c r="AJ61" s="284">
        <f t="shared" si="11"/>
        <v>0</v>
      </c>
      <c r="AK61" s="284">
        <f t="shared" si="12"/>
        <v>0</v>
      </c>
      <c r="AL61" s="284">
        <f t="shared" si="13"/>
        <v>0</v>
      </c>
      <c r="AM61" s="284">
        <f t="shared" si="14"/>
        <v>0</v>
      </c>
      <c r="AN61" s="284">
        <f t="shared" si="15"/>
        <v>0</v>
      </c>
      <c r="AO61" s="284">
        <f t="shared" si="16"/>
        <v>1617.63</v>
      </c>
      <c r="AP61" s="284">
        <f t="shared" si="17"/>
        <v>0</v>
      </c>
      <c r="AQ61" s="284">
        <f t="shared" si="18"/>
        <v>0</v>
      </c>
      <c r="AR61" s="284">
        <f t="shared" si="19"/>
        <v>539</v>
      </c>
      <c r="AS61" s="284">
        <f t="shared" si="20"/>
        <v>0</v>
      </c>
      <c r="AT61" s="284">
        <f t="shared" si="21"/>
        <v>0</v>
      </c>
      <c r="AU61" s="284">
        <f t="shared" si="22"/>
        <v>0</v>
      </c>
      <c r="AV61" s="284">
        <f t="shared" si="23"/>
        <v>0</v>
      </c>
      <c r="AW61" s="321">
        <f t="shared" si="24"/>
        <v>40325.71</v>
      </c>
    </row>
    <row r="62" spans="1:49" x14ac:dyDescent="0.2">
      <c r="A62" s="1" t="s">
        <v>48</v>
      </c>
      <c r="B62" s="7">
        <v>12899</v>
      </c>
      <c r="C62" s="7">
        <v>0</v>
      </c>
      <c r="D62" s="2">
        <f>(B62+C62)*0.124</f>
        <v>1599.48</v>
      </c>
      <c r="E62" s="2">
        <f t="shared" si="37"/>
        <v>632.04999999999995</v>
      </c>
      <c r="F62" s="78">
        <f t="shared" si="38"/>
        <v>675.91</v>
      </c>
      <c r="G62" s="2">
        <f t="shared" si="2"/>
        <v>1137.69</v>
      </c>
      <c r="H62" s="2">
        <f t="shared" si="3"/>
        <v>126.41</v>
      </c>
      <c r="I62" s="2">
        <f t="shared" si="4"/>
        <v>0</v>
      </c>
      <c r="J62" s="381">
        <f t="shared" si="5"/>
        <v>4171.54</v>
      </c>
      <c r="K62" s="384"/>
      <c r="L62" s="7"/>
      <c r="M62" s="7"/>
      <c r="N62" s="7"/>
      <c r="O62" s="7">
        <v>12899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>
        <f t="shared" si="34"/>
        <v>12899</v>
      </c>
      <c r="AE62" s="7"/>
      <c r="AF62" s="284">
        <f t="shared" si="7"/>
        <v>0</v>
      </c>
      <c r="AG62" s="284">
        <f t="shared" si="8"/>
        <v>0</v>
      </c>
      <c r="AH62" s="284">
        <f t="shared" si="9"/>
        <v>1137.69</v>
      </c>
      <c r="AI62" s="284">
        <f t="shared" si="10"/>
        <v>0</v>
      </c>
      <c r="AJ62" s="284">
        <f t="shared" si="11"/>
        <v>0</v>
      </c>
      <c r="AK62" s="284">
        <f t="shared" si="12"/>
        <v>0</v>
      </c>
      <c r="AL62" s="284">
        <f t="shared" si="13"/>
        <v>0</v>
      </c>
      <c r="AM62" s="284">
        <f t="shared" si="14"/>
        <v>0</v>
      </c>
      <c r="AN62" s="284">
        <f t="shared" si="15"/>
        <v>0</v>
      </c>
      <c r="AO62" s="284">
        <f t="shared" si="16"/>
        <v>0</v>
      </c>
      <c r="AP62" s="284">
        <f t="shared" si="17"/>
        <v>0</v>
      </c>
      <c r="AQ62" s="284">
        <f t="shared" si="18"/>
        <v>0</v>
      </c>
      <c r="AR62" s="284">
        <f t="shared" si="19"/>
        <v>0</v>
      </c>
      <c r="AS62" s="284">
        <f t="shared" si="20"/>
        <v>0</v>
      </c>
      <c r="AT62" s="284">
        <f t="shared" si="21"/>
        <v>0</v>
      </c>
      <c r="AU62" s="284">
        <f t="shared" si="22"/>
        <v>0</v>
      </c>
      <c r="AV62" s="284">
        <f t="shared" si="23"/>
        <v>0</v>
      </c>
      <c r="AW62" s="321">
        <f t="shared" si="24"/>
        <v>1137.69</v>
      </c>
    </row>
    <row r="63" spans="1:49" x14ac:dyDescent="0.2">
      <c r="A63" s="1" t="s">
        <v>347</v>
      </c>
      <c r="B63" s="7">
        <v>160419</v>
      </c>
      <c r="C63" s="7">
        <v>0</v>
      </c>
      <c r="D63" s="2">
        <f>(B63+C63)*0.124-0.01</f>
        <v>19891.95</v>
      </c>
      <c r="E63" s="2">
        <f t="shared" si="37"/>
        <v>7860.53</v>
      </c>
      <c r="F63" s="78">
        <f t="shared" si="38"/>
        <v>8405.9599999999991</v>
      </c>
      <c r="G63" s="2">
        <f t="shared" si="2"/>
        <v>11839.58</v>
      </c>
      <c r="H63" s="2">
        <f t="shared" si="3"/>
        <v>1572.11</v>
      </c>
      <c r="I63" s="2">
        <f t="shared" si="4"/>
        <v>131.41999999999999</v>
      </c>
      <c r="J63" s="381">
        <f t="shared" si="5"/>
        <v>49701.55</v>
      </c>
      <c r="K63" s="384"/>
      <c r="L63" s="7"/>
      <c r="M63" s="7">
        <v>52647</v>
      </c>
      <c r="N63" s="7">
        <v>19429</v>
      </c>
      <c r="O63" s="7"/>
      <c r="P63" s="7">
        <v>44584</v>
      </c>
      <c r="Q63" s="7"/>
      <c r="R63" s="7"/>
      <c r="S63" s="7"/>
      <c r="T63" s="7"/>
      <c r="U63" s="7"/>
      <c r="V63" s="7"/>
      <c r="W63" s="7">
        <v>820</v>
      </c>
      <c r="X63" s="7"/>
      <c r="Y63" s="7"/>
      <c r="Z63" s="7">
        <v>8508</v>
      </c>
      <c r="AA63" s="7">
        <v>2548</v>
      </c>
      <c r="AB63" s="7">
        <v>31884</v>
      </c>
      <c r="AC63" s="7"/>
      <c r="AD63" s="7">
        <f t="shared" si="34"/>
        <v>160420</v>
      </c>
      <c r="AE63" s="1"/>
      <c r="AF63" s="284">
        <f t="shared" si="7"/>
        <v>4643.47</v>
      </c>
      <c r="AG63" s="284">
        <f t="shared" si="8"/>
        <v>1713.64</v>
      </c>
      <c r="AH63" s="284">
        <f t="shared" si="9"/>
        <v>0</v>
      </c>
      <c r="AI63" s="284">
        <f t="shared" si="10"/>
        <v>1747.69</v>
      </c>
      <c r="AJ63" s="284">
        <f t="shared" si="11"/>
        <v>0</v>
      </c>
      <c r="AK63" s="284">
        <f t="shared" si="12"/>
        <v>0</v>
      </c>
      <c r="AL63" s="284">
        <f t="shared" si="13"/>
        <v>0</v>
      </c>
      <c r="AM63" s="284">
        <f t="shared" si="14"/>
        <v>0</v>
      </c>
      <c r="AN63" s="284">
        <f t="shared" si="15"/>
        <v>0</v>
      </c>
      <c r="AO63" s="284">
        <f t="shared" si="16"/>
        <v>0</v>
      </c>
      <c r="AP63" s="284">
        <f t="shared" si="17"/>
        <v>72.319999999999993</v>
      </c>
      <c r="AQ63" s="284">
        <f t="shared" si="18"/>
        <v>0</v>
      </c>
      <c r="AR63" s="284">
        <f t="shared" si="19"/>
        <v>0</v>
      </c>
      <c r="AS63" s="284">
        <f t="shared" si="20"/>
        <v>750.41</v>
      </c>
      <c r="AT63" s="284">
        <f t="shared" si="21"/>
        <v>99.88</v>
      </c>
      <c r="AU63" s="284">
        <f t="shared" si="22"/>
        <v>2812.17</v>
      </c>
      <c r="AV63" s="284">
        <f t="shared" si="23"/>
        <v>0</v>
      </c>
      <c r="AW63" s="321">
        <f t="shared" si="24"/>
        <v>11839.58</v>
      </c>
    </row>
    <row r="64" spans="1:49" x14ac:dyDescent="0.2">
      <c r="A64" s="1" t="s">
        <v>49</v>
      </c>
      <c r="B64" s="7">
        <v>1682591</v>
      </c>
      <c r="C64" s="7">
        <v>0</v>
      </c>
      <c r="D64" s="2">
        <f>(B64+C64)*0.124-0.01</f>
        <v>208641.27</v>
      </c>
      <c r="E64" s="2">
        <f t="shared" si="37"/>
        <v>82446.960000000006</v>
      </c>
      <c r="F64" s="78">
        <f t="shared" si="38"/>
        <v>88167.77</v>
      </c>
      <c r="G64" s="2">
        <f t="shared" si="2"/>
        <v>132839.38</v>
      </c>
      <c r="H64" s="2">
        <f t="shared" si="3"/>
        <v>16489.39</v>
      </c>
      <c r="I64" s="2">
        <f t="shared" si="4"/>
        <v>4406.07</v>
      </c>
      <c r="J64" s="381">
        <f t="shared" si="5"/>
        <v>532990.84</v>
      </c>
      <c r="K64" s="384"/>
      <c r="L64" s="7"/>
      <c r="M64" s="7">
        <v>30616</v>
      </c>
      <c r="N64" s="7"/>
      <c r="O64" s="7">
        <v>164384</v>
      </c>
      <c r="P64" s="7"/>
      <c r="Q64" s="7">
        <v>317656</v>
      </c>
      <c r="R64" s="7"/>
      <c r="S64" s="7"/>
      <c r="T64" s="7">
        <v>5504</v>
      </c>
      <c r="U64" s="7"/>
      <c r="V64" s="7"/>
      <c r="W64" s="7">
        <v>95489</v>
      </c>
      <c r="X64" s="7"/>
      <c r="Y64" s="7"/>
      <c r="Z64" s="7"/>
      <c r="AA64" s="7"/>
      <c r="AB64" s="7">
        <v>1068942</v>
      </c>
      <c r="AC64" s="7"/>
      <c r="AD64" s="7">
        <f t="shared" si="34"/>
        <v>1682591</v>
      </c>
      <c r="AE64" s="1"/>
      <c r="AF64" s="284">
        <f t="shared" si="7"/>
        <v>2700.33</v>
      </c>
      <c r="AG64" s="284">
        <f t="shared" si="8"/>
        <v>0</v>
      </c>
      <c r="AH64" s="284">
        <f t="shared" si="9"/>
        <v>14498.67</v>
      </c>
      <c r="AI64" s="284">
        <f t="shared" si="10"/>
        <v>0</v>
      </c>
      <c r="AJ64" s="284">
        <f t="shared" si="11"/>
        <v>12452.12</v>
      </c>
      <c r="AK64" s="284">
        <f t="shared" si="12"/>
        <v>0</v>
      </c>
      <c r="AL64" s="284">
        <f t="shared" si="13"/>
        <v>0</v>
      </c>
      <c r="AM64" s="284">
        <f t="shared" si="14"/>
        <v>485.45</v>
      </c>
      <c r="AN64" s="284">
        <f t="shared" si="15"/>
        <v>0</v>
      </c>
      <c r="AO64" s="284">
        <f t="shared" si="16"/>
        <v>0</v>
      </c>
      <c r="AP64" s="284">
        <f t="shared" si="17"/>
        <v>8422.1299999999992</v>
      </c>
      <c r="AQ64" s="284">
        <f t="shared" si="18"/>
        <v>0</v>
      </c>
      <c r="AR64" s="284">
        <f t="shared" si="19"/>
        <v>0</v>
      </c>
      <c r="AS64" s="284">
        <f t="shared" si="20"/>
        <v>0</v>
      </c>
      <c r="AT64" s="284">
        <f t="shared" si="21"/>
        <v>0</v>
      </c>
      <c r="AU64" s="284">
        <f t="shared" si="22"/>
        <v>94280.68</v>
      </c>
      <c r="AV64" s="284">
        <f t="shared" si="23"/>
        <v>0</v>
      </c>
      <c r="AW64" s="321">
        <f t="shared" si="24"/>
        <v>132839.38</v>
      </c>
    </row>
    <row r="65" spans="1:49" x14ac:dyDescent="0.2">
      <c r="A65" s="1" t="s">
        <v>50</v>
      </c>
      <c r="B65" s="7">
        <v>371797</v>
      </c>
      <c r="C65" s="7">
        <v>0</v>
      </c>
      <c r="D65" s="2">
        <f>(B65+C65)*0.124-0.01</f>
        <v>46102.82</v>
      </c>
      <c r="E65" s="2">
        <f t="shared" si="37"/>
        <v>18218.05</v>
      </c>
      <c r="F65" s="78">
        <f t="shared" si="38"/>
        <v>19482.16</v>
      </c>
      <c r="G65" s="2">
        <f t="shared" si="2"/>
        <v>31400.02</v>
      </c>
      <c r="H65" s="2">
        <f>(B65+C65)*0.0098+0.01</f>
        <v>3643.62</v>
      </c>
      <c r="I65" s="2">
        <f t="shared" si="4"/>
        <v>0</v>
      </c>
      <c r="J65" s="381">
        <f t="shared" si="5"/>
        <v>118846.67</v>
      </c>
      <c r="K65" s="384"/>
      <c r="L65" s="7"/>
      <c r="M65" s="7"/>
      <c r="N65" s="7"/>
      <c r="O65" s="7">
        <v>315308</v>
      </c>
      <c r="P65" s="7"/>
      <c r="Q65" s="7"/>
      <c r="R65" s="7"/>
      <c r="S65" s="7"/>
      <c r="T65" s="7"/>
      <c r="U65" s="7"/>
      <c r="V65" s="7">
        <v>28418</v>
      </c>
      <c r="W65" s="7"/>
      <c r="X65" s="7"/>
      <c r="Y65" s="7"/>
      <c r="Z65" s="7"/>
      <c r="AA65" s="7"/>
      <c r="AB65" s="7"/>
      <c r="AC65" s="7">
        <v>28071</v>
      </c>
      <c r="AD65" s="7">
        <f t="shared" ref="AD65:AD85" si="39">SUM(L65:AC65)</f>
        <v>371797</v>
      </c>
      <c r="AE65" s="7"/>
      <c r="AF65" s="284">
        <f t="shared" si="7"/>
        <v>0</v>
      </c>
      <c r="AG65" s="284">
        <f t="shared" si="8"/>
        <v>0</v>
      </c>
      <c r="AH65" s="284">
        <f t="shared" si="9"/>
        <v>27810.17</v>
      </c>
      <c r="AI65" s="284">
        <f t="shared" si="10"/>
        <v>0</v>
      </c>
      <c r="AJ65" s="284">
        <f t="shared" si="11"/>
        <v>0</v>
      </c>
      <c r="AK65" s="284">
        <f t="shared" si="12"/>
        <v>0</v>
      </c>
      <c r="AL65" s="284">
        <f t="shared" si="13"/>
        <v>0</v>
      </c>
      <c r="AM65" s="284">
        <f t="shared" si="14"/>
        <v>0</v>
      </c>
      <c r="AN65" s="284">
        <f t="shared" si="15"/>
        <v>0</v>
      </c>
      <c r="AO65" s="284">
        <f t="shared" si="16"/>
        <v>1113.99</v>
      </c>
      <c r="AP65" s="284">
        <f t="shared" si="17"/>
        <v>0</v>
      </c>
      <c r="AQ65" s="284">
        <f t="shared" si="18"/>
        <v>0</v>
      </c>
      <c r="AR65" s="284">
        <f t="shared" si="19"/>
        <v>0</v>
      </c>
      <c r="AS65" s="284">
        <f t="shared" si="20"/>
        <v>0</v>
      </c>
      <c r="AT65" s="284">
        <f t="shared" si="21"/>
        <v>0</v>
      </c>
      <c r="AU65" s="284">
        <f t="shared" si="22"/>
        <v>0</v>
      </c>
      <c r="AV65" s="284">
        <f t="shared" si="23"/>
        <v>2475.86</v>
      </c>
      <c r="AW65" s="321">
        <f t="shared" si="24"/>
        <v>31400.02</v>
      </c>
    </row>
    <row r="66" spans="1:49" x14ac:dyDescent="0.2">
      <c r="A66" s="1" t="s">
        <v>474</v>
      </c>
      <c r="B66" s="7">
        <v>6394</v>
      </c>
      <c r="C66" s="7">
        <v>0</v>
      </c>
      <c r="D66" s="2">
        <f>(B66+C66)*0.124-0.01</f>
        <v>792.85</v>
      </c>
      <c r="E66" s="2">
        <f t="shared" si="37"/>
        <v>313.31</v>
      </c>
      <c r="F66" s="78">
        <f t="shared" si="38"/>
        <v>335.05</v>
      </c>
      <c r="G66" s="2">
        <f t="shared" si="2"/>
        <v>563.95000000000005</v>
      </c>
      <c r="H66" s="2">
        <f t="shared" si="3"/>
        <v>62.66</v>
      </c>
      <c r="I66" s="2">
        <f t="shared" si="4"/>
        <v>0</v>
      </c>
      <c r="J66" s="381">
        <f t="shared" si="5"/>
        <v>2067.8200000000002</v>
      </c>
      <c r="K66" s="384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>
        <v>6394</v>
      </c>
      <c r="AD66" s="7">
        <f>SUM(L66:AC66)</f>
        <v>6394</v>
      </c>
      <c r="AE66" s="7"/>
      <c r="AF66" s="284">
        <f t="shared" si="7"/>
        <v>0</v>
      </c>
      <c r="AG66" s="284">
        <f t="shared" si="8"/>
        <v>0</v>
      </c>
      <c r="AH66" s="284">
        <f t="shared" si="9"/>
        <v>0</v>
      </c>
      <c r="AI66" s="284">
        <f t="shared" si="10"/>
        <v>0</v>
      </c>
      <c r="AJ66" s="284">
        <f t="shared" si="11"/>
        <v>0</v>
      </c>
      <c r="AK66" s="284">
        <f t="shared" si="12"/>
        <v>0</v>
      </c>
      <c r="AL66" s="284">
        <f t="shared" si="13"/>
        <v>0</v>
      </c>
      <c r="AM66" s="284">
        <f t="shared" si="14"/>
        <v>0</v>
      </c>
      <c r="AN66" s="284">
        <f t="shared" si="15"/>
        <v>0</v>
      </c>
      <c r="AO66" s="284">
        <f t="shared" si="16"/>
        <v>0</v>
      </c>
      <c r="AP66" s="284">
        <f t="shared" si="17"/>
        <v>0</v>
      </c>
      <c r="AQ66" s="284">
        <f t="shared" si="18"/>
        <v>0</v>
      </c>
      <c r="AR66" s="284">
        <f t="shared" si="19"/>
        <v>0</v>
      </c>
      <c r="AS66" s="284">
        <f t="shared" si="20"/>
        <v>0</v>
      </c>
      <c r="AT66" s="284">
        <f t="shared" si="21"/>
        <v>0</v>
      </c>
      <c r="AU66" s="284">
        <f t="shared" si="22"/>
        <v>0</v>
      </c>
      <c r="AV66" s="284">
        <f t="shared" si="23"/>
        <v>563.95000000000005</v>
      </c>
      <c r="AW66" s="321">
        <f t="shared" si="24"/>
        <v>563.95000000000005</v>
      </c>
    </row>
    <row r="67" spans="1:49" x14ac:dyDescent="0.2">
      <c r="A67" s="1" t="s">
        <v>51</v>
      </c>
      <c r="B67" s="7">
        <v>123163</v>
      </c>
      <c r="C67" s="7">
        <v>0</v>
      </c>
      <c r="D67" s="2">
        <f>(B67+C67)*0.124-0.01</f>
        <v>15272.2</v>
      </c>
      <c r="E67" s="2">
        <f t="shared" si="37"/>
        <v>6034.99</v>
      </c>
      <c r="F67" s="78">
        <f t="shared" si="38"/>
        <v>6453.74</v>
      </c>
      <c r="G67" s="2">
        <f t="shared" si="2"/>
        <v>7231.79</v>
      </c>
      <c r="H67" s="2">
        <f t="shared" si="3"/>
        <v>1207</v>
      </c>
      <c r="I67" s="2">
        <f t="shared" si="4"/>
        <v>0</v>
      </c>
      <c r="J67" s="381">
        <f t="shared" si="5"/>
        <v>36199.72</v>
      </c>
      <c r="K67" s="384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>
        <v>871</v>
      </c>
      <c r="X67" s="7">
        <v>48186</v>
      </c>
      <c r="Y67" s="7">
        <v>74106</v>
      </c>
      <c r="Z67" s="7"/>
      <c r="AA67" s="7"/>
      <c r="AB67" s="7"/>
      <c r="AC67" s="7"/>
      <c r="AD67" s="7">
        <f t="shared" si="39"/>
        <v>123163</v>
      </c>
      <c r="AE67" s="7"/>
      <c r="AF67" s="284">
        <f t="shared" si="7"/>
        <v>0</v>
      </c>
      <c r="AG67" s="284">
        <f t="shared" si="8"/>
        <v>0</v>
      </c>
      <c r="AH67" s="284">
        <f t="shared" si="9"/>
        <v>0</v>
      </c>
      <c r="AI67" s="284">
        <f t="shared" si="10"/>
        <v>0</v>
      </c>
      <c r="AJ67" s="284">
        <f t="shared" si="11"/>
        <v>0</v>
      </c>
      <c r="AK67" s="284">
        <f t="shared" si="12"/>
        <v>0</v>
      </c>
      <c r="AL67" s="284">
        <f t="shared" si="13"/>
        <v>0</v>
      </c>
      <c r="AM67" s="284">
        <f t="shared" si="14"/>
        <v>0</v>
      </c>
      <c r="AN67" s="284">
        <f t="shared" si="15"/>
        <v>0</v>
      </c>
      <c r="AO67" s="284">
        <f t="shared" si="16"/>
        <v>0</v>
      </c>
      <c r="AP67" s="284">
        <f t="shared" si="17"/>
        <v>76.819999999999993</v>
      </c>
      <c r="AQ67" s="284">
        <f t="shared" si="18"/>
        <v>4250.01</v>
      </c>
      <c r="AR67" s="284">
        <f t="shared" si="19"/>
        <v>2904.96</v>
      </c>
      <c r="AS67" s="284">
        <f t="shared" si="20"/>
        <v>0</v>
      </c>
      <c r="AT67" s="284">
        <f t="shared" si="21"/>
        <v>0</v>
      </c>
      <c r="AU67" s="284">
        <f t="shared" si="22"/>
        <v>0</v>
      </c>
      <c r="AV67" s="284">
        <f t="shared" si="23"/>
        <v>0</v>
      </c>
      <c r="AW67" s="321">
        <f t="shared" si="24"/>
        <v>7231.79</v>
      </c>
    </row>
    <row r="68" spans="1:49" x14ac:dyDescent="0.2">
      <c r="A68" s="1" t="s">
        <v>433</v>
      </c>
      <c r="B68" s="7">
        <v>95626</v>
      </c>
      <c r="C68" s="7">
        <v>0</v>
      </c>
      <c r="D68" s="2">
        <f>(B68+C68)*0.124+0.02</f>
        <v>11857.64</v>
      </c>
      <c r="E68" s="2">
        <f t="shared" si="37"/>
        <v>4685.67</v>
      </c>
      <c r="F68" s="78">
        <f t="shared" si="38"/>
        <v>5010.8</v>
      </c>
      <c r="G68" s="2">
        <f t="shared" si="2"/>
        <v>8434.2099999999991</v>
      </c>
      <c r="H68" s="2">
        <f t="shared" si="3"/>
        <v>937.13</v>
      </c>
      <c r="I68" s="2">
        <f t="shared" si="4"/>
        <v>34.78</v>
      </c>
      <c r="J68" s="381">
        <f t="shared" si="5"/>
        <v>30960.23</v>
      </c>
      <c r="K68" s="384"/>
      <c r="L68" s="7"/>
      <c r="M68" s="7"/>
      <c r="N68" s="7"/>
      <c r="O68" s="7">
        <v>87187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>
        <v>8439</v>
      </c>
      <c r="AC68" s="7"/>
      <c r="AD68" s="7">
        <f t="shared" si="39"/>
        <v>95626</v>
      </c>
      <c r="AE68" s="7"/>
      <c r="AF68" s="284">
        <f t="shared" si="7"/>
        <v>0</v>
      </c>
      <c r="AG68" s="284">
        <f t="shared" si="8"/>
        <v>0</v>
      </c>
      <c r="AH68" s="284">
        <f t="shared" si="9"/>
        <v>7689.89</v>
      </c>
      <c r="AI68" s="284">
        <f t="shared" si="10"/>
        <v>0</v>
      </c>
      <c r="AJ68" s="284">
        <f t="shared" si="11"/>
        <v>0</v>
      </c>
      <c r="AK68" s="284">
        <f t="shared" si="12"/>
        <v>0</v>
      </c>
      <c r="AL68" s="284">
        <f t="shared" si="13"/>
        <v>0</v>
      </c>
      <c r="AM68" s="284">
        <f t="shared" si="14"/>
        <v>0</v>
      </c>
      <c r="AN68" s="284">
        <f t="shared" si="15"/>
        <v>0</v>
      </c>
      <c r="AO68" s="284">
        <f t="shared" si="16"/>
        <v>0</v>
      </c>
      <c r="AP68" s="284">
        <f t="shared" si="17"/>
        <v>0</v>
      </c>
      <c r="AQ68" s="284">
        <f t="shared" si="18"/>
        <v>0</v>
      </c>
      <c r="AR68" s="284">
        <f t="shared" si="19"/>
        <v>0</v>
      </c>
      <c r="AS68" s="284">
        <f t="shared" si="20"/>
        <v>0</v>
      </c>
      <c r="AT68" s="284">
        <f t="shared" si="21"/>
        <v>0</v>
      </c>
      <c r="AU68" s="284">
        <f t="shared" si="22"/>
        <v>744.32</v>
      </c>
      <c r="AV68" s="284">
        <f t="shared" si="23"/>
        <v>0</v>
      </c>
      <c r="AW68" s="321">
        <f t="shared" si="24"/>
        <v>8434.2099999999991</v>
      </c>
    </row>
    <row r="69" spans="1:49" x14ac:dyDescent="0.2">
      <c r="A69" s="1" t="s">
        <v>706</v>
      </c>
      <c r="B69" s="7">
        <v>50872</v>
      </c>
      <c r="C69" s="7">
        <v>0</v>
      </c>
      <c r="D69" s="2">
        <f>(B69+C69)*0.124-0.02</f>
        <v>6308.11</v>
      </c>
      <c r="E69" s="2">
        <f>(B69+C69)*0.049</f>
        <v>2492.73</v>
      </c>
      <c r="F69" s="78">
        <f t="shared" si="38"/>
        <v>2665.69</v>
      </c>
      <c r="G69" s="2">
        <f t="shared" si="2"/>
        <v>4486.92</v>
      </c>
      <c r="H69" s="2">
        <f t="shared" si="3"/>
        <v>498.55</v>
      </c>
      <c r="I69" s="2">
        <f t="shared" si="4"/>
        <v>0</v>
      </c>
      <c r="J69" s="381">
        <f t="shared" si="5"/>
        <v>16452</v>
      </c>
      <c r="K69" s="384"/>
      <c r="L69" s="7"/>
      <c r="M69" s="7"/>
      <c r="N69" s="7">
        <v>625</v>
      </c>
      <c r="O69" s="7"/>
      <c r="P69" s="7"/>
      <c r="Q69" s="7"/>
      <c r="R69" s="7"/>
      <c r="S69" s="7"/>
      <c r="T69" s="7"/>
      <c r="U69" s="7"/>
      <c r="V69" s="7"/>
      <c r="W69" s="7">
        <v>50247</v>
      </c>
      <c r="X69" s="7"/>
      <c r="Y69" s="7"/>
      <c r="Z69" s="7"/>
      <c r="AA69" s="7"/>
      <c r="AB69" s="7"/>
      <c r="AC69" s="7"/>
      <c r="AD69" s="7">
        <f t="shared" ref="AD69:AD74" si="40">SUM(L69:AC69)</f>
        <v>50872</v>
      </c>
      <c r="AE69" s="1"/>
      <c r="AF69" s="284">
        <f t="shared" si="7"/>
        <v>0</v>
      </c>
      <c r="AG69" s="284">
        <f t="shared" si="8"/>
        <v>55.13</v>
      </c>
      <c r="AH69" s="284">
        <f t="shared" si="9"/>
        <v>0</v>
      </c>
      <c r="AI69" s="284">
        <f t="shared" si="10"/>
        <v>0</v>
      </c>
      <c r="AJ69" s="284">
        <f t="shared" si="11"/>
        <v>0</v>
      </c>
      <c r="AK69" s="284">
        <f t="shared" si="12"/>
        <v>0</v>
      </c>
      <c r="AL69" s="284">
        <f t="shared" si="13"/>
        <v>0</v>
      </c>
      <c r="AM69" s="284">
        <f t="shared" si="14"/>
        <v>0</v>
      </c>
      <c r="AN69" s="284">
        <f t="shared" si="15"/>
        <v>0</v>
      </c>
      <c r="AO69" s="284">
        <f t="shared" si="16"/>
        <v>0</v>
      </c>
      <c r="AP69" s="284">
        <f t="shared" si="17"/>
        <v>4431.79</v>
      </c>
      <c r="AQ69" s="284">
        <f t="shared" si="18"/>
        <v>0</v>
      </c>
      <c r="AR69" s="284">
        <f t="shared" si="19"/>
        <v>0</v>
      </c>
      <c r="AS69" s="284">
        <f t="shared" si="20"/>
        <v>0</v>
      </c>
      <c r="AT69" s="284">
        <f t="shared" si="21"/>
        <v>0</v>
      </c>
      <c r="AU69" s="284">
        <f t="shared" si="22"/>
        <v>0</v>
      </c>
      <c r="AV69" s="284">
        <f t="shared" si="23"/>
        <v>0</v>
      </c>
      <c r="AW69" s="321">
        <f t="shared" si="24"/>
        <v>4486.92</v>
      </c>
    </row>
    <row r="70" spans="1:49" x14ac:dyDescent="0.2">
      <c r="A70" s="1" t="s">
        <v>52</v>
      </c>
      <c r="B70" s="7">
        <v>628480</v>
      </c>
      <c r="C70" s="7">
        <v>0</v>
      </c>
      <c r="D70" s="2">
        <f>(B70+C70)*0.124</f>
        <v>77931.520000000004</v>
      </c>
      <c r="E70" s="2">
        <f>(B70+C70)*0.049</f>
        <v>30795.52</v>
      </c>
      <c r="F70" s="78">
        <f>(B70+C70)*0.0524</f>
        <v>32932.35</v>
      </c>
      <c r="G70" s="2">
        <f>+AW70</f>
        <v>41508.239999999998</v>
      </c>
      <c r="H70" s="2">
        <f>(B70+C70)*0.0098+0.01</f>
        <v>6159.11</v>
      </c>
      <c r="I70" s="2">
        <f>(AB70)*0.0041219</f>
        <v>0</v>
      </c>
      <c r="J70" s="381">
        <f>SUM(D70:I70)</f>
        <v>189326.74</v>
      </c>
      <c r="K70" s="384"/>
      <c r="L70" s="7"/>
      <c r="M70" s="7"/>
      <c r="N70" s="7"/>
      <c r="O70" s="7">
        <v>102874</v>
      </c>
      <c r="P70" s="7"/>
      <c r="Q70" s="7">
        <v>284157</v>
      </c>
      <c r="R70" s="7"/>
      <c r="S70" s="7"/>
      <c r="T70" s="7">
        <v>241449</v>
      </c>
      <c r="U70" s="7"/>
      <c r="V70" s="7"/>
      <c r="W70" s="7"/>
      <c r="X70" s="7"/>
      <c r="Y70" s="7"/>
      <c r="Z70" s="7"/>
      <c r="AA70" s="7"/>
      <c r="AB70" s="7"/>
      <c r="AC70" s="7"/>
      <c r="AD70" s="7">
        <f t="shared" si="40"/>
        <v>628480</v>
      </c>
      <c r="AE70" s="1"/>
      <c r="AF70" s="284">
        <f>+M70*$AF$12</f>
        <v>0</v>
      </c>
      <c r="AG70" s="284">
        <f>+N70*$AG$12</f>
        <v>0</v>
      </c>
      <c r="AH70" s="284">
        <f>+O70*$AH$12</f>
        <v>9073.49</v>
      </c>
      <c r="AI70" s="284">
        <f>+P70*$AI$12</f>
        <v>0</v>
      </c>
      <c r="AJ70" s="284">
        <f>+Q70*$AJ$12</f>
        <v>11138.95</v>
      </c>
      <c r="AK70" s="284">
        <f>+R70*$AK$12</f>
        <v>0</v>
      </c>
      <c r="AL70" s="284">
        <f>+S70*$AL$12</f>
        <v>0</v>
      </c>
      <c r="AM70" s="284">
        <f>+T70*$AM$12</f>
        <v>21295.8</v>
      </c>
      <c r="AN70" s="284">
        <f>+U70*$AN$12</f>
        <v>0</v>
      </c>
      <c r="AO70" s="284">
        <f>+V70*$AO$12</f>
        <v>0</v>
      </c>
      <c r="AP70" s="284">
        <f>+W70*$AP$12</f>
        <v>0</v>
      </c>
      <c r="AQ70" s="284">
        <f>+X70*$AQ$12</f>
        <v>0</v>
      </c>
      <c r="AR70" s="284">
        <f>+Y70*$AR$12</f>
        <v>0</v>
      </c>
      <c r="AS70" s="284">
        <f>+Z70*$AS$12</f>
        <v>0</v>
      </c>
      <c r="AT70" s="284">
        <f>+AA70*$AT$12</f>
        <v>0</v>
      </c>
      <c r="AU70" s="284">
        <f>+AB70*$AU$12</f>
        <v>0</v>
      </c>
      <c r="AV70" s="284">
        <f>+AC70*$AV$12</f>
        <v>0</v>
      </c>
      <c r="AW70" s="321">
        <f>SUM(AF70:AV70)</f>
        <v>41508.239999999998</v>
      </c>
    </row>
    <row r="71" spans="1:49" x14ac:dyDescent="0.2">
      <c r="A71" s="1" t="s">
        <v>729</v>
      </c>
      <c r="B71" s="7">
        <v>301</v>
      </c>
      <c r="C71" s="7">
        <v>0</v>
      </c>
      <c r="D71" s="2">
        <f>(B71+C71)*0.124</f>
        <v>37.32</v>
      </c>
      <c r="E71" s="2">
        <f>(B71+C71)*0.049</f>
        <v>14.75</v>
      </c>
      <c r="F71" s="78">
        <f>(B71+C71)*0.0524</f>
        <v>15.77</v>
      </c>
      <c r="G71" s="2">
        <f>+AW71</f>
        <v>11.8</v>
      </c>
      <c r="H71" s="2">
        <f>(B71+C71)*0.0098</f>
        <v>2.95</v>
      </c>
      <c r="I71" s="2">
        <f>(AB71)*0.0041219</f>
        <v>0</v>
      </c>
      <c r="J71" s="381">
        <f>SUM(D71:I71)</f>
        <v>82.59</v>
      </c>
      <c r="K71" s="384"/>
      <c r="L71" s="7"/>
      <c r="M71" s="7"/>
      <c r="N71" s="7"/>
      <c r="O71" s="7"/>
      <c r="P71" s="7">
        <v>301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>
        <f t="shared" si="40"/>
        <v>301</v>
      </c>
      <c r="AE71" s="7"/>
      <c r="AF71" s="284">
        <f>+M71*$AF$12</f>
        <v>0</v>
      </c>
      <c r="AG71" s="284">
        <f>+N71*$AG$12</f>
        <v>0</v>
      </c>
      <c r="AH71" s="284">
        <f>+O71*$AH$12</f>
        <v>0</v>
      </c>
      <c r="AI71" s="284">
        <f>+P71*$AI$12</f>
        <v>11.8</v>
      </c>
      <c r="AJ71" s="284">
        <f>+Q71*$AJ$12</f>
        <v>0</v>
      </c>
      <c r="AK71" s="284">
        <f>+R71*$AK$12</f>
        <v>0</v>
      </c>
      <c r="AL71" s="284">
        <f>+S71*$AL$12</f>
        <v>0</v>
      </c>
      <c r="AM71" s="284">
        <f>+T71*$AM$12</f>
        <v>0</v>
      </c>
      <c r="AN71" s="284">
        <f>+U71*$AN$12</f>
        <v>0</v>
      </c>
      <c r="AO71" s="284">
        <f>+V71*$AO$12</f>
        <v>0</v>
      </c>
      <c r="AP71" s="284">
        <f>+W71*$AP$12</f>
        <v>0</v>
      </c>
      <c r="AQ71" s="284">
        <f>+X71*$AQ$12</f>
        <v>0</v>
      </c>
      <c r="AR71" s="284">
        <f>+Y71*$AR$12</f>
        <v>0</v>
      </c>
      <c r="AS71" s="284">
        <f>+Z71*$AS$12</f>
        <v>0</v>
      </c>
      <c r="AT71" s="284">
        <f>+AA71*$AT$12</f>
        <v>0</v>
      </c>
      <c r="AU71" s="284">
        <f>+AB71*$AU$12</f>
        <v>0</v>
      </c>
      <c r="AV71" s="284">
        <f>+AC71*$AV$12</f>
        <v>0</v>
      </c>
      <c r="AW71" s="321">
        <f>SUM(AF71:AV71)</f>
        <v>11.8</v>
      </c>
    </row>
    <row r="72" spans="1:49" x14ac:dyDescent="0.2">
      <c r="A72" s="1" t="s">
        <v>723</v>
      </c>
      <c r="B72" s="7">
        <v>130570</v>
      </c>
      <c r="C72" s="7">
        <v>0</v>
      </c>
      <c r="D72" s="2">
        <f>(B72+C72)*0.124</f>
        <v>16190.68</v>
      </c>
      <c r="E72" s="2">
        <f>(B72+C72)*0.049</f>
        <v>6397.93</v>
      </c>
      <c r="F72" s="78">
        <f>(B72+C72)*0.0524</f>
        <v>6841.87</v>
      </c>
      <c r="G72" s="2">
        <f>+AW72</f>
        <v>11516.27</v>
      </c>
      <c r="H72" s="2">
        <f>(B72+C72)*0.0098</f>
        <v>1279.5899999999999</v>
      </c>
      <c r="I72" s="2">
        <f>(AB72)*0.0041219</f>
        <v>0</v>
      </c>
      <c r="J72" s="381">
        <f>SUM(D72:I72)</f>
        <v>42226.34</v>
      </c>
      <c r="K72" s="384"/>
      <c r="L72" s="7"/>
      <c r="M72" s="7"/>
      <c r="N72" s="7"/>
      <c r="O72" s="7">
        <v>130570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>
        <f t="shared" si="40"/>
        <v>130570</v>
      </c>
      <c r="AE72" s="7"/>
      <c r="AF72" s="284">
        <f>+M72*$AF$12</f>
        <v>0</v>
      </c>
      <c r="AG72" s="284">
        <f>+N72*$AG$12</f>
        <v>0</v>
      </c>
      <c r="AH72" s="284">
        <f>+O72*$AH$12</f>
        <v>11516.27</v>
      </c>
      <c r="AI72" s="284">
        <f>+P72*$AI$12</f>
        <v>0</v>
      </c>
      <c r="AJ72" s="284">
        <f>+Q72*$AJ$12</f>
        <v>0</v>
      </c>
      <c r="AK72" s="284">
        <f>+R72*$AK$12</f>
        <v>0</v>
      </c>
      <c r="AL72" s="284">
        <f>+S72*$AL$12</f>
        <v>0</v>
      </c>
      <c r="AM72" s="284">
        <f>+T72*$AM$12</f>
        <v>0</v>
      </c>
      <c r="AN72" s="284">
        <f>+U72*$AN$12</f>
        <v>0</v>
      </c>
      <c r="AO72" s="284">
        <f>+V72*$AO$12</f>
        <v>0</v>
      </c>
      <c r="AP72" s="284">
        <f>+W72*$AP$12</f>
        <v>0</v>
      </c>
      <c r="AQ72" s="284">
        <f>+X72*$AQ$12</f>
        <v>0</v>
      </c>
      <c r="AR72" s="284">
        <f>+Y72*$AR$12</f>
        <v>0</v>
      </c>
      <c r="AS72" s="284">
        <f>+Z72*$AS$12</f>
        <v>0</v>
      </c>
      <c r="AT72" s="284">
        <f>+AA72*$AT$12</f>
        <v>0</v>
      </c>
      <c r="AU72" s="284">
        <f>+AB72*$AU$12</f>
        <v>0</v>
      </c>
      <c r="AV72" s="284">
        <f>+AC72*$AV$12</f>
        <v>0</v>
      </c>
      <c r="AW72" s="321">
        <f>SUM(AF72:AV72)</f>
        <v>11516.27</v>
      </c>
    </row>
    <row r="73" spans="1:49" x14ac:dyDescent="0.2">
      <c r="A73" s="1" t="s">
        <v>727</v>
      </c>
      <c r="B73" s="7">
        <v>52897</v>
      </c>
      <c r="C73" s="7">
        <v>0</v>
      </c>
      <c r="D73" s="2">
        <f>(B73+C73)*0.124-536.91</f>
        <v>6022.32</v>
      </c>
      <c r="E73" s="2">
        <f>(B73+C73)*0.049-211.6</f>
        <v>2380.35</v>
      </c>
      <c r="F73" s="78">
        <f>(B73+C73)*0.0524-224.8</f>
        <v>2547</v>
      </c>
      <c r="G73" s="2">
        <f>+AW73</f>
        <v>4496.25</v>
      </c>
      <c r="H73" s="2">
        <f>(B73+C73)*0.0098-253.9</f>
        <v>264.49</v>
      </c>
      <c r="I73" s="2">
        <f>(AB73)*0.0041219</f>
        <v>0</v>
      </c>
      <c r="J73" s="381">
        <f>SUM(D73:I73)</f>
        <v>15710.41</v>
      </c>
      <c r="K73" s="384"/>
      <c r="L73" s="7"/>
      <c r="M73" s="7"/>
      <c r="N73" s="7"/>
      <c r="O73" s="7">
        <v>52897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>
        <f t="shared" si="40"/>
        <v>52897</v>
      </c>
      <c r="AE73" s="1"/>
      <c r="AF73" s="284">
        <f>+M73*$AF$12</f>
        <v>0</v>
      </c>
      <c r="AG73" s="284">
        <f>+N73*$AG$12</f>
        <v>0</v>
      </c>
      <c r="AH73" s="284">
        <f>+O73*$AH$12-169.27</f>
        <v>4496.25</v>
      </c>
      <c r="AI73" s="284">
        <f>+P73*$AI$12</f>
        <v>0</v>
      </c>
      <c r="AJ73" s="284">
        <f>+Q73*$AJ$12</f>
        <v>0</v>
      </c>
      <c r="AK73" s="284">
        <f>+R73*$AK$12</f>
        <v>0</v>
      </c>
      <c r="AL73" s="284">
        <f>+S73*$AL$12</f>
        <v>0</v>
      </c>
      <c r="AM73" s="284">
        <f>+T73*$AM$12</f>
        <v>0</v>
      </c>
      <c r="AN73" s="284">
        <f>+U73*$AN$12</f>
        <v>0</v>
      </c>
      <c r="AO73" s="284">
        <f>+V73*$AO$12</f>
        <v>0</v>
      </c>
      <c r="AP73" s="284">
        <f>+W73*$AP$12</f>
        <v>0</v>
      </c>
      <c r="AQ73" s="284">
        <f>+X73*$AQ$12</f>
        <v>0</v>
      </c>
      <c r="AR73" s="284">
        <f>+Y73*$AR$12</f>
        <v>0</v>
      </c>
      <c r="AS73" s="284">
        <f>+Z73*$AS$12</f>
        <v>0</v>
      </c>
      <c r="AT73" s="284">
        <f>+AA73*$AT$12</f>
        <v>0</v>
      </c>
      <c r="AU73" s="284">
        <f>+AB73*$AU$12</f>
        <v>0</v>
      </c>
      <c r="AV73" s="284">
        <f>+AC73*$AV$12</f>
        <v>0</v>
      </c>
      <c r="AW73" s="321">
        <f>SUM(AF73:AV73)</f>
        <v>4496.25</v>
      </c>
    </row>
    <row r="74" spans="1:49" x14ac:dyDescent="0.2">
      <c r="A74" s="1" t="s">
        <v>710</v>
      </c>
      <c r="B74" s="7">
        <v>202169</v>
      </c>
      <c r="C74" s="7">
        <v>0</v>
      </c>
      <c r="D74" s="2">
        <f>(B74+C74)*0.124-0.02</f>
        <v>25068.94</v>
      </c>
      <c r="E74" s="2">
        <f>(B74+C74)*0.049</f>
        <v>9906.2800000000007</v>
      </c>
      <c r="F74" s="78">
        <f>(B74+C74)*0.0524</f>
        <v>10593.66</v>
      </c>
      <c r="G74" s="2">
        <f>+AW74</f>
        <v>17831.310000000001</v>
      </c>
      <c r="H74" s="2">
        <f>(B74+C74)*0.0098</f>
        <v>1981.26</v>
      </c>
      <c r="I74" s="2">
        <f>(AB74)*0.0041219</f>
        <v>0</v>
      </c>
      <c r="J74" s="381">
        <f>SUM(D74:I74)</f>
        <v>65381.45</v>
      </c>
      <c r="K74" s="384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>
        <v>202169</v>
      </c>
      <c r="X74" s="7"/>
      <c r="Y74" s="7"/>
      <c r="Z74" s="7"/>
      <c r="AA74" s="7"/>
      <c r="AB74" s="7"/>
      <c r="AC74" s="7"/>
      <c r="AD74" s="7">
        <f t="shared" si="40"/>
        <v>202169</v>
      </c>
      <c r="AE74" s="1"/>
      <c r="AF74" s="284">
        <f>+M74*$AF$12</f>
        <v>0</v>
      </c>
      <c r="AG74" s="284">
        <f>+N74*$AG$12</f>
        <v>0</v>
      </c>
      <c r="AH74" s="284">
        <f>+O74*$AH$12</f>
        <v>0</v>
      </c>
      <c r="AI74" s="284">
        <f>+P74*$AI$12</f>
        <v>0</v>
      </c>
      <c r="AJ74" s="284">
        <f>+Q74*$AJ$12</f>
        <v>0</v>
      </c>
      <c r="AK74" s="284">
        <f>+R74*$AK$12</f>
        <v>0</v>
      </c>
      <c r="AL74" s="284">
        <f>+S74*$AL$12</f>
        <v>0</v>
      </c>
      <c r="AM74" s="284">
        <f>+T74*$AM$12</f>
        <v>0</v>
      </c>
      <c r="AN74" s="284">
        <f>+U74*$AN$12</f>
        <v>0</v>
      </c>
      <c r="AO74" s="284">
        <f>+V74*$AO$12</f>
        <v>0</v>
      </c>
      <c r="AP74" s="284">
        <f>+W74*$AP$12</f>
        <v>17831.310000000001</v>
      </c>
      <c r="AQ74" s="284">
        <f>+X74*$AQ$12</f>
        <v>0</v>
      </c>
      <c r="AR74" s="284">
        <f>+Y74*$AR$12</f>
        <v>0</v>
      </c>
      <c r="AS74" s="284">
        <f>+Z74*$AS$12</f>
        <v>0</v>
      </c>
      <c r="AT74" s="284">
        <f>+AA74*$AT$12</f>
        <v>0</v>
      </c>
      <c r="AU74" s="284">
        <f>+AB74*$AU$12</f>
        <v>0</v>
      </c>
      <c r="AV74" s="284">
        <f>+AC74*$AV$12</f>
        <v>0</v>
      </c>
      <c r="AW74" s="321">
        <f>SUM(AF74:AV74)</f>
        <v>17831.310000000001</v>
      </c>
    </row>
    <row r="75" spans="1:49" x14ac:dyDescent="0.2">
      <c r="A75" s="1" t="s">
        <v>53</v>
      </c>
      <c r="B75" s="7">
        <v>12621</v>
      </c>
      <c r="C75" s="7">
        <v>0</v>
      </c>
      <c r="D75" s="2">
        <f>(B75+C75)*0.124+0.02</f>
        <v>1565.02</v>
      </c>
      <c r="E75" s="2">
        <f>(B75+C75)*0.049</f>
        <v>618.42999999999995</v>
      </c>
      <c r="F75" s="78">
        <f t="shared" si="38"/>
        <v>661.34</v>
      </c>
      <c r="G75" s="2">
        <f t="shared" si="2"/>
        <v>552.36</v>
      </c>
      <c r="H75" s="2">
        <f>(B75+C75)*0.0098-0.01</f>
        <v>123.68</v>
      </c>
      <c r="I75" s="2">
        <f t="shared" si="4"/>
        <v>0</v>
      </c>
      <c r="J75" s="381">
        <f t="shared" si="5"/>
        <v>3520.83</v>
      </c>
      <c r="K75" s="384"/>
      <c r="L75" s="7"/>
      <c r="M75" s="7"/>
      <c r="N75" s="7"/>
      <c r="O75" s="7"/>
      <c r="P75" s="7">
        <v>11445</v>
      </c>
      <c r="Q75" s="7"/>
      <c r="R75" s="7"/>
      <c r="S75" s="7"/>
      <c r="T75" s="7"/>
      <c r="U75" s="7"/>
      <c r="V75" s="7"/>
      <c r="W75" s="7">
        <v>1176</v>
      </c>
      <c r="X75" s="7"/>
      <c r="Y75" s="7"/>
      <c r="Z75" s="7"/>
      <c r="AA75" s="7"/>
      <c r="AB75" s="7"/>
      <c r="AC75" s="7"/>
      <c r="AD75" s="7">
        <f t="shared" si="39"/>
        <v>12621</v>
      </c>
      <c r="AE75" s="1"/>
      <c r="AF75" s="284">
        <f t="shared" si="7"/>
        <v>0</v>
      </c>
      <c r="AG75" s="284">
        <f t="shared" si="8"/>
        <v>0</v>
      </c>
      <c r="AH75" s="284">
        <f t="shared" si="9"/>
        <v>0</v>
      </c>
      <c r="AI75" s="284">
        <f t="shared" si="10"/>
        <v>448.64</v>
      </c>
      <c r="AJ75" s="284">
        <f t="shared" si="11"/>
        <v>0</v>
      </c>
      <c r="AK75" s="284">
        <f t="shared" si="12"/>
        <v>0</v>
      </c>
      <c r="AL75" s="284">
        <f t="shared" si="13"/>
        <v>0</v>
      </c>
      <c r="AM75" s="284">
        <f t="shared" si="14"/>
        <v>0</v>
      </c>
      <c r="AN75" s="284">
        <f t="shared" si="15"/>
        <v>0</v>
      </c>
      <c r="AO75" s="284">
        <f t="shared" si="16"/>
        <v>0</v>
      </c>
      <c r="AP75" s="284">
        <f t="shared" si="17"/>
        <v>103.72</v>
      </c>
      <c r="AQ75" s="284">
        <f t="shared" si="18"/>
        <v>0</v>
      </c>
      <c r="AR75" s="284">
        <f t="shared" si="19"/>
        <v>0</v>
      </c>
      <c r="AS75" s="284">
        <f t="shared" si="20"/>
        <v>0</v>
      </c>
      <c r="AT75" s="284">
        <f t="shared" si="21"/>
        <v>0</v>
      </c>
      <c r="AU75" s="284">
        <f t="shared" si="22"/>
        <v>0</v>
      </c>
      <c r="AV75" s="284">
        <f t="shared" si="23"/>
        <v>0</v>
      </c>
      <c r="AW75" s="321">
        <f t="shared" si="24"/>
        <v>552.36</v>
      </c>
    </row>
    <row r="76" spans="1:49" x14ac:dyDescent="0.2">
      <c r="A76" s="1" t="s">
        <v>54</v>
      </c>
      <c r="B76" s="7">
        <v>104287</v>
      </c>
      <c r="C76" s="7">
        <v>0</v>
      </c>
      <c r="D76" s="2">
        <f>(B76+C76)*0.124-0.02</f>
        <v>12931.57</v>
      </c>
      <c r="E76" s="2">
        <f t="shared" ref="E76:E88" si="41">(B76+C76)*0.049</f>
        <v>5110.0600000000004</v>
      </c>
      <c r="F76" s="78">
        <f t="shared" si="38"/>
        <v>5464.64</v>
      </c>
      <c r="G76" s="2">
        <f t="shared" si="2"/>
        <v>6527.03</v>
      </c>
      <c r="H76" s="2">
        <f>(B76+C76)*0.0098+0.01</f>
        <v>1022.02</v>
      </c>
      <c r="I76" s="2">
        <f t="shared" si="4"/>
        <v>205.17</v>
      </c>
      <c r="J76" s="381">
        <f t="shared" si="5"/>
        <v>31260.49</v>
      </c>
      <c r="K76" s="384"/>
      <c r="L76" s="7"/>
      <c r="M76" s="7"/>
      <c r="N76" s="7"/>
      <c r="O76" s="7"/>
      <c r="P76" s="7">
        <v>54512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>
        <v>49775</v>
      </c>
      <c r="AC76" s="7"/>
      <c r="AD76" s="7">
        <f t="shared" si="39"/>
        <v>104287</v>
      </c>
      <c r="AE76" s="7"/>
      <c r="AF76" s="284">
        <f t="shared" si="7"/>
        <v>0</v>
      </c>
      <c r="AG76" s="284">
        <f t="shared" si="8"/>
        <v>0</v>
      </c>
      <c r="AH76" s="284">
        <f t="shared" si="9"/>
        <v>0</v>
      </c>
      <c r="AI76" s="284">
        <f t="shared" si="10"/>
        <v>2136.87</v>
      </c>
      <c r="AJ76" s="284">
        <f t="shared" si="11"/>
        <v>0</v>
      </c>
      <c r="AK76" s="284">
        <f t="shared" si="12"/>
        <v>0</v>
      </c>
      <c r="AL76" s="284">
        <f t="shared" si="13"/>
        <v>0</v>
      </c>
      <c r="AM76" s="284">
        <f t="shared" si="14"/>
        <v>0</v>
      </c>
      <c r="AN76" s="284">
        <f t="shared" si="15"/>
        <v>0</v>
      </c>
      <c r="AO76" s="284">
        <f t="shared" si="16"/>
        <v>0</v>
      </c>
      <c r="AP76" s="284">
        <f t="shared" si="17"/>
        <v>0</v>
      </c>
      <c r="AQ76" s="284">
        <f t="shared" si="18"/>
        <v>0</v>
      </c>
      <c r="AR76" s="284">
        <f t="shared" si="19"/>
        <v>0</v>
      </c>
      <c r="AS76" s="284">
        <f t="shared" si="20"/>
        <v>0</v>
      </c>
      <c r="AT76" s="284">
        <f t="shared" si="21"/>
        <v>0</v>
      </c>
      <c r="AU76" s="284">
        <f t="shared" si="22"/>
        <v>4390.16</v>
      </c>
      <c r="AV76" s="284">
        <f t="shared" si="23"/>
        <v>0</v>
      </c>
      <c r="AW76" s="321">
        <f t="shared" si="24"/>
        <v>6527.03</v>
      </c>
    </row>
    <row r="77" spans="1:49" x14ac:dyDescent="0.2">
      <c r="A77" s="1" t="s">
        <v>608</v>
      </c>
      <c r="B77" s="7">
        <v>500</v>
      </c>
      <c r="C77" s="7">
        <v>0</v>
      </c>
      <c r="D77" s="2">
        <f>(B77+C77)*0.124</f>
        <v>62</v>
      </c>
      <c r="E77" s="2">
        <f>(B77+C77)*0.049</f>
        <v>24.5</v>
      </c>
      <c r="F77" s="78">
        <f>(B77+C77)*0.0524</f>
        <v>26.2</v>
      </c>
      <c r="G77" s="2">
        <f t="shared" si="2"/>
        <v>19.600000000000001</v>
      </c>
      <c r="H77" s="2">
        <f>(B77+C77)*0.0098</f>
        <v>4.9000000000000004</v>
      </c>
      <c r="I77" s="2">
        <f t="shared" si="4"/>
        <v>0</v>
      </c>
      <c r="J77" s="381">
        <f t="shared" si="5"/>
        <v>137.19999999999999</v>
      </c>
      <c r="K77" s="384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>
        <v>500</v>
      </c>
      <c r="AB77" s="7"/>
      <c r="AC77" s="7"/>
      <c r="AD77" s="7">
        <f>SUM(L77:AC77)</f>
        <v>500</v>
      </c>
      <c r="AE77" s="7"/>
      <c r="AF77" s="284">
        <f t="shared" si="7"/>
        <v>0</v>
      </c>
      <c r="AG77" s="284">
        <f t="shared" si="8"/>
        <v>0</v>
      </c>
      <c r="AH77" s="284">
        <f t="shared" si="9"/>
        <v>0</v>
      </c>
      <c r="AI77" s="284">
        <f t="shared" si="10"/>
        <v>0</v>
      </c>
      <c r="AJ77" s="284">
        <f t="shared" si="11"/>
        <v>0</v>
      </c>
      <c r="AK77" s="284">
        <f t="shared" si="12"/>
        <v>0</v>
      </c>
      <c r="AL77" s="284">
        <f t="shared" si="13"/>
        <v>0</v>
      </c>
      <c r="AM77" s="284">
        <f t="shared" si="14"/>
        <v>0</v>
      </c>
      <c r="AN77" s="284">
        <f t="shared" si="15"/>
        <v>0</v>
      </c>
      <c r="AO77" s="284">
        <f t="shared" si="16"/>
        <v>0</v>
      </c>
      <c r="AP77" s="284">
        <f t="shared" si="17"/>
        <v>0</v>
      </c>
      <c r="AQ77" s="284">
        <f t="shared" si="18"/>
        <v>0</v>
      </c>
      <c r="AR77" s="284">
        <f t="shared" si="19"/>
        <v>0</v>
      </c>
      <c r="AS77" s="284">
        <f t="shared" si="20"/>
        <v>0</v>
      </c>
      <c r="AT77" s="284">
        <f t="shared" si="21"/>
        <v>19.600000000000001</v>
      </c>
      <c r="AU77" s="284">
        <f t="shared" si="22"/>
        <v>0</v>
      </c>
      <c r="AV77" s="284">
        <f t="shared" si="23"/>
        <v>0</v>
      </c>
      <c r="AW77" s="321">
        <f t="shared" si="24"/>
        <v>19.600000000000001</v>
      </c>
    </row>
    <row r="78" spans="1:49" x14ac:dyDescent="0.2">
      <c r="A78" s="1" t="s">
        <v>55</v>
      </c>
      <c r="B78" s="7">
        <v>42944</v>
      </c>
      <c r="C78" s="7">
        <v>0</v>
      </c>
      <c r="D78" s="2">
        <f>(B78+C78)*0.124-0.01</f>
        <v>5325.05</v>
      </c>
      <c r="E78" s="2">
        <f t="shared" si="41"/>
        <v>2104.2600000000002</v>
      </c>
      <c r="F78" s="78">
        <f t="shared" si="38"/>
        <v>2250.27</v>
      </c>
      <c r="G78" s="2">
        <f t="shared" si="2"/>
        <v>3728.37</v>
      </c>
      <c r="H78" s="2">
        <f t="shared" si="3"/>
        <v>420.85</v>
      </c>
      <c r="I78" s="2">
        <f t="shared" si="4"/>
        <v>0</v>
      </c>
      <c r="J78" s="381">
        <f t="shared" si="5"/>
        <v>13828.8</v>
      </c>
      <c r="K78" s="384"/>
      <c r="L78" s="7"/>
      <c r="M78" s="7"/>
      <c r="N78" s="7"/>
      <c r="O78" s="7"/>
      <c r="P78" s="7"/>
      <c r="Q78" s="7"/>
      <c r="R78" s="7"/>
      <c r="S78" s="7">
        <v>1210</v>
      </c>
      <c r="T78" s="7"/>
      <c r="U78" s="7"/>
      <c r="V78" s="7"/>
      <c r="W78" s="7"/>
      <c r="X78" s="7"/>
      <c r="Y78" s="7"/>
      <c r="Z78" s="7"/>
      <c r="AA78" s="7"/>
      <c r="AB78" s="7"/>
      <c r="AC78" s="7">
        <v>41734</v>
      </c>
      <c r="AD78" s="7">
        <f t="shared" si="39"/>
        <v>42944</v>
      </c>
      <c r="AE78" s="7"/>
      <c r="AF78" s="284">
        <f t="shared" si="7"/>
        <v>0</v>
      </c>
      <c r="AG78" s="284">
        <f t="shared" si="8"/>
        <v>0</v>
      </c>
      <c r="AH78" s="284">
        <f t="shared" si="9"/>
        <v>0</v>
      </c>
      <c r="AI78" s="284">
        <f t="shared" si="10"/>
        <v>0</v>
      </c>
      <c r="AJ78" s="284">
        <f t="shared" si="11"/>
        <v>0</v>
      </c>
      <c r="AK78" s="284">
        <f t="shared" si="12"/>
        <v>0</v>
      </c>
      <c r="AL78" s="284">
        <f t="shared" si="13"/>
        <v>47.43</v>
      </c>
      <c r="AM78" s="284">
        <f t="shared" si="14"/>
        <v>0</v>
      </c>
      <c r="AN78" s="284">
        <f t="shared" si="15"/>
        <v>0</v>
      </c>
      <c r="AO78" s="284">
        <f t="shared" si="16"/>
        <v>0</v>
      </c>
      <c r="AP78" s="284">
        <f t="shared" si="17"/>
        <v>0</v>
      </c>
      <c r="AQ78" s="284">
        <f t="shared" si="18"/>
        <v>0</v>
      </c>
      <c r="AR78" s="284">
        <f t="shared" si="19"/>
        <v>0</v>
      </c>
      <c r="AS78" s="284">
        <f t="shared" si="20"/>
        <v>0</v>
      </c>
      <c r="AT78" s="284">
        <f t="shared" si="21"/>
        <v>0</v>
      </c>
      <c r="AU78" s="284">
        <f t="shared" si="22"/>
        <v>0</v>
      </c>
      <c r="AV78" s="284">
        <f t="shared" si="23"/>
        <v>3680.94</v>
      </c>
      <c r="AW78" s="321">
        <f t="shared" si="24"/>
        <v>3728.37</v>
      </c>
    </row>
    <row r="79" spans="1:49" x14ac:dyDescent="0.2">
      <c r="A79" s="1" t="s">
        <v>215</v>
      </c>
      <c r="B79" s="7">
        <v>69</v>
      </c>
      <c r="C79" s="7">
        <v>0</v>
      </c>
      <c r="D79" s="2">
        <f>(B79+C79)*0.124-0.02</f>
        <v>8.5399999999999991</v>
      </c>
      <c r="E79" s="2">
        <f>(B79+C79)*0.049</f>
        <v>3.38</v>
      </c>
      <c r="F79" s="78">
        <f>(B79+C79)*0.0524</f>
        <v>3.62</v>
      </c>
      <c r="G79" s="2">
        <f>+AW79</f>
        <v>6.09</v>
      </c>
      <c r="H79" s="2">
        <f>(B79+C79)*0.0098</f>
        <v>0.68</v>
      </c>
      <c r="I79" s="2">
        <f>(AB79)*0.0041219</f>
        <v>0</v>
      </c>
      <c r="J79" s="381">
        <f>SUM(D79:I79)</f>
        <v>22.31</v>
      </c>
      <c r="K79" s="384"/>
      <c r="L79" s="7"/>
      <c r="M79" s="7"/>
      <c r="N79" s="7"/>
      <c r="O79" s="7">
        <v>69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>
        <f t="shared" si="39"/>
        <v>69</v>
      </c>
      <c r="AE79" s="1"/>
      <c r="AF79" s="284">
        <f>+M79*$AF$12</f>
        <v>0</v>
      </c>
      <c r="AG79" s="284">
        <f>+N79*$AG$12</f>
        <v>0</v>
      </c>
      <c r="AH79" s="284">
        <f>+O79*$AH$12</f>
        <v>6.09</v>
      </c>
      <c r="AI79" s="284">
        <f>+P79*$AI$12</f>
        <v>0</v>
      </c>
      <c r="AJ79" s="284">
        <f>+Q79*$AJ$12</f>
        <v>0</v>
      </c>
      <c r="AK79" s="284">
        <f>+R79*$AK$12</f>
        <v>0</v>
      </c>
      <c r="AL79" s="284">
        <f>+S79*$AL$12</f>
        <v>0</v>
      </c>
      <c r="AM79" s="284">
        <f>+T79*$AM$12</f>
        <v>0</v>
      </c>
      <c r="AN79" s="284">
        <f>+U79*$AN$12</f>
        <v>0</v>
      </c>
      <c r="AO79" s="284">
        <f>+V79*$AO$12</f>
        <v>0</v>
      </c>
      <c r="AP79" s="284">
        <f>+W79*$AP$12</f>
        <v>0</v>
      </c>
      <c r="AQ79" s="284">
        <f>+X79*$AQ$12</f>
        <v>0</v>
      </c>
      <c r="AR79" s="284">
        <f>+Y79*$AR$12</f>
        <v>0</v>
      </c>
      <c r="AS79" s="284">
        <f>+Z79*$AS$12</f>
        <v>0</v>
      </c>
      <c r="AT79" s="284">
        <f>+AA79*$AT$12</f>
        <v>0</v>
      </c>
      <c r="AU79" s="284">
        <f>+AB79*$AU$12</f>
        <v>0</v>
      </c>
      <c r="AV79" s="284">
        <f>+AC79*$AV$12</f>
        <v>0</v>
      </c>
      <c r="AW79" s="321">
        <f>SUM(AF79:AV79)</f>
        <v>6.09</v>
      </c>
    </row>
    <row r="80" spans="1:49" s="20" customFormat="1" x14ac:dyDescent="0.2">
      <c r="A80" s="18" t="s">
        <v>56</v>
      </c>
      <c r="B80" s="246">
        <v>45496</v>
      </c>
      <c r="C80" s="246">
        <v>0</v>
      </c>
      <c r="D80" s="2">
        <f t="shared" ref="D80:D86" si="42">(B80+C80)*0.124</f>
        <v>5641.5</v>
      </c>
      <c r="E80" s="2">
        <f t="shared" si="41"/>
        <v>2229.3000000000002</v>
      </c>
      <c r="F80" s="78">
        <f t="shared" si="38"/>
        <v>2383.9899999999998</v>
      </c>
      <c r="G80" s="2">
        <f t="shared" si="2"/>
        <v>3938.01</v>
      </c>
      <c r="H80" s="2">
        <f>(B80+C80)*0.0098+1.59</f>
        <v>447.45</v>
      </c>
      <c r="I80" s="2">
        <f t="shared" si="4"/>
        <v>180.71</v>
      </c>
      <c r="J80" s="381">
        <f t="shared" si="5"/>
        <v>14820.96</v>
      </c>
      <c r="K80" s="384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>
        <v>1817</v>
      </c>
      <c r="AB80" s="246">
        <v>43841</v>
      </c>
      <c r="AC80" s="246"/>
      <c r="AD80" s="7">
        <f t="shared" si="39"/>
        <v>45658</v>
      </c>
      <c r="AE80" s="246"/>
      <c r="AF80" s="284">
        <f t="shared" si="7"/>
        <v>0</v>
      </c>
      <c r="AG80" s="284">
        <f t="shared" si="8"/>
        <v>0</v>
      </c>
      <c r="AH80" s="284">
        <f t="shared" si="9"/>
        <v>0</v>
      </c>
      <c r="AI80" s="284">
        <f t="shared" si="10"/>
        <v>0</v>
      </c>
      <c r="AJ80" s="284">
        <f t="shared" si="11"/>
        <v>0</v>
      </c>
      <c r="AK80" s="284">
        <f t="shared" si="12"/>
        <v>0</v>
      </c>
      <c r="AL80" s="284">
        <f t="shared" si="13"/>
        <v>0</v>
      </c>
      <c r="AM80" s="284">
        <f t="shared" si="14"/>
        <v>0</v>
      </c>
      <c r="AN80" s="284">
        <f t="shared" si="15"/>
        <v>0</v>
      </c>
      <c r="AO80" s="284">
        <f t="shared" si="16"/>
        <v>0</v>
      </c>
      <c r="AP80" s="284">
        <f t="shared" si="17"/>
        <v>0</v>
      </c>
      <c r="AQ80" s="284">
        <f t="shared" si="18"/>
        <v>0</v>
      </c>
      <c r="AR80" s="284">
        <f t="shared" si="19"/>
        <v>0</v>
      </c>
      <c r="AS80" s="284">
        <f t="shared" si="20"/>
        <v>0</v>
      </c>
      <c r="AT80" s="284">
        <f t="shared" si="21"/>
        <v>71.23</v>
      </c>
      <c r="AU80" s="284">
        <f t="shared" si="22"/>
        <v>3866.78</v>
      </c>
      <c r="AV80" s="284">
        <f t="shared" si="23"/>
        <v>0</v>
      </c>
      <c r="AW80" s="321">
        <f t="shared" si="24"/>
        <v>3938.01</v>
      </c>
    </row>
    <row r="81" spans="1:49" x14ac:dyDescent="0.2">
      <c r="A81" s="1" t="s">
        <v>434</v>
      </c>
      <c r="B81" s="7">
        <v>283601</v>
      </c>
      <c r="C81" s="7">
        <v>0</v>
      </c>
      <c r="D81" s="2">
        <f t="shared" si="42"/>
        <v>35166.519999999997</v>
      </c>
      <c r="E81" s="2">
        <f t="shared" si="41"/>
        <v>13896.45</v>
      </c>
      <c r="F81" s="78">
        <f t="shared" si="38"/>
        <v>14860.69</v>
      </c>
      <c r="G81" s="2">
        <f t="shared" si="2"/>
        <v>25013.61</v>
      </c>
      <c r="H81" s="2">
        <f t="shared" si="3"/>
        <v>2779.29</v>
      </c>
      <c r="I81" s="2">
        <f t="shared" si="4"/>
        <v>591.73</v>
      </c>
      <c r="J81" s="381">
        <f t="shared" si="5"/>
        <v>92308.29</v>
      </c>
      <c r="K81" s="384"/>
      <c r="L81" s="7"/>
      <c r="M81" s="7"/>
      <c r="N81" s="7"/>
      <c r="O81" s="7">
        <v>140044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>
        <v>143557</v>
      </c>
      <c r="AC81" s="7"/>
      <c r="AD81" s="7">
        <f t="shared" si="39"/>
        <v>283601</v>
      </c>
      <c r="AE81" s="7"/>
      <c r="AF81" s="284">
        <f t="shared" si="7"/>
        <v>0</v>
      </c>
      <c r="AG81" s="284">
        <f t="shared" si="8"/>
        <v>0</v>
      </c>
      <c r="AH81" s="284">
        <f t="shared" si="9"/>
        <v>12351.88</v>
      </c>
      <c r="AI81" s="284">
        <f t="shared" si="10"/>
        <v>0</v>
      </c>
      <c r="AJ81" s="284">
        <f t="shared" si="11"/>
        <v>0</v>
      </c>
      <c r="AK81" s="284">
        <f t="shared" si="12"/>
        <v>0</v>
      </c>
      <c r="AL81" s="284">
        <f t="shared" si="13"/>
        <v>0</v>
      </c>
      <c r="AM81" s="284">
        <f t="shared" si="14"/>
        <v>0</v>
      </c>
      <c r="AN81" s="284">
        <f t="shared" si="15"/>
        <v>0</v>
      </c>
      <c r="AO81" s="284">
        <f t="shared" si="16"/>
        <v>0</v>
      </c>
      <c r="AP81" s="284">
        <f t="shared" si="17"/>
        <v>0</v>
      </c>
      <c r="AQ81" s="284">
        <f t="shared" si="18"/>
        <v>0</v>
      </c>
      <c r="AR81" s="284">
        <f t="shared" si="19"/>
        <v>0</v>
      </c>
      <c r="AS81" s="284">
        <f t="shared" si="20"/>
        <v>0</v>
      </c>
      <c r="AT81" s="284">
        <f t="shared" si="21"/>
        <v>0</v>
      </c>
      <c r="AU81" s="284">
        <f t="shared" si="22"/>
        <v>12661.73</v>
      </c>
      <c r="AV81" s="284">
        <f t="shared" si="23"/>
        <v>0</v>
      </c>
      <c r="AW81" s="321">
        <f t="shared" si="24"/>
        <v>25013.61</v>
      </c>
    </row>
    <row r="82" spans="1:49" x14ac:dyDescent="0.2">
      <c r="A82" s="18" t="s">
        <v>787</v>
      </c>
      <c r="B82" s="7">
        <v>1798984</v>
      </c>
      <c r="C82" s="7">
        <v>0</v>
      </c>
      <c r="D82" s="2">
        <f>(B82+C82)*0.124</f>
        <v>223074.02</v>
      </c>
      <c r="E82" s="2">
        <f>(B82+C82)*0.049</f>
        <v>88150.22</v>
      </c>
      <c r="F82" s="2">
        <f>(B82+C82)*0.0524</f>
        <v>94266.76</v>
      </c>
      <c r="G82" s="2">
        <f t="shared" si="2"/>
        <v>150870.51999999999</v>
      </c>
      <c r="H82" s="2">
        <f t="shared" si="3"/>
        <v>17630.04</v>
      </c>
      <c r="I82" s="2">
        <f t="shared" si="4"/>
        <v>0</v>
      </c>
      <c r="J82" s="381">
        <f>SUM(D82:I82)</f>
        <v>573991.56000000006</v>
      </c>
      <c r="K82" s="384"/>
      <c r="L82" s="7"/>
      <c r="M82" s="7"/>
      <c r="N82" s="7"/>
      <c r="O82" s="7">
        <v>1639803</v>
      </c>
      <c r="P82" s="7"/>
      <c r="Q82" s="7"/>
      <c r="R82" s="7"/>
      <c r="S82" s="7"/>
      <c r="T82" s="7"/>
      <c r="U82" s="7"/>
      <c r="V82" s="7">
        <v>12326</v>
      </c>
      <c r="W82" s="7"/>
      <c r="X82" s="7"/>
      <c r="Y82" s="7">
        <v>146855</v>
      </c>
      <c r="Z82" s="7"/>
      <c r="AA82" s="7"/>
      <c r="AB82" s="7"/>
      <c r="AC82" s="7"/>
      <c r="AD82" s="7">
        <f t="shared" si="39"/>
        <v>1798984</v>
      </c>
      <c r="AF82" s="284">
        <f t="shared" si="7"/>
        <v>0</v>
      </c>
      <c r="AG82" s="284">
        <f t="shared" si="8"/>
        <v>0</v>
      </c>
      <c r="AH82" s="284">
        <f t="shared" si="9"/>
        <v>144630.62</v>
      </c>
      <c r="AI82" s="284">
        <f t="shared" si="10"/>
        <v>0</v>
      </c>
      <c r="AJ82" s="284">
        <f t="shared" si="11"/>
        <v>0</v>
      </c>
      <c r="AK82" s="284">
        <f t="shared" si="12"/>
        <v>0</v>
      </c>
      <c r="AL82" s="284">
        <f t="shared" si="13"/>
        <v>0</v>
      </c>
      <c r="AM82" s="284">
        <f t="shared" si="14"/>
        <v>0</v>
      </c>
      <c r="AN82" s="284">
        <f t="shared" si="15"/>
        <v>0</v>
      </c>
      <c r="AO82" s="284">
        <f t="shared" si="16"/>
        <v>483.18</v>
      </c>
      <c r="AP82" s="284">
        <f t="shared" si="17"/>
        <v>0</v>
      </c>
      <c r="AQ82" s="284">
        <f t="shared" si="18"/>
        <v>0</v>
      </c>
      <c r="AR82" s="284">
        <f t="shared" si="19"/>
        <v>5756.72</v>
      </c>
      <c r="AS82" s="284">
        <f t="shared" si="20"/>
        <v>0</v>
      </c>
      <c r="AT82" s="284">
        <f t="shared" si="21"/>
        <v>0</v>
      </c>
      <c r="AU82" s="284">
        <f t="shared" si="22"/>
        <v>0</v>
      </c>
      <c r="AV82" s="284">
        <f t="shared" si="23"/>
        <v>0</v>
      </c>
      <c r="AW82" s="321">
        <f t="shared" si="24"/>
        <v>150870.51999999999</v>
      </c>
    </row>
    <row r="83" spans="1:49" x14ac:dyDescent="0.2">
      <c r="A83" s="1" t="s">
        <v>57</v>
      </c>
      <c r="B83" s="7">
        <v>1403279</v>
      </c>
      <c r="C83" s="7">
        <v>0</v>
      </c>
      <c r="D83" s="2">
        <f t="shared" si="42"/>
        <v>174006.6</v>
      </c>
      <c r="E83" s="2">
        <f t="shared" si="41"/>
        <v>68760.67</v>
      </c>
      <c r="F83" s="78">
        <f t="shared" si="38"/>
        <v>73531.820000000007</v>
      </c>
      <c r="G83" s="2">
        <f t="shared" si="2"/>
        <v>123769.21</v>
      </c>
      <c r="H83" s="2">
        <f t="shared" si="3"/>
        <v>13752.13</v>
      </c>
      <c r="I83" s="2">
        <f t="shared" si="4"/>
        <v>0</v>
      </c>
      <c r="J83" s="381">
        <f t="shared" si="5"/>
        <v>453820.43</v>
      </c>
      <c r="K83" s="384"/>
      <c r="L83" s="7"/>
      <c r="M83" s="7"/>
      <c r="N83" s="7"/>
      <c r="O83" s="7">
        <v>1403279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>
        <f t="shared" si="39"/>
        <v>1403279</v>
      </c>
      <c r="AE83" s="7"/>
      <c r="AF83" s="284">
        <f t="shared" si="7"/>
        <v>0</v>
      </c>
      <c r="AG83" s="284">
        <f t="shared" si="8"/>
        <v>0</v>
      </c>
      <c r="AH83" s="284">
        <f t="shared" si="9"/>
        <v>123769.21</v>
      </c>
      <c r="AI83" s="284">
        <f t="shared" si="10"/>
        <v>0</v>
      </c>
      <c r="AJ83" s="284">
        <f t="shared" si="11"/>
        <v>0</v>
      </c>
      <c r="AK83" s="284">
        <f t="shared" si="12"/>
        <v>0</v>
      </c>
      <c r="AL83" s="284">
        <f t="shared" si="13"/>
        <v>0</v>
      </c>
      <c r="AM83" s="284">
        <f t="shared" si="14"/>
        <v>0</v>
      </c>
      <c r="AN83" s="284">
        <f t="shared" si="15"/>
        <v>0</v>
      </c>
      <c r="AO83" s="284">
        <f t="shared" si="16"/>
        <v>0</v>
      </c>
      <c r="AP83" s="284">
        <f t="shared" si="17"/>
        <v>0</v>
      </c>
      <c r="AQ83" s="284">
        <f t="shared" si="18"/>
        <v>0</v>
      </c>
      <c r="AR83" s="284">
        <f t="shared" si="19"/>
        <v>0</v>
      </c>
      <c r="AS83" s="284">
        <f t="shared" si="20"/>
        <v>0</v>
      </c>
      <c r="AT83" s="284">
        <f t="shared" si="21"/>
        <v>0</v>
      </c>
      <c r="AU83" s="284">
        <f t="shared" si="22"/>
        <v>0</v>
      </c>
      <c r="AV83" s="284">
        <f t="shared" si="23"/>
        <v>0</v>
      </c>
      <c r="AW83" s="321">
        <f t="shared" si="24"/>
        <v>123769.21</v>
      </c>
    </row>
    <row r="84" spans="1:49" x14ac:dyDescent="0.2">
      <c r="A84" s="1" t="s">
        <v>435</v>
      </c>
      <c r="B84" s="7">
        <v>768943</v>
      </c>
      <c r="C84" s="7">
        <v>0</v>
      </c>
      <c r="D84" s="2">
        <f t="shared" si="42"/>
        <v>95348.93</v>
      </c>
      <c r="E84" s="2">
        <f t="shared" si="41"/>
        <v>37678.21</v>
      </c>
      <c r="F84" s="78">
        <f t="shared" si="38"/>
        <v>40292.61</v>
      </c>
      <c r="G84" s="2">
        <f t="shared" si="2"/>
        <v>52695.89</v>
      </c>
      <c r="H84" s="2">
        <f>(B84+C84)*0.0098+0.01</f>
        <v>7535.65</v>
      </c>
      <c r="I84" s="2">
        <f t="shared" si="4"/>
        <v>0</v>
      </c>
      <c r="J84" s="381">
        <f t="shared" si="5"/>
        <v>233551.29</v>
      </c>
      <c r="K84" s="384"/>
      <c r="L84" s="7"/>
      <c r="M84" s="7"/>
      <c r="N84" s="7"/>
      <c r="O84" s="7">
        <v>204209</v>
      </c>
      <c r="P84" s="7"/>
      <c r="Q84" s="7">
        <v>308671</v>
      </c>
      <c r="R84" s="7"/>
      <c r="S84" s="7"/>
      <c r="T84" s="7"/>
      <c r="U84" s="7"/>
      <c r="V84" s="7"/>
      <c r="W84" s="7">
        <v>256063</v>
      </c>
      <c r="X84" s="7"/>
      <c r="Y84" s="7"/>
      <c r="Z84" s="7"/>
      <c r="AA84" s="7"/>
      <c r="AB84" s="7"/>
      <c r="AC84" s="7"/>
      <c r="AD84" s="7">
        <f t="shared" si="39"/>
        <v>768943</v>
      </c>
      <c r="AE84" s="1"/>
      <c r="AF84" s="284">
        <f t="shared" si="7"/>
        <v>0</v>
      </c>
      <c r="AG84" s="284">
        <f t="shared" si="8"/>
        <v>0</v>
      </c>
      <c r="AH84" s="284">
        <f t="shared" si="9"/>
        <v>18011.23</v>
      </c>
      <c r="AI84" s="284">
        <f t="shared" si="10"/>
        <v>0</v>
      </c>
      <c r="AJ84" s="284">
        <f t="shared" si="11"/>
        <v>12099.9</v>
      </c>
      <c r="AK84" s="284">
        <f t="shared" si="12"/>
        <v>0</v>
      </c>
      <c r="AL84" s="284">
        <f t="shared" si="13"/>
        <v>0</v>
      </c>
      <c r="AM84" s="284">
        <f t="shared" si="14"/>
        <v>0</v>
      </c>
      <c r="AN84" s="284">
        <f t="shared" si="15"/>
        <v>0</v>
      </c>
      <c r="AO84" s="284">
        <f t="shared" si="16"/>
        <v>0</v>
      </c>
      <c r="AP84" s="284">
        <f t="shared" si="17"/>
        <v>22584.76</v>
      </c>
      <c r="AQ84" s="284">
        <f t="shared" si="18"/>
        <v>0</v>
      </c>
      <c r="AR84" s="284">
        <f t="shared" si="19"/>
        <v>0</v>
      </c>
      <c r="AS84" s="284">
        <f t="shared" si="20"/>
        <v>0</v>
      </c>
      <c r="AT84" s="284">
        <f t="shared" si="21"/>
        <v>0</v>
      </c>
      <c r="AU84" s="284">
        <f t="shared" si="22"/>
        <v>0</v>
      </c>
      <c r="AV84" s="284">
        <f t="shared" si="23"/>
        <v>0</v>
      </c>
      <c r="AW84" s="321">
        <f t="shared" si="24"/>
        <v>52695.89</v>
      </c>
    </row>
    <row r="85" spans="1:49" x14ac:dyDescent="0.2">
      <c r="A85" s="1" t="s">
        <v>436</v>
      </c>
      <c r="B85" s="7">
        <v>225513</v>
      </c>
      <c r="C85" s="7">
        <v>0</v>
      </c>
      <c r="D85" s="2">
        <f t="shared" si="42"/>
        <v>27963.61</v>
      </c>
      <c r="E85" s="2">
        <f t="shared" si="41"/>
        <v>11050.14</v>
      </c>
      <c r="F85" s="78">
        <f t="shared" si="38"/>
        <v>11816.88</v>
      </c>
      <c r="G85" s="2">
        <f t="shared" si="2"/>
        <v>19890.240000000002</v>
      </c>
      <c r="H85" s="2">
        <f t="shared" si="3"/>
        <v>2210.0300000000002</v>
      </c>
      <c r="I85" s="2">
        <f t="shared" si="4"/>
        <v>479.67</v>
      </c>
      <c r="J85" s="381">
        <f t="shared" si="5"/>
        <v>73410.570000000007</v>
      </c>
      <c r="K85" s="384"/>
      <c r="L85" s="7"/>
      <c r="M85" s="7">
        <v>97509</v>
      </c>
      <c r="N85" s="7"/>
      <c r="O85" s="7">
        <v>11634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>
        <v>116370</v>
      </c>
      <c r="AC85" s="7"/>
      <c r="AD85" s="7">
        <f t="shared" si="39"/>
        <v>225513</v>
      </c>
      <c r="AE85" s="1"/>
      <c r="AF85" s="284">
        <f t="shared" si="7"/>
        <v>8600.2900000000009</v>
      </c>
      <c r="AG85" s="284">
        <f t="shared" si="8"/>
        <v>0</v>
      </c>
      <c r="AH85" s="284">
        <f t="shared" si="9"/>
        <v>1026.1199999999999</v>
      </c>
      <c r="AI85" s="284">
        <f t="shared" si="10"/>
        <v>0</v>
      </c>
      <c r="AJ85" s="284">
        <f t="shared" si="11"/>
        <v>0</v>
      </c>
      <c r="AK85" s="284">
        <f t="shared" si="12"/>
        <v>0</v>
      </c>
      <c r="AL85" s="284">
        <f t="shared" si="13"/>
        <v>0</v>
      </c>
      <c r="AM85" s="284">
        <f t="shared" si="14"/>
        <v>0</v>
      </c>
      <c r="AN85" s="284">
        <f t="shared" si="15"/>
        <v>0</v>
      </c>
      <c r="AO85" s="284">
        <f t="shared" si="16"/>
        <v>0</v>
      </c>
      <c r="AP85" s="284">
        <f t="shared" si="17"/>
        <v>0</v>
      </c>
      <c r="AQ85" s="284">
        <f t="shared" si="18"/>
        <v>0</v>
      </c>
      <c r="AR85" s="284">
        <f t="shared" si="19"/>
        <v>0</v>
      </c>
      <c r="AS85" s="284">
        <f t="shared" si="20"/>
        <v>0</v>
      </c>
      <c r="AT85" s="284">
        <f t="shared" si="21"/>
        <v>0</v>
      </c>
      <c r="AU85" s="284">
        <f t="shared" si="22"/>
        <v>10263.83</v>
      </c>
      <c r="AV85" s="284">
        <f t="shared" si="23"/>
        <v>0</v>
      </c>
      <c r="AW85" s="321">
        <f t="shared" si="24"/>
        <v>19890.240000000002</v>
      </c>
    </row>
    <row r="86" spans="1:49" x14ac:dyDescent="0.2">
      <c r="A86" s="1" t="s">
        <v>348</v>
      </c>
      <c r="B86" s="7">
        <v>364045</v>
      </c>
      <c r="C86" s="7">
        <v>0</v>
      </c>
      <c r="D86" s="2">
        <f t="shared" si="42"/>
        <v>45141.58</v>
      </c>
      <c r="E86" s="2">
        <f t="shared" si="41"/>
        <v>17838.21</v>
      </c>
      <c r="F86" s="78">
        <f t="shared" si="38"/>
        <v>19075.96</v>
      </c>
      <c r="G86" s="2">
        <f t="shared" si="2"/>
        <v>28359.63</v>
      </c>
      <c r="H86" s="2">
        <f t="shared" si="3"/>
        <v>3567.64</v>
      </c>
      <c r="I86" s="2">
        <f t="shared" si="4"/>
        <v>0</v>
      </c>
      <c r="J86" s="381">
        <f t="shared" si="5"/>
        <v>113983.02</v>
      </c>
      <c r="K86" s="384"/>
      <c r="L86" s="7"/>
      <c r="M86" s="7"/>
      <c r="N86" s="7"/>
      <c r="O86" s="7">
        <v>287532</v>
      </c>
      <c r="P86" s="7"/>
      <c r="Q86" s="7"/>
      <c r="R86" s="7"/>
      <c r="S86" s="7"/>
      <c r="T86" s="7"/>
      <c r="U86" s="7"/>
      <c r="V86" s="7"/>
      <c r="W86" s="7"/>
      <c r="X86" s="7"/>
      <c r="Y86" s="7">
        <v>76513</v>
      </c>
      <c r="Z86" s="7"/>
      <c r="AA86" s="7"/>
      <c r="AB86" s="7"/>
      <c r="AC86" s="7"/>
      <c r="AD86" s="7">
        <f t="shared" ref="AD86:AD97" si="43">SUM(L86:AC86)</f>
        <v>364045</v>
      </c>
      <c r="AE86" s="1"/>
      <c r="AF86" s="284">
        <f t="shared" si="7"/>
        <v>0</v>
      </c>
      <c r="AG86" s="284">
        <f t="shared" si="8"/>
        <v>0</v>
      </c>
      <c r="AH86" s="284">
        <f t="shared" si="9"/>
        <v>25360.32</v>
      </c>
      <c r="AI86" s="284">
        <f t="shared" si="10"/>
        <v>0</v>
      </c>
      <c r="AJ86" s="284">
        <f t="shared" si="11"/>
        <v>0</v>
      </c>
      <c r="AK86" s="284">
        <f t="shared" si="12"/>
        <v>0</v>
      </c>
      <c r="AL86" s="284">
        <f t="shared" si="13"/>
        <v>0</v>
      </c>
      <c r="AM86" s="284">
        <f t="shared" si="14"/>
        <v>0</v>
      </c>
      <c r="AN86" s="284">
        <f t="shared" si="15"/>
        <v>0</v>
      </c>
      <c r="AO86" s="284">
        <f t="shared" si="16"/>
        <v>0</v>
      </c>
      <c r="AP86" s="284">
        <f t="shared" si="17"/>
        <v>0</v>
      </c>
      <c r="AQ86" s="284">
        <f t="shared" si="18"/>
        <v>0</v>
      </c>
      <c r="AR86" s="284">
        <f t="shared" si="19"/>
        <v>2999.31</v>
      </c>
      <c r="AS86" s="284">
        <f t="shared" si="20"/>
        <v>0</v>
      </c>
      <c r="AT86" s="284">
        <f t="shared" si="21"/>
        <v>0</v>
      </c>
      <c r="AU86" s="284">
        <f t="shared" si="22"/>
        <v>0</v>
      </c>
      <c r="AV86" s="284">
        <f t="shared" si="23"/>
        <v>0</v>
      </c>
      <c r="AW86" s="321">
        <f t="shared" si="24"/>
        <v>28359.63</v>
      </c>
    </row>
    <row r="87" spans="1:49" x14ac:dyDescent="0.2">
      <c r="A87" s="1" t="s">
        <v>609</v>
      </c>
      <c r="B87" s="7">
        <v>19427</v>
      </c>
      <c r="C87" s="7">
        <v>0</v>
      </c>
      <c r="D87" s="2">
        <f>(B87+C87)*0.124-786.54</f>
        <v>1622.41</v>
      </c>
      <c r="E87" s="2">
        <f>(B87+C87)*0.049-310.65</f>
        <v>641.27</v>
      </c>
      <c r="F87" s="78">
        <f>(B87+C87)*0.0524-331.81</f>
        <v>686.16</v>
      </c>
      <c r="G87" s="2">
        <f t="shared" si="2"/>
        <v>1154.29</v>
      </c>
      <c r="H87" s="2">
        <f>(B87+C87)*0.0098-62.13</f>
        <v>128.25</v>
      </c>
      <c r="I87" s="2">
        <v>0</v>
      </c>
      <c r="J87" s="381">
        <f t="shared" si="5"/>
        <v>4232.38</v>
      </c>
      <c r="K87" s="384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>
        <v>19427</v>
      </c>
      <c r="AC87" s="7"/>
      <c r="AD87" s="7">
        <f>SUM(L87:AC87)</f>
        <v>19427</v>
      </c>
      <c r="AE87" s="1"/>
      <c r="AF87" s="284">
        <f t="shared" si="7"/>
        <v>0</v>
      </c>
      <c r="AG87" s="284">
        <f t="shared" si="8"/>
        <v>0</v>
      </c>
      <c r="AH87" s="284">
        <f t="shared" si="9"/>
        <v>0</v>
      </c>
      <c r="AI87" s="284">
        <f t="shared" si="10"/>
        <v>0</v>
      </c>
      <c r="AJ87" s="284">
        <f t="shared" si="11"/>
        <v>0</v>
      </c>
      <c r="AK87" s="284">
        <f t="shared" si="12"/>
        <v>0</v>
      </c>
      <c r="AL87" s="284">
        <f t="shared" si="13"/>
        <v>0</v>
      </c>
      <c r="AM87" s="284">
        <f t="shared" si="14"/>
        <v>0</v>
      </c>
      <c r="AN87" s="284">
        <f t="shared" si="15"/>
        <v>0</v>
      </c>
      <c r="AO87" s="284">
        <f t="shared" si="16"/>
        <v>0</v>
      </c>
      <c r="AP87" s="284">
        <f t="shared" si="17"/>
        <v>0</v>
      </c>
      <c r="AQ87" s="284">
        <f t="shared" si="18"/>
        <v>0</v>
      </c>
      <c r="AR87" s="284">
        <f t="shared" si="19"/>
        <v>0</v>
      </c>
      <c r="AS87" s="284">
        <f t="shared" si="20"/>
        <v>0</v>
      </c>
      <c r="AT87" s="284">
        <f t="shared" si="21"/>
        <v>0</v>
      </c>
      <c r="AU87" s="284">
        <f>+AB87*$AU$12-559.17</f>
        <v>1154.29</v>
      </c>
      <c r="AV87" s="284">
        <f t="shared" si="23"/>
        <v>0</v>
      </c>
      <c r="AW87" s="321">
        <f t="shared" si="24"/>
        <v>1154.29</v>
      </c>
    </row>
    <row r="88" spans="1:49" s="20" customFormat="1" x14ac:dyDescent="0.2">
      <c r="A88" s="18" t="s">
        <v>437</v>
      </c>
      <c r="B88" s="246">
        <v>1112147</v>
      </c>
      <c r="C88" s="246">
        <v>0</v>
      </c>
      <c r="D88" s="2">
        <f>(B88+C88)*0.124-0.02</f>
        <v>137906.21</v>
      </c>
      <c r="E88" s="2">
        <f t="shared" si="41"/>
        <v>54495.199999999997</v>
      </c>
      <c r="F88" s="78">
        <f t="shared" si="38"/>
        <v>58276.5</v>
      </c>
      <c r="G88" s="2">
        <f t="shared" si="2"/>
        <v>98091.37</v>
      </c>
      <c r="H88" s="2">
        <f t="shared" si="3"/>
        <v>10899.04</v>
      </c>
      <c r="I88" s="2">
        <f t="shared" si="4"/>
        <v>3721.53</v>
      </c>
      <c r="J88" s="381">
        <f t="shared" ref="J88:J115" si="44">SUM(D88:I88)</f>
        <v>363389.85</v>
      </c>
      <c r="K88" s="384"/>
      <c r="L88" s="246"/>
      <c r="M88" s="246">
        <v>209279</v>
      </c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>
        <v>902868</v>
      </c>
      <c r="AC88" s="246"/>
      <c r="AD88" s="7">
        <f t="shared" si="43"/>
        <v>1112147</v>
      </c>
      <c r="AE88" s="18"/>
      <c r="AF88" s="284">
        <f t="shared" si="7"/>
        <v>18458.41</v>
      </c>
      <c r="AG88" s="284">
        <f t="shared" si="8"/>
        <v>0</v>
      </c>
      <c r="AH88" s="284">
        <f t="shared" si="9"/>
        <v>0</v>
      </c>
      <c r="AI88" s="284">
        <f t="shared" si="10"/>
        <v>0</v>
      </c>
      <c r="AJ88" s="284">
        <f t="shared" si="11"/>
        <v>0</v>
      </c>
      <c r="AK88" s="284">
        <f t="shared" si="12"/>
        <v>0</v>
      </c>
      <c r="AL88" s="284">
        <f t="shared" si="13"/>
        <v>0</v>
      </c>
      <c r="AM88" s="284">
        <f t="shared" si="14"/>
        <v>0</v>
      </c>
      <c r="AN88" s="284">
        <f t="shared" si="15"/>
        <v>0</v>
      </c>
      <c r="AO88" s="284">
        <f t="shared" si="16"/>
        <v>0</v>
      </c>
      <c r="AP88" s="284">
        <f t="shared" si="17"/>
        <v>0</v>
      </c>
      <c r="AQ88" s="284">
        <f t="shared" si="18"/>
        <v>0</v>
      </c>
      <c r="AR88" s="284">
        <f t="shared" si="19"/>
        <v>0</v>
      </c>
      <c r="AS88" s="284">
        <f t="shared" si="20"/>
        <v>0</v>
      </c>
      <c r="AT88" s="284">
        <f t="shared" si="21"/>
        <v>0</v>
      </c>
      <c r="AU88" s="284">
        <f t="shared" si="22"/>
        <v>79632.960000000006</v>
      </c>
      <c r="AV88" s="284">
        <f t="shared" si="23"/>
        <v>0</v>
      </c>
      <c r="AW88" s="321">
        <f t="shared" si="24"/>
        <v>98091.37</v>
      </c>
    </row>
    <row r="89" spans="1:49" s="20" customFormat="1" x14ac:dyDescent="0.2">
      <c r="A89" s="18" t="s">
        <v>58</v>
      </c>
      <c r="B89" s="246">
        <v>5433540</v>
      </c>
      <c r="C89" s="246">
        <v>2658092</v>
      </c>
      <c r="D89" s="2">
        <f>(B89+C89)*0.124</f>
        <v>1003362.37</v>
      </c>
      <c r="E89" s="78">
        <f t="shared" ref="E89:E95" si="45">(B89+C89)*0.049</f>
        <v>396489.97</v>
      </c>
      <c r="F89" s="78">
        <f t="shared" si="38"/>
        <v>424001.52</v>
      </c>
      <c r="G89" s="2">
        <f t="shared" ref="G89:G118" si="46">+AW89</f>
        <v>694078.6</v>
      </c>
      <c r="H89" s="2">
        <f>(B89+C89)*0.0098+0.01</f>
        <v>79298</v>
      </c>
      <c r="I89" s="2">
        <f t="shared" ref="I89:I118" si="47">(AB89)*0.0041219</f>
        <v>0</v>
      </c>
      <c r="J89" s="381">
        <f t="shared" si="44"/>
        <v>2597230.46</v>
      </c>
      <c r="K89" s="384"/>
      <c r="L89" s="246"/>
      <c r="M89" s="246"/>
      <c r="N89" s="246"/>
      <c r="O89" s="246">
        <v>7688820</v>
      </c>
      <c r="P89" s="246"/>
      <c r="Q89" s="246"/>
      <c r="R89" s="246">
        <v>14223</v>
      </c>
      <c r="S89" s="246"/>
      <c r="T89" s="246"/>
      <c r="U89" s="246">
        <v>2744</v>
      </c>
      <c r="V89" s="246">
        <v>2136</v>
      </c>
      <c r="W89" s="246"/>
      <c r="X89" s="246"/>
      <c r="Y89" s="246">
        <v>383709</v>
      </c>
      <c r="Z89" s="246"/>
      <c r="AA89" s="246"/>
      <c r="AB89" s="246"/>
      <c r="AC89" s="246"/>
      <c r="AD89" s="246">
        <f t="shared" si="43"/>
        <v>8091632</v>
      </c>
      <c r="AE89" s="246"/>
      <c r="AF89" s="284">
        <f t="shared" ref="AF89:AF118" si="48">+M89*$AF$12</f>
        <v>0</v>
      </c>
      <c r="AG89" s="284">
        <f t="shared" ref="AG89:AG118" si="49">+N89*$AG$12</f>
        <v>0</v>
      </c>
      <c r="AH89" s="284">
        <f t="shared" ref="AH89:AH118" si="50">+O89*$AH$12</f>
        <v>678153.92</v>
      </c>
      <c r="AI89" s="284">
        <f t="shared" ref="AI89:AI118" si="51">+P89*$AI$12</f>
        <v>0</v>
      </c>
      <c r="AJ89" s="284">
        <f t="shared" ref="AJ89:AJ118" si="52">+Q89*$AJ$12</f>
        <v>0</v>
      </c>
      <c r="AK89" s="284">
        <f t="shared" ref="AK89:AK118" si="53">+R89*$AK$12</f>
        <v>557.54</v>
      </c>
      <c r="AL89" s="284">
        <f t="shared" ref="AL89:AL118" si="54">+S89*$AL$12</f>
        <v>0</v>
      </c>
      <c r="AM89" s="284">
        <f t="shared" ref="AM89:AM118" si="55">+T89*$AM$12</f>
        <v>0</v>
      </c>
      <c r="AN89" s="284">
        <f t="shared" ref="AN89:AN118" si="56">+U89*$AN$12</f>
        <v>242.02</v>
      </c>
      <c r="AO89" s="284">
        <f t="shared" ref="AO89:AO118" si="57">+V89*$AO$12</f>
        <v>83.73</v>
      </c>
      <c r="AP89" s="284">
        <f t="shared" ref="AP89:AP118" si="58">+W89*$AP$12</f>
        <v>0</v>
      </c>
      <c r="AQ89" s="284">
        <f t="shared" ref="AQ89:AQ118" si="59">+X89*$AQ$12</f>
        <v>0</v>
      </c>
      <c r="AR89" s="284">
        <f t="shared" ref="AR89:AR118" si="60">+Y89*$AR$12</f>
        <v>15041.39</v>
      </c>
      <c r="AS89" s="284">
        <f t="shared" ref="AS89:AS118" si="61">+Z89*$AS$12</f>
        <v>0</v>
      </c>
      <c r="AT89" s="284">
        <f t="shared" ref="AT89:AT118" si="62">+AA89*$AT$12</f>
        <v>0</v>
      </c>
      <c r="AU89" s="284">
        <f t="shared" ref="AU89:AU118" si="63">+AB89*$AU$12</f>
        <v>0</v>
      </c>
      <c r="AV89" s="284">
        <f t="shared" ref="AV89:AV118" si="64">+AC89*$AV$12</f>
        <v>0</v>
      </c>
      <c r="AW89" s="321">
        <f t="shared" ref="AW89:AW118" si="65">SUM(AF89:AV89)</f>
        <v>694078.6</v>
      </c>
    </row>
    <row r="90" spans="1:49" x14ac:dyDescent="0.2">
      <c r="A90" s="1" t="s">
        <v>59</v>
      </c>
      <c r="B90" s="7">
        <v>427203</v>
      </c>
      <c r="C90" s="7">
        <v>0</v>
      </c>
      <c r="D90" s="2">
        <f>(B90+C90)*0.124-0.01</f>
        <v>52973.16</v>
      </c>
      <c r="E90" s="78">
        <f t="shared" si="45"/>
        <v>20932.95</v>
      </c>
      <c r="F90" s="78">
        <f t="shared" si="38"/>
        <v>22385.439999999999</v>
      </c>
      <c r="G90" s="2">
        <f t="shared" si="46"/>
        <v>29641.39</v>
      </c>
      <c r="H90" s="2">
        <f>(B90+C90)*0.0098+0.01</f>
        <v>4186.6000000000004</v>
      </c>
      <c r="I90" s="2">
        <f t="shared" si="47"/>
        <v>0</v>
      </c>
      <c r="J90" s="381">
        <f t="shared" si="44"/>
        <v>130119.54</v>
      </c>
      <c r="K90" s="384"/>
      <c r="L90" s="7"/>
      <c r="M90" s="7"/>
      <c r="N90" s="7"/>
      <c r="O90" s="7"/>
      <c r="P90" s="7"/>
      <c r="Q90" s="7">
        <v>116274</v>
      </c>
      <c r="R90" s="7"/>
      <c r="S90" s="7"/>
      <c r="T90" s="7"/>
      <c r="U90" s="7"/>
      <c r="V90" s="7">
        <v>47765</v>
      </c>
      <c r="W90" s="7"/>
      <c r="X90" s="7"/>
      <c r="Y90" s="7"/>
      <c r="Z90" s="7"/>
      <c r="AA90" s="7"/>
      <c r="AB90" s="7"/>
      <c r="AC90" s="7">
        <v>263164</v>
      </c>
      <c r="AD90" s="7">
        <f t="shared" si="43"/>
        <v>427203</v>
      </c>
      <c r="AE90" s="7"/>
      <c r="AF90" s="284">
        <f t="shared" si="48"/>
        <v>0</v>
      </c>
      <c r="AG90" s="284">
        <f t="shared" si="49"/>
        <v>0</v>
      </c>
      <c r="AH90" s="284">
        <f t="shared" si="50"/>
        <v>0</v>
      </c>
      <c r="AI90" s="284">
        <f t="shared" si="51"/>
        <v>0</v>
      </c>
      <c r="AJ90" s="284">
        <f t="shared" si="52"/>
        <v>4557.9399999999996</v>
      </c>
      <c r="AK90" s="284">
        <f t="shared" si="53"/>
        <v>0</v>
      </c>
      <c r="AL90" s="284">
        <f t="shared" si="54"/>
        <v>0</v>
      </c>
      <c r="AM90" s="284">
        <f t="shared" si="55"/>
        <v>0</v>
      </c>
      <c r="AN90" s="284">
        <f t="shared" si="56"/>
        <v>0</v>
      </c>
      <c r="AO90" s="284">
        <f t="shared" si="57"/>
        <v>1872.39</v>
      </c>
      <c r="AP90" s="284">
        <f t="shared" si="58"/>
        <v>0</v>
      </c>
      <c r="AQ90" s="284">
        <f t="shared" si="59"/>
        <v>0</v>
      </c>
      <c r="AR90" s="284">
        <f t="shared" si="60"/>
        <v>0</v>
      </c>
      <c r="AS90" s="284">
        <f t="shared" si="61"/>
        <v>0</v>
      </c>
      <c r="AT90" s="284">
        <f t="shared" si="62"/>
        <v>0</v>
      </c>
      <c r="AU90" s="284">
        <f t="shared" si="63"/>
        <v>0</v>
      </c>
      <c r="AV90" s="284">
        <f t="shared" si="64"/>
        <v>23211.06</v>
      </c>
      <c r="AW90" s="321">
        <f t="shared" si="65"/>
        <v>29641.39</v>
      </c>
    </row>
    <row r="91" spans="1:49" ht="13.5" customHeight="1" x14ac:dyDescent="0.2">
      <c r="A91" s="1" t="s">
        <v>457</v>
      </c>
      <c r="B91" s="7">
        <v>18135</v>
      </c>
      <c r="C91" s="7">
        <v>0</v>
      </c>
      <c r="D91" s="2">
        <f>(B91+C91)*0.124</f>
        <v>2248.7399999999998</v>
      </c>
      <c r="E91" s="78">
        <f t="shared" si="45"/>
        <v>888.62</v>
      </c>
      <c r="F91" s="78">
        <f t="shared" si="38"/>
        <v>950.27</v>
      </c>
      <c r="G91" s="2">
        <f t="shared" si="46"/>
        <v>1599.51</v>
      </c>
      <c r="H91" s="2">
        <f t="shared" si="3"/>
        <v>177.72</v>
      </c>
      <c r="I91" s="2">
        <f t="shared" si="47"/>
        <v>74.75</v>
      </c>
      <c r="J91" s="381">
        <f t="shared" si="44"/>
        <v>5939.61</v>
      </c>
      <c r="K91" s="384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>
        <v>18135</v>
      </c>
      <c r="AC91" s="7"/>
      <c r="AD91" s="7">
        <f t="shared" si="43"/>
        <v>18135</v>
      </c>
      <c r="AE91" s="1"/>
      <c r="AF91" s="284">
        <f t="shared" si="48"/>
        <v>0</v>
      </c>
      <c r="AG91" s="284">
        <f t="shared" si="49"/>
        <v>0</v>
      </c>
      <c r="AH91" s="284">
        <f t="shared" si="50"/>
        <v>0</v>
      </c>
      <c r="AI91" s="284">
        <f t="shared" si="51"/>
        <v>0</v>
      </c>
      <c r="AJ91" s="284">
        <f t="shared" si="52"/>
        <v>0</v>
      </c>
      <c r="AK91" s="284">
        <f t="shared" si="53"/>
        <v>0</v>
      </c>
      <c r="AL91" s="284">
        <f t="shared" si="54"/>
        <v>0</v>
      </c>
      <c r="AM91" s="284">
        <f t="shared" si="55"/>
        <v>0</v>
      </c>
      <c r="AN91" s="284">
        <f t="shared" si="56"/>
        <v>0</v>
      </c>
      <c r="AO91" s="284">
        <f t="shared" si="57"/>
        <v>0</v>
      </c>
      <c r="AP91" s="284">
        <f t="shared" si="58"/>
        <v>0</v>
      </c>
      <c r="AQ91" s="284">
        <f t="shared" si="59"/>
        <v>0</v>
      </c>
      <c r="AR91" s="284">
        <f t="shared" si="60"/>
        <v>0</v>
      </c>
      <c r="AS91" s="284">
        <f t="shared" si="61"/>
        <v>0</v>
      </c>
      <c r="AT91" s="284">
        <f t="shared" si="62"/>
        <v>0</v>
      </c>
      <c r="AU91" s="284">
        <f t="shared" si="63"/>
        <v>1599.51</v>
      </c>
      <c r="AV91" s="284">
        <f t="shared" si="64"/>
        <v>0</v>
      </c>
      <c r="AW91" s="321">
        <f t="shared" si="65"/>
        <v>1599.51</v>
      </c>
    </row>
    <row r="92" spans="1:49" s="20" customFormat="1" x14ac:dyDescent="0.2">
      <c r="A92" s="18" t="s">
        <v>60</v>
      </c>
      <c r="B92" s="246">
        <v>3277492</v>
      </c>
      <c r="C92" s="246">
        <v>79619</v>
      </c>
      <c r="D92" s="2">
        <f>(B92+C92)*0.124-0.01</f>
        <v>416281.75</v>
      </c>
      <c r="E92" s="78">
        <f t="shared" si="45"/>
        <v>164498.44</v>
      </c>
      <c r="F92" s="78">
        <f t="shared" si="38"/>
        <v>175912.62</v>
      </c>
      <c r="G92" s="2">
        <f t="shared" si="46"/>
        <v>290255.03000000003</v>
      </c>
      <c r="H92" s="2">
        <f>(B92+C92)*0.0098-0.01</f>
        <v>32899.68</v>
      </c>
      <c r="I92" s="2">
        <f t="shared" si="47"/>
        <v>1851.1</v>
      </c>
      <c r="J92" s="381">
        <f t="shared" si="44"/>
        <v>1081698.6200000001</v>
      </c>
      <c r="K92" s="384"/>
      <c r="L92" s="246"/>
      <c r="M92" s="246">
        <v>424071</v>
      </c>
      <c r="N92" s="246">
        <v>77995</v>
      </c>
      <c r="O92" s="246">
        <v>2039762</v>
      </c>
      <c r="P92" s="246">
        <v>69876</v>
      </c>
      <c r="Q92" s="246"/>
      <c r="R92" s="246">
        <v>9904</v>
      </c>
      <c r="S92" s="246"/>
      <c r="T92" s="246"/>
      <c r="U92" s="246"/>
      <c r="V92" s="246"/>
      <c r="W92" s="246">
        <v>170740</v>
      </c>
      <c r="X92" s="246">
        <v>3986</v>
      </c>
      <c r="Y92" s="246">
        <v>39448</v>
      </c>
      <c r="Z92" s="246">
        <v>63408</v>
      </c>
      <c r="AA92" s="246"/>
      <c r="AB92" s="246">
        <v>449090</v>
      </c>
      <c r="AC92" s="246">
        <v>8831</v>
      </c>
      <c r="AD92" s="246">
        <f t="shared" si="43"/>
        <v>3357111</v>
      </c>
      <c r="AE92" s="18"/>
      <c r="AF92" s="284">
        <f t="shared" si="48"/>
        <v>37403.06</v>
      </c>
      <c r="AG92" s="284">
        <f t="shared" si="49"/>
        <v>6879.16</v>
      </c>
      <c r="AH92" s="284">
        <f t="shared" si="50"/>
        <v>179907.01</v>
      </c>
      <c r="AI92" s="284">
        <f t="shared" si="51"/>
        <v>2739.14</v>
      </c>
      <c r="AJ92" s="284">
        <f t="shared" si="52"/>
        <v>0</v>
      </c>
      <c r="AK92" s="284">
        <f t="shared" si="53"/>
        <v>388.24</v>
      </c>
      <c r="AL92" s="284">
        <f t="shared" si="54"/>
        <v>0</v>
      </c>
      <c r="AM92" s="284">
        <f t="shared" si="55"/>
        <v>0</v>
      </c>
      <c r="AN92" s="284">
        <f t="shared" si="56"/>
        <v>0</v>
      </c>
      <c r="AO92" s="284">
        <f t="shared" si="57"/>
        <v>0</v>
      </c>
      <c r="AP92" s="284">
        <f t="shared" si="58"/>
        <v>15059.27</v>
      </c>
      <c r="AQ92" s="284">
        <f t="shared" si="59"/>
        <v>351.57</v>
      </c>
      <c r="AR92" s="284">
        <f t="shared" si="60"/>
        <v>1546.36</v>
      </c>
      <c r="AS92" s="284">
        <f t="shared" si="61"/>
        <v>5592.59</v>
      </c>
      <c r="AT92" s="284">
        <f t="shared" si="62"/>
        <v>0</v>
      </c>
      <c r="AU92" s="284">
        <f t="shared" si="63"/>
        <v>39609.74</v>
      </c>
      <c r="AV92" s="284">
        <f t="shared" si="64"/>
        <v>778.89</v>
      </c>
      <c r="AW92" s="321">
        <f t="shared" si="65"/>
        <v>290255.03000000003</v>
      </c>
    </row>
    <row r="93" spans="1:49" s="20" customFormat="1" x14ac:dyDescent="0.2">
      <c r="A93" s="1" t="s">
        <v>458</v>
      </c>
      <c r="B93" s="7">
        <v>79132</v>
      </c>
      <c r="C93" s="7">
        <v>0</v>
      </c>
      <c r="D93" s="2">
        <f>(B93+C93)*0.124-0.01</f>
        <v>9812.36</v>
      </c>
      <c r="E93" s="2">
        <f t="shared" si="45"/>
        <v>3877.47</v>
      </c>
      <c r="F93" s="78">
        <f t="shared" si="38"/>
        <v>4146.5200000000004</v>
      </c>
      <c r="G93" s="2">
        <f t="shared" si="46"/>
        <v>6888.36</v>
      </c>
      <c r="H93" s="2">
        <f t="shared" si="3"/>
        <v>775.49</v>
      </c>
      <c r="I93" s="2">
        <f t="shared" si="47"/>
        <v>15.16</v>
      </c>
      <c r="J93" s="381">
        <f t="shared" si="44"/>
        <v>25515.360000000001</v>
      </c>
      <c r="K93" s="384"/>
      <c r="L93" s="7"/>
      <c r="M93" s="7"/>
      <c r="N93" s="7">
        <v>716</v>
      </c>
      <c r="O93" s="7"/>
      <c r="P93" s="7">
        <v>805</v>
      </c>
      <c r="Q93" s="7"/>
      <c r="R93" s="7"/>
      <c r="S93" s="7"/>
      <c r="T93" s="7"/>
      <c r="U93" s="7"/>
      <c r="V93" s="7"/>
      <c r="W93" s="7">
        <v>72538</v>
      </c>
      <c r="X93" s="7">
        <v>340</v>
      </c>
      <c r="Y93" s="7"/>
      <c r="Z93" s="7"/>
      <c r="AA93" s="7">
        <v>1054</v>
      </c>
      <c r="AB93" s="7">
        <v>3679</v>
      </c>
      <c r="AC93" s="7"/>
      <c r="AD93" s="7">
        <f t="shared" si="43"/>
        <v>79132</v>
      </c>
      <c r="AE93" s="246"/>
      <c r="AF93" s="284">
        <f t="shared" si="48"/>
        <v>0</v>
      </c>
      <c r="AG93" s="284">
        <f t="shared" si="49"/>
        <v>63.15</v>
      </c>
      <c r="AH93" s="284">
        <f t="shared" si="50"/>
        <v>0</v>
      </c>
      <c r="AI93" s="284">
        <f t="shared" si="51"/>
        <v>31.56</v>
      </c>
      <c r="AJ93" s="284">
        <f t="shared" si="52"/>
        <v>0</v>
      </c>
      <c r="AK93" s="284">
        <f t="shared" si="53"/>
        <v>0</v>
      </c>
      <c r="AL93" s="284">
        <f t="shared" si="54"/>
        <v>0</v>
      </c>
      <c r="AM93" s="284">
        <f t="shared" si="55"/>
        <v>0</v>
      </c>
      <c r="AN93" s="284">
        <f t="shared" si="56"/>
        <v>0</v>
      </c>
      <c r="AO93" s="284">
        <f t="shared" si="57"/>
        <v>0</v>
      </c>
      <c r="AP93" s="284">
        <f t="shared" si="58"/>
        <v>6397.85</v>
      </c>
      <c r="AQ93" s="284">
        <f t="shared" si="59"/>
        <v>29.99</v>
      </c>
      <c r="AR93" s="284">
        <f t="shared" si="60"/>
        <v>0</v>
      </c>
      <c r="AS93" s="284">
        <f t="shared" si="61"/>
        <v>0</v>
      </c>
      <c r="AT93" s="284">
        <f t="shared" si="62"/>
        <v>41.32</v>
      </c>
      <c r="AU93" s="284">
        <f t="shared" si="63"/>
        <v>324.49</v>
      </c>
      <c r="AV93" s="284">
        <f t="shared" si="64"/>
        <v>0</v>
      </c>
      <c r="AW93" s="321">
        <f t="shared" si="65"/>
        <v>6888.36</v>
      </c>
    </row>
    <row r="94" spans="1:49" s="20" customFormat="1" x14ac:dyDescent="0.2">
      <c r="A94" s="18" t="s">
        <v>61</v>
      </c>
      <c r="B94" s="246">
        <v>52138</v>
      </c>
      <c r="C94" s="246">
        <v>0</v>
      </c>
      <c r="D94" s="2">
        <f>(B94+C94)*0.124+0.01</f>
        <v>6465.12</v>
      </c>
      <c r="E94" s="78">
        <f t="shared" si="45"/>
        <v>2554.7600000000002</v>
      </c>
      <c r="F94" s="78">
        <f t="shared" si="38"/>
        <v>2732.03</v>
      </c>
      <c r="G94" s="2">
        <f t="shared" si="46"/>
        <v>4598.57</v>
      </c>
      <c r="H94" s="2">
        <f t="shared" si="3"/>
        <v>510.95</v>
      </c>
      <c r="I94" s="2">
        <f t="shared" si="47"/>
        <v>0</v>
      </c>
      <c r="J94" s="381">
        <f t="shared" si="44"/>
        <v>16861.43</v>
      </c>
      <c r="K94" s="384"/>
      <c r="L94" s="246"/>
      <c r="M94" s="246"/>
      <c r="N94" s="246"/>
      <c r="O94" s="246"/>
      <c r="P94" s="246"/>
      <c r="Q94" s="246"/>
      <c r="R94" s="246"/>
      <c r="S94" s="246"/>
      <c r="T94" s="246">
        <v>50232</v>
      </c>
      <c r="U94" s="246"/>
      <c r="V94" s="246"/>
      <c r="W94" s="246"/>
      <c r="X94" s="246"/>
      <c r="Y94" s="246"/>
      <c r="Z94" s="246">
        <v>1906</v>
      </c>
      <c r="AA94" s="246"/>
      <c r="AB94" s="246"/>
      <c r="AC94" s="246"/>
      <c r="AD94" s="246">
        <f t="shared" si="43"/>
        <v>52138</v>
      </c>
      <c r="AE94" s="246"/>
      <c r="AF94" s="284">
        <f t="shared" si="48"/>
        <v>0</v>
      </c>
      <c r="AG94" s="284">
        <f t="shared" si="49"/>
        <v>0</v>
      </c>
      <c r="AH94" s="284">
        <f t="shared" si="50"/>
        <v>0</v>
      </c>
      <c r="AI94" s="284">
        <f t="shared" si="51"/>
        <v>0</v>
      </c>
      <c r="AJ94" s="284">
        <f t="shared" si="52"/>
        <v>0</v>
      </c>
      <c r="AK94" s="284">
        <f t="shared" si="53"/>
        <v>0</v>
      </c>
      <c r="AL94" s="284">
        <f t="shared" si="54"/>
        <v>0</v>
      </c>
      <c r="AM94" s="284">
        <f t="shared" si="55"/>
        <v>4430.46</v>
      </c>
      <c r="AN94" s="284">
        <f t="shared" si="56"/>
        <v>0</v>
      </c>
      <c r="AO94" s="284">
        <f t="shared" si="57"/>
        <v>0</v>
      </c>
      <c r="AP94" s="284">
        <f t="shared" si="58"/>
        <v>0</v>
      </c>
      <c r="AQ94" s="284">
        <f t="shared" si="59"/>
        <v>0</v>
      </c>
      <c r="AR94" s="284">
        <f t="shared" si="60"/>
        <v>0</v>
      </c>
      <c r="AS94" s="284">
        <f t="shared" si="61"/>
        <v>168.11</v>
      </c>
      <c r="AT94" s="284">
        <f t="shared" si="62"/>
        <v>0</v>
      </c>
      <c r="AU94" s="284">
        <f t="shared" si="63"/>
        <v>0</v>
      </c>
      <c r="AV94" s="284">
        <f t="shared" si="64"/>
        <v>0</v>
      </c>
      <c r="AW94" s="321">
        <f t="shared" si="65"/>
        <v>4598.57</v>
      </c>
    </row>
    <row r="95" spans="1:49" x14ac:dyDescent="0.2">
      <c r="A95" s="1" t="s">
        <v>62</v>
      </c>
      <c r="B95" s="7">
        <v>5203</v>
      </c>
      <c r="C95" s="7">
        <v>0</v>
      </c>
      <c r="D95" s="2">
        <f>(B95+C95)*0.124</f>
        <v>645.16999999999996</v>
      </c>
      <c r="E95" s="2">
        <f t="shared" si="45"/>
        <v>254.95</v>
      </c>
      <c r="F95" s="78">
        <f t="shared" si="38"/>
        <v>272.64</v>
      </c>
      <c r="G95" s="2">
        <f t="shared" si="46"/>
        <v>458.9</v>
      </c>
      <c r="H95" s="2">
        <f t="shared" si="3"/>
        <v>50.99</v>
      </c>
      <c r="I95" s="2">
        <f t="shared" si="47"/>
        <v>0</v>
      </c>
      <c r="J95" s="381">
        <f t="shared" si="44"/>
        <v>1682.65</v>
      </c>
      <c r="K95" s="384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>
        <v>5203</v>
      </c>
      <c r="AD95" s="7">
        <f t="shared" si="43"/>
        <v>5203</v>
      </c>
      <c r="AE95" s="7"/>
      <c r="AF95" s="284">
        <f t="shared" si="48"/>
        <v>0</v>
      </c>
      <c r="AG95" s="284">
        <f t="shared" si="49"/>
        <v>0</v>
      </c>
      <c r="AH95" s="284">
        <f t="shared" si="50"/>
        <v>0</v>
      </c>
      <c r="AI95" s="284">
        <f t="shared" si="51"/>
        <v>0</v>
      </c>
      <c r="AJ95" s="284">
        <f t="shared" si="52"/>
        <v>0</v>
      </c>
      <c r="AK95" s="284">
        <f t="shared" si="53"/>
        <v>0</v>
      </c>
      <c r="AL95" s="284">
        <f t="shared" si="54"/>
        <v>0</v>
      </c>
      <c r="AM95" s="284">
        <f t="shared" si="55"/>
        <v>0</v>
      </c>
      <c r="AN95" s="284">
        <f t="shared" si="56"/>
        <v>0</v>
      </c>
      <c r="AO95" s="284">
        <f t="shared" si="57"/>
        <v>0</v>
      </c>
      <c r="AP95" s="284">
        <f t="shared" si="58"/>
        <v>0</v>
      </c>
      <c r="AQ95" s="284">
        <f t="shared" si="59"/>
        <v>0</v>
      </c>
      <c r="AR95" s="284">
        <f t="shared" si="60"/>
        <v>0</v>
      </c>
      <c r="AS95" s="284">
        <f t="shared" si="61"/>
        <v>0</v>
      </c>
      <c r="AT95" s="284">
        <f t="shared" si="62"/>
        <v>0</v>
      </c>
      <c r="AU95" s="284">
        <f t="shared" si="63"/>
        <v>0</v>
      </c>
      <c r="AV95" s="284">
        <f t="shared" si="64"/>
        <v>458.9</v>
      </c>
      <c r="AW95" s="321">
        <f t="shared" si="65"/>
        <v>458.9</v>
      </c>
    </row>
    <row r="96" spans="1:49" x14ac:dyDescent="0.2">
      <c r="A96" s="1" t="s">
        <v>63</v>
      </c>
      <c r="B96" s="7">
        <v>43732</v>
      </c>
      <c r="C96" s="7">
        <v>0</v>
      </c>
      <c r="D96" s="2">
        <f>(B96+C96)*0.124-0.01</f>
        <v>5422.76</v>
      </c>
      <c r="E96" s="2">
        <f t="shared" ref="E96:E104" si="66">(B96+C96)*0.049</f>
        <v>2142.87</v>
      </c>
      <c r="F96" s="78">
        <f t="shared" si="38"/>
        <v>2291.56</v>
      </c>
      <c r="G96" s="2">
        <f t="shared" si="46"/>
        <v>3857.17</v>
      </c>
      <c r="H96" s="2">
        <f t="shared" si="3"/>
        <v>428.57</v>
      </c>
      <c r="I96" s="2">
        <f t="shared" si="47"/>
        <v>0</v>
      </c>
      <c r="J96" s="381">
        <f t="shared" si="44"/>
        <v>14142.93</v>
      </c>
      <c r="K96" s="384"/>
      <c r="L96" s="7"/>
      <c r="M96" s="7"/>
      <c r="N96" s="7"/>
      <c r="O96" s="7"/>
      <c r="P96" s="7"/>
      <c r="Q96" s="7"/>
      <c r="R96" s="7"/>
      <c r="S96" s="7"/>
      <c r="T96" s="7"/>
      <c r="U96" s="7">
        <v>41135</v>
      </c>
      <c r="V96" s="7"/>
      <c r="W96" s="7"/>
      <c r="X96" s="7"/>
      <c r="Y96" s="7"/>
      <c r="Z96" s="7">
        <v>2597</v>
      </c>
      <c r="AA96" s="7"/>
      <c r="AB96" s="7"/>
      <c r="AC96" s="7"/>
      <c r="AD96" s="7">
        <f t="shared" si="43"/>
        <v>43732</v>
      </c>
      <c r="AE96" s="7"/>
      <c r="AF96" s="284">
        <f t="shared" si="48"/>
        <v>0</v>
      </c>
      <c r="AG96" s="284">
        <f t="shared" si="49"/>
        <v>0</v>
      </c>
      <c r="AH96" s="284">
        <f t="shared" si="50"/>
        <v>0</v>
      </c>
      <c r="AI96" s="284">
        <f t="shared" si="51"/>
        <v>0</v>
      </c>
      <c r="AJ96" s="284">
        <f t="shared" si="52"/>
        <v>0</v>
      </c>
      <c r="AK96" s="284">
        <f t="shared" si="53"/>
        <v>0</v>
      </c>
      <c r="AL96" s="284">
        <f t="shared" si="54"/>
        <v>0</v>
      </c>
      <c r="AM96" s="284">
        <f t="shared" si="55"/>
        <v>0</v>
      </c>
      <c r="AN96" s="284">
        <f t="shared" si="56"/>
        <v>3628.11</v>
      </c>
      <c r="AO96" s="284">
        <f t="shared" si="57"/>
        <v>0</v>
      </c>
      <c r="AP96" s="284">
        <f t="shared" si="58"/>
        <v>0</v>
      </c>
      <c r="AQ96" s="284">
        <f t="shared" si="59"/>
        <v>0</v>
      </c>
      <c r="AR96" s="284">
        <f t="shared" si="60"/>
        <v>0</v>
      </c>
      <c r="AS96" s="284">
        <f t="shared" si="61"/>
        <v>229.06</v>
      </c>
      <c r="AT96" s="284">
        <f t="shared" si="62"/>
        <v>0</v>
      </c>
      <c r="AU96" s="284">
        <f t="shared" si="63"/>
        <v>0</v>
      </c>
      <c r="AV96" s="284">
        <f t="shared" si="64"/>
        <v>0</v>
      </c>
      <c r="AW96" s="321">
        <f t="shared" si="65"/>
        <v>3857.17</v>
      </c>
    </row>
    <row r="97" spans="1:49" s="20" customFormat="1" x14ac:dyDescent="0.2">
      <c r="A97" s="18" t="s">
        <v>711</v>
      </c>
      <c r="B97" s="246">
        <v>461787</v>
      </c>
      <c r="C97" s="246">
        <v>0</v>
      </c>
      <c r="D97" s="2">
        <f>(B97+C97)*0.124</f>
        <v>57261.59</v>
      </c>
      <c r="E97" s="78">
        <f>(B97+C97)*0.049</f>
        <v>22627.56</v>
      </c>
      <c r="F97" s="78">
        <f>(B97+C97)*0.0524</f>
        <v>24197.64</v>
      </c>
      <c r="G97" s="2">
        <f>+AW97</f>
        <v>40729.61</v>
      </c>
      <c r="H97" s="2">
        <f>(B97+C97)*0.0098</f>
        <v>4525.51</v>
      </c>
      <c r="I97" s="2">
        <f>(AB97)*0.0041219</f>
        <v>1903.44</v>
      </c>
      <c r="J97" s="381">
        <f>SUM(D97:I97)</f>
        <v>151245.35</v>
      </c>
      <c r="K97" s="384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>
        <v>461787</v>
      </c>
      <c r="AC97" s="246"/>
      <c r="AD97" s="246">
        <f t="shared" si="43"/>
        <v>461787</v>
      </c>
      <c r="AE97" s="246"/>
      <c r="AF97" s="284">
        <f>+M97*$AF$12</f>
        <v>0</v>
      </c>
      <c r="AG97" s="284">
        <f>+N97*$AG$12</f>
        <v>0</v>
      </c>
      <c r="AH97" s="284">
        <f>+O97*$AH$12</f>
        <v>0</v>
      </c>
      <c r="AI97" s="284">
        <f>+P97*$AI$12</f>
        <v>0</v>
      </c>
      <c r="AJ97" s="284">
        <f>+Q97*$AJ$12</f>
        <v>0</v>
      </c>
      <c r="AK97" s="284">
        <f>+R97*$AK$12</f>
        <v>0</v>
      </c>
      <c r="AL97" s="284">
        <f>+S97*$AL$12</f>
        <v>0</v>
      </c>
      <c r="AM97" s="284">
        <f>+T97*$AM$12</f>
        <v>0</v>
      </c>
      <c r="AN97" s="284">
        <f>+U97*$AN$12</f>
        <v>0</v>
      </c>
      <c r="AO97" s="284">
        <f>+V97*$AO$12</f>
        <v>0</v>
      </c>
      <c r="AP97" s="284">
        <f>+W97*$AP$12</f>
        <v>0</v>
      </c>
      <c r="AQ97" s="284">
        <f>+X97*$AQ$12</f>
        <v>0</v>
      </c>
      <c r="AR97" s="284">
        <f>+Y97*$AR$12</f>
        <v>0</v>
      </c>
      <c r="AS97" s="284">
        <f>+Z97*$AS$12</f>
        <v>0</v>
      </c>
      <c r="AT97" s="284">
        <f>+AA97*$AT$12</f>
        <v>0</v>
      </c>
      <c r="AU97" s="284">
        <f>+AB97*$AU$12</f>
        <v>40729.61</v>
      </c>
      <c r="AV97" s="284">
        <f>+AC97*$AV$12</f>
        <v>0</v>
      </c>
      <c r="AW97" s="321">
        <f>SUM(AF97:AV97)</f>
        <v>40729.61</v>
      </c>
    </row>
    <row r="98" spans="1:49" s="20" customFormat="1" x14ac:dyDescent="0.2">
      <c r="A98" s="18" t="s">
        <v>64</v>
      </c>
      <c r="B98" s="246">
        <v>2167</v>
      </c>
      <c r="C98" s="246">
        <v>0</v>
      </c>
      <c r="D98" s="2">
        <f>(B98+C98)*0.124</f>
        <v>268.70999999999998</v>
      </c>
      <c r="E98" s="78">
        <f t="shared" si="66"/>
        <v>106.18</v>
      </c>
      <c r="F98" s="78">
        <f t="shared" si="38"/>
        <v>113.55</v>
      </c>
      <c r="G98" s="2">
        <f t="shared" si="46"/>
        <v>191.13</v>
      </c>
      <c r="H98" s="2">
        <f t="shared" ref="H98:H118" si="67">(B98+C98)*0.0098</f>
        <v>21.24</v>
      </c>
      <c r="I98" s="2">
        <f t="shared" si="47"/>
        <v>0</v>
      </c>
      <c r="J98" s="381">
        <f t="shared" si="44"/>
        <v>700.81</v>
      </c>
      <c r="K98" s="384"/>
      <c r="L98" s="246"/>
      <c r="M98" s="246"/>
      <c r="N98" s="246"/>
      <c r="O98" s="246">
        <v>2167</v>
      </c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>
        <f t="shared" ref="AD98:AD104" si="68">SUM(L98:AC98)</f>
        <v>2167</v>
      </c>
      <c r="AE98" s="246"/>
      <c r="AF98" s="284">
        <f t="shared" si="48"/>
        <v>0</v>
      </c>
      <c r="AG98" s="284">
        <f t="shared" si="49"/>
        <v>0</v>
      </c>
      <c r="AH98" s="284">
        <f t="shared" si="50"/>
        <v>191.13</v>
      </c>
      <c r="AI98" s="284">
        <f t="shared" si="51"/>
        <v>0</v>
      </c>
      <c r="AJ98" s="284">
        <f t="shared" si="52"/>
        <v>0</v>
      </c>
      <c r="AK98" s="284">
        <f t="shared" si="53"/>
        <v>0</v>
      </c>
      <c r="AL98" s="284">
        <f t="shared" si="54"/>
        <v>0</v>
      </c>
      <c r="AM98" s="284">
        <f t="shared" si="55"/>
        <v>0</v>
      </c>
      <c r="AN98" s="284">
        <f t="shared" si="56"/>
        <v>0</v>
      </c>
      <c r="AO98" s="284">
        <f t="shared" si="57"/>
        <v>0</v>
      </c>
      <c r="AP98" s="284">
        <f t="shared" si="58"/>
        <v>0</v>
      </c>
      <c r="AQ98" s="284">
        <f t="shared" si="59"/>
        <v>0</v>
      </c>
      <c r="AR98" s="284">
        <f t="shared" si="60"/>
        <v>0</v>
      </c>
      <c r="AS98" s="284">
        <f t="shared" si="61"/>
        <v>0</v>
      </c>
      <c r="AT98" s="284">
        <f t="shared" si="62"/>
        <v>0</v>
      </c>
      <c r="AU98" s="284">
        <f t="shared" si="63"/>
        <v>0</v>
      </c>
      <c r="AV98" s="284">
        <f t="shared" si="64"/>
        <v>0</v>
      </c>
      <c r="AW98" s="321">
        <f t="shared" si="65"/>
        <v>191.13</v>
      </c>
    </row>
    <row r="99" spans="1:49" s="20" customFormat="1" x14ac:dyDescent="0.2">
      <c r="A99" s="18" t="s">
        <v>573</v>
      </c>
      <c r="B99" s="246">
        <v>31865</v>
      </c>
      <c r="C99" s="246">
        <v>0</v>
      </c>
      <c r="D99" s="2">
        <f>(B99+C99)*0.124-0.01</f>
        <v>3951.25</v>
      </c>
      <c r="E99" s="78">
        <f t="shared" si="66"/>
        <v>1561.39</v>
      </c>
      <c r="F99" s="78">
        <f t="shared" ref="F99:F106" si="69">(B99+C99)*0.0524</f>
        <v>1669.73</v>
      </c>
      <c r="G99" s="2">
        <f t="shared" si="46"/>
        <v>1249.1099999999999</v>
      </c>
      <c r="H99" s="2">
        <f t="shared" si="67"/>
        <v>312.27999999999997</v>
      </c>
      <c r="I99" s="2">
        <f t="shared" si="47"/>
        <v>0</v>
      </c>
      <c r="J99" s="381">
        <f t="shared" si="44"/>
        <v>8743.76</v>
      </c>
      <c r="K99" s="384"/>
      <c r="L99" s="246"/>
      <c r="M99" s="246"/>
      <c r="N99" s="246"/>
      <c r="O99" s="246"/>
      <c r="P99" s="246"/>
      <c r="Q99" s="246"/>
      <c r="R99" s="246"/>
      <c r="S99" s="246">
        <v>31865</v>
      </c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>
        <f t="shared" si="68"/>
        <v>31865</v>
      </c>
      <c r="AE99" s="18"/>
      <c r="AF99" s="284">
        <f t="shared" si="48"/>
        <v>0</v>
      </c>
      <c r="AG99" s="284">
        <f t="shared" si="49"/>
        <v>0</v>
      </c>
      <c r="AH99" s="284">
        <f t="shared" si="50"/>
        <v>0</v>
      </c>
      <c r="AI99" s="284">
        <f t="shared" si="51"/>
        <v>0</v>
      </c>
      <c r="AJ99" s="284">
        <f t="shared" si="52"/>
        <v>0</v>
      </c>
      <c r="AK99" s="284">
        <f t="shared" si="53"/>
        <v>0</v>
      </c>
      <c r="AL99" s="284">
        <f t="shared" si="54"/>
        <v>1249.1099999999999</v>
      </c>
      <c r="AM99" s="284">
        <f t="shared" si="55"/>
        <v>0</v>
      </c>
      <c r="AN99" s="284">
        <f t="shared" si="56"/>
        <v>0</v>
      </c>
      <c r="AO99" s="284">
        <f t="shared" si="57"/>
        <v>0</v>
      </c>
      <c r="AP99" s="284">
        <f t="shared" si="58"/>
        <v>0</v>
      </c>
      <c r="AQ99" s="284">
        <f t="shared" si="59"/>
        <v>0</v>
      </c>
      <c r="AR99" s="284">
        <f t="shared" si="60"/>
        <v>0</v>
      </c>
      <c r="AS99" s="284">
        <f t="shared" si="61"/>
        <v>0</v>
      </c>
      <c r="AT99" s="284">
        <f t="shared" si="62"/>
        <v>0</v>
      </c>
      <c r="AU99" s="284">
        <f t="shared" si="63"/>
        <v>0</v>
      </c>
      <c r="AV99" s="284">
        <f t="shared" si="64"/>
        <v>0</v>
      </c>
      <c r="AW99" s="321">
        <f t="shared" si="65"/>
        <v>1249.1099999999999</v>
      </c>
    </row>
    <row r="100" spans="1:49" s="20" customFormat="1" x14ac:dyDescent="0.2">
      <c r="A100" s="18" t="s">
        <v>438</v>
      </c>
      <c r="B100" s="246">
        <v>1623829</v>
      </c>
      <c r="C100" s="246">
        <v>0</v>
      </c>
      <c r="D100" s="2">
        <f t="shared" ref="D100:D105" si="70">(B100+C100)*0.124</f>
        <v>201354.8</v>
      </c>
      <c r="E100" s="78">
        <f t="shared" si="66"/>
        <v>79567.62</v>
      </c>
      <c r="F100" s="78">
        <f t="shared" si="69"/>
        <v>85088.639999999999</v>
      </c>
      <c r="G100" s="2">
        <f t="shared" si="46"/>
        <v>123209.91</v>
      </c>
      <c r="H100" s="2">
        <f>(B100+C100)*0.0098+0.01</f>
        <v>15913.53</v>
      </c>
      <c r="I100" s="2">
        <f t="shared" si="47"/>
        <v>0</v>
      </c>
      <c r="J100" s="381">
        <f t="shared" si="44"/>
        <v>505134.5</v>
      </c>
      <c r="K100" s="384"/>
      <c r="L100" s="246"/>
      <c r="M100" s="246"/>
      <c r="N100" s="246"/>
      <c r="O100" s="246">
        <v>960009</v>
      </c>
      <c r="P100" s="246"/>
      <c r="Q100" s="246">
        <v>221207</v>
      </c>
      <c r="R100" s="246"/>
      <c r="S100" s="246"/>
      <c r="T100" s="246"/>
      <c r="U100" s="246"/>
      <c r="V100" s="246"/>
      <c r="W100" s="246">
        <v>255416</v>
      </c>
      <c r="X100" s="246"/>
      <c r="Y100" s="246">
        <v>187197</v>
      </c>
      <c r="Z100" s="246"/>
      <c r="AA100" s="246"/>
      <c r="AB100" s="246"/>
      <c r="AC100" s="246"/>
      <c r="AD100" s="246">
        <f t="shared" si="68"/>
        <v>1623829</v>
      </c>
      <c r="AE100" s="18"/>
      <c r="AF100" s="284">
        <f t="shared" si="48"/>
        <v>0</v>
      </c>
      <c r="AG100" s="284">
        <f t="shared" si="49"/>
        <v>0</v>
      </c>
      <c r="AH100" s="284">
        <f t="shared" si="50"/>
        <v>84672.79</v>
      </c>
      <c r="AI100" s="284">
        <f t="shared" si="51"/>
        <v>0</v>
      </c>
      <c r="AJ100" s="284">
        <f t="shared" si="52"/>
        <v>8671.31</v>
      </c>
      <c r="AK100" s="284">
        <f t="shared" si="53"/>
        <v>0</v>
      </c>
      <c r="AL100" s="284">
        <f t="shared" si="54"/>
        <v>0</v>
      </c>
      <c r="AM100" s="284">
        <f t="shared" si="55"/>
        <v>0</v>
      </c>
      <c r="AN100" s="284">
        <f t="shared" si="56"/>
        <v>0</v>
      </c>
      <c r="AO100" s="284">
        <f t="shared" si="57"/>
        <v>0</v>
      </c>
      <c r="AP100" s="284">
        <f t="shared" si="58"/>
        <v>22527.69</v>
      </c>
      <c r="AQ100" s="284">
        <f t="shared" si="59"/>
        <v>0</v>
      </c>
      <c r="AR100" s="284">
        <f t="shared" si="60"/>
        <v>7338.12</v>
      </c>
      <c r="AS100" s="284">
        <f t="shared" si="61"/>
        <v>0</v>
      </c>
      <c r="AT100" s="284">
        <f t="shared" si="62"/>
        <v>0</v>
      </c>
      <c r="AU100" s="284">
        <f t="shared" si="63"/>
        <v>0</v>
      </c>
      <c r="AV100" s="284">
        <f t="shared" si="64"/>
        <v>0</v>
      </c>
      <c r="AW100" s="321">
        <f t="shared" si="65"/>
        <v>123209.91</v>
      </c>
    </row>
    <row r="101" spans="1:49" x14ac:dyDescent="0.2">
      <c r="A101" s="18" t="s">
        <v>772</v>
      </c>
      <c r="B101" s="7">
        <v>-8801</v>
      </c>
      <c r="C101" s="7">
        <v>0</v>
      </c>
      <c r="D101" s="2">
        <f t="shared" si="70"/>
        <v>-1091.32</v>
      </c>
      <c r="E101" s="2">
        <f>(B101+C101)*0.049</f>
        <v>-431.25</v>
      </c>
      <c r="F101" s="2">
        <f>(B101+C101)*0.0524</f>
        <v>-461.17</v>
      </c>
      <c r="G101" s="2">
        <f>+AW101</f>
        <v>-776.25</v>
      </c>
      <c r="H101" s="2">
        <f>(B101+C101)*0.0098</f>
        <v>-86.25</v>
      </c>
      <c r="I101" s="2">
        <f>(AB101)*0.0041219</f>
        <v>0</v>
      </c>
      <c r="J101" s="381">
        <f>SUM(D101:I101)</f>
        <v>-2846.24</v>
      </c>
      <c r="K101" s="384"/>
      <c r="L101" s="7"/>
      <c r="M101" s="7"/>
      <c r="N101" s="7"/>
      <c r="O101" s="7">
        <v>-8801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>
        <f t="shared" si="68"/>
        <v>-8801</v>
      </c>
      <c r="AF101" s="284">
        <f>+M101*$AF$12</f>
        <v>0</v>
      </c>
      <c r="AG101" s="284">
        <f>+N101*$AG$12</f>
        <v>0</v>
      </c>
      <c r="AH101" s="284">
        <f>+O101*$AH$12</f>
        <v>-776.25</v>
      </c>
      <c r="AI101" s="284">
        <f>+P101*$AI$12</f>
        <v>0</v>
      </c>
      <c r="AJ101" s="284">
        <f>+Q101*$AJ$12</f>
        <v>0</v>
      </c>
      <c r="AK101" s="284">
        <f>+R101*$AK$12</f>
        <v>0</v>
      </c>
      <c r="AL101" s="284">
        <f>+S101*$AL$12</f>
        <v>0</v>
      </c>
      <c r="AM101" s="284">
        <f>+T101*$AM$12</f>
        <v>0</v>
      </c>
      <c r="AN101" s="284">
        <f>+U101*$AN$12</f>
        <v>0</v>
      </c>
      <c r="AO101" s="284">
        <f>+V101*$AO$12</f>
        <v>0</v>
      </c>
      <c r="AP101" s="284">
        <f>+W101*$AP$12</f>
        <v>0</v>
      </c>
      <c r="AQ101" s="284">
        <f>+X101*$AQ$12</f>
        <v>0</v>
      </c>
      <c r="AR101" s="284">
        <f>+Y101*$AR$12</f>
        <v>0</v>
      </c>
      <c r="AS101" s="284">
        <f>+Z101*$AS$12</f>
        <v>0</v>
      </c>
      <c r="AT101" s="284">
        <f>+AA101*$AT$12</f>
        <v>0</v>
      </c>
      <c r="AU101" s="284">
        <f>+AB101*$AU$12</f>
        <v>0</v>
      </c>
      <c r="AV101" s="284">
        <f>+AC101*$AV$12</f>
        <v>0</v>
      </c>
      <c r="AW101" s="321">
        <f>SUM(AF101:AV101)</f>
        <v>-776.25</v>
      </c>
    </row>
    <row r="102" spans="1:49" x14ac:dyDescent="0.2">
      <c r="A102" s="18" t="s">
        <v>65</v>
      </c>
      <c r="B102" s="246">
        <v>109461</v>
      </c>
      <c r="C102" s="246">
        <v>0</v>
      </c>
      <c r="D102" s="2">
        <f t="shared" si="70"/>
        <v>13573.16</v>
      </c>
      <c r="E102" s="78">
        <f t="shared" si="66"/>
        <v>5363.59</v>
      </c>
      <c r="F102" s="78">
        <f t="shared" si="69"/>
        <v>5735.76</v>
      </c>
      <c r="G102" s="2">
        <f t="shared" si="46"/>
        <v>9654.4599999999991</v>
      </c>
      <c r="H102" s="2">
        <f t="shared" si="67"/>
        <v>1072.72</v>
      </c>
      <c r="I102" s="2">
        <f t="shared" si="47"/>
        <v>0</v>
      </c>
      <c r="J102" s="381">
        <f t="shared" si="44"/>
        <v>35399.69</v>
      </c>
      <c r="K102" s="384"/>
      <c r="L102" s="246"/>
      <c r="M102" s="246"/>
      <c r="N102" s="246">
        <v>109461</v>
      </c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>
        <f t="shared" si="68"/>
        <v>109461</v>
      </c>
      <c r="AE102" s="7"/>
      <c r="AF102" s="284">
        <f t="shared" si="48"/>
        <v>0</v>
      </c>
      <c r="AG102" s="284">
        <f t="shared" si="49"/>
        <v>9654.4599999999991</v>
      </c>
      <c r="AH102" s="284">
        <f t="shared" si="50"/>
        <v>0</v>
      </c>
      <c r="AI102" s="284">
        <f t="shared" si="51"/>
        <v>0</v>
      </c>
      <c r="AJ102" s="284">
        <f t="shared" si="52"/>
        <v>0</v>
      </c>
      <c r="AK102" s="284">
        <f t="shared" si="53"/>
        <v>0</v>
      </c>
      <c r="AL102" s="284">
        <f t="shared" si="54"/>
        <v>0</v>
      </c>
      <c r="AM102" s="284">
        <f t="shared" si="55"/>
        <v>0</v>
      </c>
      <c r="AN102" s="284">
        <f t="shared" si="56"/>
        <v>0</v>
      </c>
      <c r="AO102" s="284">
        <f t="shared" si="57"/>
        <v>0</v>
      </c>
      <c r="AP102" s="284">
        <f t="shared" si="58"/>
        <v>0</v>
      </c>
      <c r="AQ102" s="284">
        <f t="shared" si="59"/>
        <v>0</v>
      </c>
      <c r="AR102" s="284">
        <f t="shared" si="60"/>
        <v>0</v>
      </c>
      <c r="AS102" s="284">
        <f t="shared" si="61"/>
        <v>0</v>
      </c>
      <c r="AT102" s="284">
        <f t="shared" si="62"/>
        <v>0</v>
      </c>
      <c r="AU102" s="284">
        <f t="shared" si="63"/>
        <v>0</v>
      </c>
      <c r="AV102" s="284">
        <f t="shared" si="64"/>
        <v>0</v>
      </c>
      <c r="AW102" s="321">
        <f t="shared" si="65"/>
        <v>9654.4599999999991</v>
      </c>
    </row>
    <row r="103" spans="1:49" x14ac:dyDescent="0.2">
      <c r="A103" s="18" t="s">
        <v>475</v>
      </c>
      <c r="B103" s="246">
        <v>2679430</v>
      </c>
      <c r="C103" s="246">
        <v>0</v>
      </c>
      <c r="D103" s="2">
        <f t="shared" si="70"/>
        <v>332249.32</v>
      </c>
      <c r="E103" s="78">
        <f>(B103+C103)*0.049</f>
        <v>131292.07</v>
      </c>
      <c r="F103" s="78">
        <f t="shared" si="69"/>
        <v>140402.13</v>
      </c>
      <c r="G103" s="2">
        <f t="shared" si="46"/>
        <v>229394.38</v>
      </c>
      <c r="H103" s="2">
        <f t="shared" si="67"/>
        <v>26258.41</v>
      </c>
      <c r="I103" s="2">
        <f t="shared" si="47"/>
        <v>2805.61</v>
      </c>
      <c r="J103" s="381">
        <f t="shared" si="44"/>
        <v>862401.92</v>
      </c>
      <c r="K103" s="384"/>
      <c r="L103" s="246"/>
      <c r="M103" s="246">
        <v>347487</v>
      </c>
      <c r="N103" s="246"/>
      <c r="O103" s="246">
        <v>1446837</v>
      </c>
      <c r="P103" s="246">
        <v>135316</v>
      </c>
      <c r="Q103" s="246"/>
      <c r="R103" s="246"/>
      <c r="S103" s="246"/>
      <c r="T103" s="246"/>
      <c r="U103" s="246"/>
      <c r="V103" s="246"/>
      <c r="W103" s="246">
        <v>24404</v>
      </c>
      <c r="X103" s="246">
        <v>38586</v>
      </c>
      <c r="Y103" s="246">
        <v>6140</v>
      </c>
      <c r="Z103" s="246"/>
      <c r="AA103" s="246"/>
      <c r="AB103" s="246">
        <v>680660</v>
      </c>
      <c r="AC103" s="246"/>
      <c r="AD103" s="246">
        <f>SUM(L103:AC103)</f>
        <v>2679430</v>
      </c>
      <c r="AE103" s="1"/>
      <c r="AF103" s="284">
        <f t="shared" si="48"/>
        <v>30648.35</v>
      </c>
      <c r="AG103" s="284">
        <f t="shared" si="49"/>
        <v>0</v>
      </c>
      <c r="AH103" s="284">
        <f t="shared" si="50"/>
        <v>127611.02</v>
      </c>
      <c r="AI103" s="284">
        <f t="shared" si="51"/>
        <v>5304.39</v>
      </c>
      <c r="AJ103" s="284">
        <f t="shared" si="52"/>
        <v>0</v>
      </c>
      <c r="AK103" s="284">
        <f t="shared" si="53"/>
        <v>0</v>
      </c>
      <c r="AL103" s="284">
        <f t="shared" si="54"/>
        <v>0</v>
      </c>
      <c r="AM103" s="284">
        <f t="shared" si="55"/>
        <v>0</v>
      </c>
      <c r="AN103" s="284">
        <f t="shared" si="56"/>
        <v>0</v>
      </c>
      <c r="AO103" s="284">
        <f t="shared" si="57"/>
        <v>0</v>
      </c>
      <c r="AP103" s="284">
        <f t="shared" si="58"/>
        <v>2152.4299999999998</v>
      </c>
      <c r="AQ103" s="284">
        <f t="shared" si="59"/>
        <v>3403.29</v>
      </c>
      <c r="AR103" s="284">
        <f t="shared" si="60"/>
        <v>240.69</v>
      </c>
      <c r="AS103" s="284">
        <f t="shared" si="61"/>
        <v>0</v>
      </c>
      <c r="AT103" s="284">
        <f t="shared" si="62"/>
        <v>0</v>
      </c>
      <c r="AU103" s="284">
        <f t="shared" si="63"/>
        <v>60034.21</v>
      </c>
      <c r="AV103" s="284">
        <f t="shared" si="64"/>
        <v>0</v>
      </c>
      <c r="AW103" s="321">
        <f t="shared" si="65"/>
        <v>229394.38</v>
      </c>
    </row>
    <row r="104" spans="1:49" x14ac:dyDescent="0.2">
      <c r="A104" s="18" t="s">
        <v>66</v>
      </c>
      <c r="B104" s="246">
        <v>16466</v>
      </c>
      <c r="C104" s="246">
        <v>0</v>
      </c>
      <c r="D104" s="2">
        <f t="shared" si="70"/>
        <v>2041.78</v>
      </c>
      <c r="E104" s="78">
        <f t="shared" si="66"/>
        <v>806.83</v>
      </c>
      <c r="F104" s="78">
        <f t="shared" si="69"/>
        <v>862.82</v>
      </c>
      <c r="G104" s="2">
        <f t="shared" si="46"/>
        <v>660.17</v>
      </c>
      <c r="H104" s="2">
        <f t="shared" si="67"/>
        <v>161.37</v>
      </c>
      <c r="I104" s="2">
        <f t="shared" si="47"/>
        <v>0</v>
      </c>
      <c r="J104" s="381">
        <f t="shared" si="44"/>
        <v>4532.97</v>
      </c>
      <c r="K104" s="384"/>
      <c r="L104" s="246"/>
      <c r="M104" s="246"/>
      <c r="N104" s="246"/>
      <c r="O104" s="246"/>
      <c r="P104" s="246"/>
      <c r="Q104" s="246">
        <v>16166</v>
      </c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>
        <v>300</v>
      </c>
      <c r="AD104" s="246">
        <f t="shared" si="68"/>
        <v>16466</v>
      </c>
      <c r="AE104" s="1"/>
      <c r="AF104" s="284">
        <f t="shared" si="48"/>
        <v>0</v>
      </c>
      <c r="AG104" s="284">
        <f t="shared" si="49"/>
        <v>0</v>
      </c>
      <c r="AH104" s="284">
        <f t="shared" si="50"/>
        <v>0</v>
      </c>
      <c r="AI104" s="284">
        <f t="shared" si="51"/>
        <v>0</v>
      </c>
      <c r="AJ104" s="284">
        <f t="shared" si="52"/>
        <v>633.71</v>
      </c>
      <c r="AK104" s="284">
        <f t="shared" si="53"/>
        <v>0</v>
      </c>
      <c r="AL104" s="284">
        <f t="shared" si="54"/>
        <v>0</v>
      </c>
      <c r="AM104" s="284">
        <f t="shared" si="55"/>
        <v>0</v>
      </c>
      <c r="AN104" s="284">
        <f t="shared" si="56"/>
        <v>0</v>
      </c>
      <c r="AO104" s="284">
        <f t="shared" si="57"/>
        <v>0</v>
      </c>
      <c r="AP104" s="284">
        <f t="shared" si="58"/>
        <v>0</v>
      </c>
      <c r="AQ104" s="284">
        <f t="shared" si="59"/>
        <v>0</v>
      </c>
      <c r="AR104" s="284">
        <f t="shared" si="60"/>
        <v>0</v>
      </c>
      <c r="AS104" s="284">
        <f t="shared" si="61"/>
        <v>0</v>
      </c>
      <c r="AT104" s="284">
        <f t="shared" si="62"/>
        <v>0</v>
      </c>
      <c r="AU104" s="284">
        <f t="shared" si="63"/>
        <v>0</v>
      </c>
      <c r="AV104" s="284">
        <f t="shared" si="64"/>
        <v>26.46</v>
      </c>
      <c r="AW104" s="321">
        <f t="shared" si="65"/>
        <v>660.17</v>
      </c>
    </row>
    <row r="105" spans="1:49" x14ac:dyDescent="0.2">
      <c r="A105" s="18" t="s">
        <v>82</v>
      </c>
      <c r="B105" s="246">
        <v>192541</v>
      </c>
      <c r="C105" s="246">
        <v>0</v>
      </c>
      <c r="D105" s="2">
        <f t="shared" si="70"/>
        <v>23875.08</v>
      </c>
      <c r="E105" s="78">
        <f t="shared" ref="E105:E111" si="71">(B105+C105)*0.049</f>
        <v>9434.51</v>
      </c>
      <c r="F105" s="78">
        <f t="shared" si="69"/>
        <v>10089.15</v>
      </c>
      <c r="G105" s="2">
        <f t="shared" si="46"/>
        <v>16982.12</v>
      </c>
      <c r="H105" s="2">
        <f t="shared" si="67"/>
        <v>1886.9</v>
      </c>
      <c r="I105" s="2">
        <f t="shared" si="47"/>
        <v>0</v>
      </c>
      <c r="J105" s="381">
        <f t="shared" si="44"/>
        <v>62267.76</v>
      </c>
      <c r="K105" s="384"/>
      <c r="L105" s="246"/>
      <c r="M105" s="246"/>
      <c r="N105" s="246"/>
      <c r="O105" s="246">
        <v>192541</v>
      </c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>
        <f>SUM(L105:AC105)</f>
        <v>192541</v>
      </c>
      <c r="AE105" s="7"/>
      <c r="AF105" s="284">
        <f t="shared" si="48"/>
        <v>0</v>
      </c>
      <c r="AG105" s="284">
        <f t="shared" si="49"/>
        <v>0</v>
      </c>
      <c r="AH105" s="284">
        <f t="shared" si="50"/>
        <v>16982.12</v>
      </c>
      <c r="AI105" s="284">
        <f t="shared" si="51"/>
        <v>0</v>
      </c>
      <c r="AJ105" s="284">
        <f t="shared" si="52"/>
        <v>0</v>
      </c>
      <c r="AK105" s="284">
        <f t="shared" si="53"/>
        <v>0</v>
      </c>
      <c r="AL105" s="284">
        <f t="shared" si="54"/>
        <v>0</v>
      </c>
      <c r="AM105" s="284">
        <f t="shared" si="55"/>
        <v>0</v>
      </c>
      <c r="AN105" s="284">
        <f t="shared" si="56"/>
        <v>0</v>
      </c>
      <c r="AO105" s="284">
        <f t="shared" si="57"/>
        <v>0</v>
      </c>
      <c r="AP105" s="284">
        <f t="shared" si="58"/>
        <v>0</v>
      </c>
      <c r="AQ105" s="284">
        <f t="shared" si="59"/>
        <v>0</v>
      </c>
      <c r="AR105" s="284">
        <f t="shared" si="60"/>
        <v>0</v>
      </c>
      <c r="AS105" s="284">
        <f t="shared" si="61"/>
        <v>0</v>
      </c>
      <c r="AT105" s="284">
        <f t="shared" si="62"/>
        <v>0</v>
      </c>
      <c r="AU105" s="284">
        <f t="shared" si="63"/>
        <v>0</v>
      </c>
      <c r="AV105" s="284">
        <f t="shared" si="64"/>
        <v>0</v>
      </c>
      <c r="AW105" s="321">
        <f t="shared" si="65"/>
        <v>16982.12</v>
      </c>
    </row>
    <row r="106" spans="1:49" x14ac:dyDescent="0.2">
      <c r="A106" s="18" t="s">
        <v>349</v>
      </c>
      <c r="B106" s="246">
        <v>438755</v>
      </c>
      <c r="C106" s="246">
        <v>0</v>
      </c>
      <c r="D106" s="2">
        <f>(B106+C106)*0.124-0.02</f>
        <v>54405.599999999999</v>
      </c>
      <c r="E106" s="78">
        <f t="shared" si="71"/>
        <v>21499</v>
      </c>
      <c r="F106" s="78">
        <f t="shared" si="69"/>
        <v>22990.76</v>
      </c>
      <c r="G106" s="2">
        <f t="shared" si="46"/>
        <v>38698.199999999997</v>
      </c>
      <c r="H106" s="2">
        <f t="shared" si="67"/>
        <v>4299.8</v>
      </c>
      <c r="I106" s="2">
        <f t="shared" si="47"/>
        <v>683.49</v>
      </c>
      <c r="J106" s="381">
        <f t="shared" si="44"/>
        <v>142576.85</v>
      </c>
      <c r="K106" s="384"/>
      <c r="L106" s="246"/>
      <c r="M106" s="246"/>
      <c r="N106" s="246"/>
      <c r="O106" s="246">
        <v>185829</v>
      </c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>
        <v>87108</v>
      </c>
      <c r="AA106" s="246"/>
      <c r="AB106" s="246">
        <v>165818</v>
      </c>
      <c r="AC106" s="246"/>
      <c r="AD106" s="246">
        <f>SUM(L106:AC106)</f>
        <v>438755</v>
      </c>
      <c r="AE106" s="7"/>
      <c r="AF106" s="284">
        <f t="shared" si="48"/>
        <v>0</v>
      </c>
      <c r="AG106" s="284">
        <f t="shared" si="49"/>
        <v>0</v>
      </c>
      <c r="AH106" s="284">
        <f t="shared" si="50"/>
        <v>16390.12</v>
      </c>
      <c r="AI106" s="284">
        <f t="shared" si="51"/>
        <v>0</v>
      </c>
      <c r="AJ106" s="284">
        <f t="shared" si="52"/>
        <v>0</v>
      </c>
      <c r="AK106" s="284">
        <f t="shared" si="53"/>
        <v>0</v>
      </c>
      <c r="AL106" s="284">
        <f t="shared" si="54"/>
        <v>0</v>
      </c>
      <c r="AM106" s="284">
        <f t="shared" si="55"/>
        <v>0</v>
      </c>
      <c r="AN106" s="284">
        <f t="shared" si="56"/>
        <v>0</v>
      </c>
      <c r="AO106" s="284">
        <f t="shared" si="57"/>
        <v>0</v>
      </c>
      <c r="AP106" s="284">
        <f t="shared" si="58"/>
        <v>0</v>
      </c>
      <c r="AQ106" s="284">
        <f t="shared" si="59"/>
        <v>0</v>
      </c>
      <c r="AR106" s="284">
        <f t="shared" si="60"/>
        <v>0</v>
      </c>
      <c r="AS106" s="284">
        <f t="shared" si="61"/>
        <v>7682.93</v>
      </c>
      <c r="AT106" s="284">
        <f t="shared" si="62"/>
        <v>0</v>
      </c>
      <c r="AU106" s="284">
        <f t="shared" si="63"/>
        <v>14625.15</v>
      </c>
      <c r="AV106" s="284">
        <f t="shared" si="64"/>
        <v>0</v>
      </c>
      <c r="AW106" s="321">
        <f t="shared" si="65"/>
        <v>38698.199999999997</v>
      </c>
    </row>
    <row r="107" spans="1:49" s="20" customFormat="1" x14ac:dyDescent="0.2">
      <c r="A107" s="18" t="s">
        <v>362</v>
      </c>
      <c r="B107" s="246">
        <v>710192</v>
      </c>
      <c r="C107" s="246">
        <v>0</v>
      </c>
      <c r="D107" s="2">
        <f>(B107+C107)*0.124-0.02</f>
        <v>88063.79</v>
      </c>
      <c r="E107" s="78">
        <f t="shared" si="71"/>
        <v>34799.410000000003</v>
      </c>
      <c r="F107" s="78">
        <f>(B107+C107)*0.0524</f>
        <v>37214.06</v>
      </c>
      <c r="G107" s="2">
        <f t="shared" si="46"/>
        <v>55368.959999999999</v>
      </c>
      <c r="H107" s="2">
        <f t="shared" si="67"/>
        <v>6959.88</v>
      </c>
      <c r="I107" s="2">
        <f t="shared" si="47"/>
        <v>1546.26</v>
      </c>
      <c r="J107" s="381">
        <f t="shared" si="44"/>
        <v>223952.36</v>
      </c>
      <c r="K107" s="384"/>
      <c r="L107" s="246"/>
      <c r="M107" s="246"/>
      <c r="N107" s="246"/>
      <c r="O107" s="246">
        <v>66007</v>
      </c>
      <c r="P107" s="246">
        <v>148367</v>
      </c>
      <c r="Q107" s="246"/>
      <c r="R107" s="246"/>
      <c r="S107" s="246"/>
      <c r="T107" s="246">
        <v>120686</v>
      </c>
      <c r="U107" s="246"/>
      <c r="V107" s="246"/>
      <c r="W107" s="246"/>
      <c r="X107" s="246"/>
      <c r="Y107" s="246"/>
      <c r="Z107" s="246"/>
      <c r="AA107" s="246"/>
      <c r="AB107" s="246">
        <v>375132</v>
      </c>
      <c r="AC107" s="246"/>
      <c r="AD107" s="246">
        <f t="shared" ref="AD107:AD117" si="72">SUM(L107:AC107)</f>
        <v>710192</v>
      </c>
      <c r="AE107" s="246"/>
      <c r="AF107" s="284">
        <f t="shared" si="48"/>
        <v>0</v>
      </c>
      <c r="AG107" s="284">
        <f t="shared" si="49"/>
        <v>0</v>
      </c>
      <c r="AH107" s="284">
        <f t="shared" si="50"/>
        <v>5821.82</v>
      </c>
      <c r="AI107" s="284">
        <f t="shared" si="51"/>
        <v>5815.99</v>
      </c>
      <c r="AJ107" s="284">
        <f t="shared" si="52"/>
        <v>0</v>
      </c>
      <c r="AK107" s="284">
        <f t="shared" si="53"/>
        <v>0</v>
      </c>
      <c r="AL107" s="284">
        <f t="shared" si="54"/>
        <v>0</v>
      </c>
      <c r="AM107" s="284">
        <f t="shared" si="55"/>
        <v>10644.51</v>
      </c>
      <c r="AN107" s="284">
        <f t="shared" si="56"/>
        <v>0</v>
      </c>
      <c r="AO107" s="284">
        <f t="shared" si="57"/>
        <v>0</v>
      </c>
      <c r="AP107" s="284">
        <f t="shared" si="58"/>
        <v>0</v>
      </c>
      <c r="AQ107" s="284">
        <f t="shared" si="59"/>
        <v>0</v>
      </c>
      <c r="AR107" s="284">
        <f t="shared" si="60"/>
        <v>0</v>
      </c>
      <c r="AS107" s="284">
        <f t="shared" si="61"/>
        <v>0</v>
      </c>
      <c r="AT107" s="284">
        <f t="shared" si="62"/>
        <v>0</v>
      </c>
      <c r="AU107" s="284">
        <f t="shared" si="63"/>
        <v>33086.639999999999</v>
      </c>
      <c r="AV107" s="284">
        <f t="shared" si="64"/>
        <v>0</v>
      </c>
      <c r="AW107" s="321">
        <f t="shared" si="65"/>
        <v>55368.959999999999</v>
      </c>
    </row>
    <row r="108" spans="1:49" x14ac:dyDescent="0.2">
      <c r="A108" s="1" t="s">
        <v>67</v>
      </c>
      <c r="B108" s="7">
        <v>29127</v>
      </c>
      <c r="C108" s="7">
        <v>0</v>
      </c>
      <c r="D108" s="2">
        <f>(B108+C108)*0.124+0.01</f>
        <v>3611.76</v>
      </c>
      <c r="E108" s="2">
        <f t="shared" si="71"/>
        <v>1427.22</v>
      </c>
      <c r="F108" s="2">
        <f>(B108+C108)*0.0524</f>
        <v>1526.25</v>
      </c>
      <c r="G108" s="2">
        <f t="shared" si="46"/>
        <v>2569</v>
      </c>
      <c r="H108" s="2">
        <f t="shared" si="67"/>
        <v>285.44</v>
      </c>
      <c r="I108" s="2">
        <f t="shared" si="47"/>
        <v>0</v>
      </c>
      <c r="J108" s="381">
        <f t="shared" si="44"/>
        <v>9419.67</v>
      </c>
      <c r="K108" s="384"/>
      <c r="L108" s="7"/>
      <c r="M108" s="7"/>
      <c r="N108" s="7"/>
      <c r="O108" s="7">
        <v>29127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>
        <f t="shared" si="72"/>
        <v>29127</v>
      </c>
      <c r="AE108" s="1"/>
      <c r="AF108" s="284">
        <f t="shared" si="48"/>
        <v>0</v>
      </c>
      <c r="AG108" s="284">
        <f t="shared" si="49"/>
        <v>0</v>
      </c>
      <c r="AH108" s="284">
        <f t="shared" si="50"/>
        <v>2569</v>
      </c>
      <c r="AI108" s="284">
        <f t="shared" si="51"/>
        <v>0</v>
      </c>
      <c r="AJ108" s="284">
        <f t="shared" si="52"/>
        <v>0</v>
      </c>
      <c r="AK108" s="284">
        <f t="shared" si="53"/>
        <v>0</v>
      </c>
      <c r="AL108" s="284">
        <f t="shared" si="54"/>
        <v>0</v>
      </c>
      <c r="AM108" s="284">
        <f t="shared" si="55"/>
        <v>0</v>
      </c>
      <c r="AN108" s="284">
        <f t="shared" si="56"/>
        <v>0</v>
      </c>
      <c r="AO108" s="284">
        <f t="shared" si="57"/>
        <v>0</v>
      </c>
      <c r="AP108" s="284">
        <f t="shared" si="58"/>
        <v>0</v>
      </c>
      <c r="AQ108" s="284">
        <f t="shared" si="59"/>
        <v>0</v>
      </c>
      <c r="AR108" s="284">
        <f t="shared" si="60"/>
        <v>0</v>
      </c>
      <c r="AS108" s="284">
        <f t="shared" si="61"/>
        <v>0</v>
      </c>
      <c r="AT108" s="284">
        <f t="shared" si="62"/>
        <v>0</v>
      </c>
      <c r="AU108" s="284">
        <f t="shared" si="63"/>
        <v>0</v>
      </c>
      <c r="AV108" s="284">
        <f t="shared" si="64"/>
        <v>0</v>
      </c>
      <c r="AW108" s="321">
        <f t="shared" si="65"/>
        <v>2569</v>
      </c>
    </row>
    <row r="109" spans="1:49" x14ac:dyDescent="0.2">
      <c r="A109" s="1" t="s">
        <v>68</v>
      </c>
      <c r="B109" s="7">
        <v>219067</v>
      </c>
      <c r="C109" s="7">
        <v>0</v>
      </c>
      <c r="D109" s="2">
        <f>(B109+C109)*0.124+0.01</f>
        <v>27164.32</v>
      </c>
      <c r="E109" s="2">
        <f t="shared" si="71"/>
        <v>10734.28</v>
      </c>
      <c r="F109" s="2">
        <f>(B109+C109)*0.0524</f>
        <v>11479.11</v>
      </c>
      <c r="G109" s="2">
        <f t="shared" si="46"/>
        <v>19321.7</v>
      </c>
      <c r="H109" s="2">
        <f t="shared" si="67"/>
        <v>2146.86</v>
      </c>
      <c r="I109" s="2">
        <f t="shared" si="47"/>
        <v>213.64</v>
      </c>
      <c r="J109" s="381">
        <f t="shared" si="44"/>
        <v>71059.91</v>
      </c>
      <c r="K109" s="384"/>
      <c r="L109" s="7"/>
      <c r="M109" s="7"/>
      <c r="N109" s="7">
        <v>43504</v>
      </c>
      <c r="O109" s="7"/>
      <c r="P109" s="7"/>
      <c r="Q109" s="7"/>
      <c r="R109" s="7"/>
      <c r="S109" s="7"/>
      <c r="T109" s="7"/>
      <c r="U109" s="7"/>
      <c r="V109" s="7"/>
      <c r="W109" s="7">
        <v>62864</v>
      </c>
      <c r="X109" s="7">
        <v>60868</v>
      </c>
      <c r="Y109" s="7"/>
      <c r="Z109" s="7"/>
      <c r="AA109" s="7"/>
      <c r="AB109" s="7">
        <v>51831</v>
      </c>
      <c r="AC109" s="7"/>
      <c r="AD109" s="7">
        <f t="shared" si="72"/>
        <v>219067</v>
      </c>
      <c r="AE109" s="1"/>
      <c r="AF109" s="284">
        <f t="shared" si="48"/>
        <v>0</v>
      </c>
      <c r="AG109" s="284">
        <f t="shared" si="49"/>
        <v>3837.05</v>
      </c>
      <c r="AH109" s="284">
        <f t="shared" si="50"/>
        <v>0</v>
      </c>
      <c r="AI109" s="284">
        <f t="shared" si="51"/>
        <v>0</v>
      </c>
      <c r="AJ109" s="284">
        <f t="shared" si="52"/>
        <v>0</v>
      </c>
      <c r="AK109" s="284">
        <f t="shared" si="53"/>
        <v>0</v>
      </c>
      <c r="AL109" s="284">
        <f t="shared" si="54"/>
        <v>0</v>
      </c>
      <c r="AM109" s="284">
        <f t="shared" si="55"/>
        <v>0</v>
      </c>
      <c r="AN109" s="284">
        <f t="shared" si="56"/>
        <v>0</v>
      </c>
      <c r="AO109" s="284">
        <f t="shared" si="57"/>
        <v>0</v>
      </c>
      <c r="AP109" s="284">
        <f t="shared" si="58"/>
        <v>5544.6</v>
      </c>
      <c r="AQ109" s="284">
        <f t="shared" si="59"/>
        <v>5368.56</v>
      </c>
      <c r="AR109" s="284">
        <f t="shared" si="60"/>
        <v>0</v>
      </c>
      <c r="AS109" s="284">
        <f t="shared" si="61"/>
        <v>0</v>
      </c>
      <c r="AT109" s="284">
        <f t="shared" si="62"/>
        <v>0</v>
      </c>
      <c r="AU109" s="284">
        <f t="shared" si="63"/>
        <v>4571.49</v>
      </c>
      <c r="AV109" s="284">
        <f t="shared" si="64"/>
        <v>0</v>
      </c>
      <c r="AW109" s="321">
        <f t="shared" si="65"/>
        <v>19321.7</v>
      </c>
    </row>
    <row r="110" spans="1:49" x14ac:dyDescent="0.2">
      <c r="A110" s="1" t="s">
        <v>574</v>
      </c>
      <c r="B110" s="7">
        <v>6529060</v>
      </c>
      <c r="C110" s="7">
        <v>0</v>
      </c>
      <c r="D110" s="2">
        <f>(B110+C110)*0.124-0.02</f>
        <v>809603.42</v>
      </c>
      <c r="E110" s="2">
        <f t="shared" si="71"/>
        <v>319923.94</v>
      </c>
      <c r="F110" s="2">
        <f>(B110+C110)*0.0524</f>
        <v>342122.74</v>
      </c>
      <c r="G110" s="2">
        <f t="shared" si="46"/>
        <v>567919.15</v>
      </c>
      <c r="H110" s="2">
        <f t="shared" si="67"/>
        <v>63984.79</v>
      </c>
      <c r="I110" s="2">
        <f t="shared" si="47"/>
        <v>6925.43</v>
      </c>
      <c r="J110" s="381">
        <f t="shared" si="44"/>
        <v>2110479.4700000002</v>
      </c>
      <c r="K110" s="384"/>
      <c r="L110" s="7"/>
      <c r="M110" s="7">
        <v>223776</v>
      </c>
      <c r="N110" s="7"/>
      <c r="O110" s="7">
        <v>4410209</v>
      </c>
      <c r="P110" s="7">
        <v>162121</v>
      </c>
      <c r="Q110" s="7"/>
      <c r="R110" s="7"/>
      <c r="S110" s="7"/>
      <c r="T110" s="7"/>
      <c r="U110" s="7"/>
      <c r="V110" s="7"/>
      <c r="W110" s="7">
        <v>52799</v>
      </c>
      <c r="X110" s="7"/>
      <c r="Y110" s="7"/>
      <c r="Z110" s="7"/>
      <c r="AA110" s="7"/>
      <c r="AB110" s="7">
        <v>1680155</v>
      </c>
      <c r="AC110" s="7"/>
      <c r="AD110" s="7">
        <f>SUM(L110:AC110)</f>
        <v>6529060</v>
      </c>
      <c r="AE110" s="7"/>
      <c r="AF110" s="284">
        <f t="shared" si="48"/>
        <v>19737.04</v>
      </c>
      <c r="AG110" s="284">
        <f t="shared" si="49"/>
        <v>0</v>
      </c>
      <c r="AH110" s="284">
        <f t="shared" si="50"/>
        <v>388980.43</v>
      </c>
      <c r="AI110" s="284">
        <f t="shared" si="51"/>
        <v>6355.14</v>
      </c>
      <c r="AJ110" s="284">
        <f t="shared" si="52"/>
        <v>0</v>
      </c>
      <c r="AK110" s="284">
        <f t="shared" si="53"/>
        <v>0</v>
      </c>
      <c r="AL110" s="284">
        <f t="shared" si="54"/>
        <v>0</v>
      </c>
      <c r="AM110" s="284">
        <f t="shared" si="55"/>
        <v>0</v>
      </c>
      <c r="AN110" s="284">
        <f t="shared" si="56"/>
        <v>0</v>
      </c>
      <c r="AO110" s="284">
        <f t="shared" si="57"/>
        <v>0</v>
      </c>
      <c r="AP110" s="284">
        <f t="shared" si="58"/>
        <v>4656.87</v>
      </c>
      <c r="AQ110" s="284">
        <f t="shared" si="59"/>
        <v>0</v>
      </c>
      <c r="AR110" s="284">
        <f t="shared" si="60"/>
        <v>0</v>
      </c>
      <c r="AS110" s="284">
        <f t="shared" si="61"/>
        <v>0</v>
      </c>
      <c r="AT110" s="284">
        <f t="shared" si="62"/>
        <v>0</v>
      </c>
      <c r="AU110" s="284">
        <f t="shared" si="63"/>
        <v>148189.67000000001</v>
      </c>
      <c r="AV110" s="284">
        <f t="shared" si="64"/>
        <v>0</v>
      </c>
      <c r="AW110" s="321">
        <f t="shared" si="65"/>
        <v>567919.15</v>
      </c>
    </row>
    <row r="111" spans="1:49" ht="12.75" customHeight="1" x14ac:dyDescent="0.2">
      <c r="A111" s="1" t="s">
        <v>709</v>
      </c>
      <c r="B111" s="7">
        <v>49939</v>
      </c>
      <c r="C111" s="7">
        <v>0</v>
      </c>
      <c r="D111" s="2">
        <f>(B111+C111)*0.124</f>
        <v>6192.44</v>
      </c>
      <c r="E111" s="2">
        <f t="shared" si="71"/>
        <v>2447.0100000000002</v>
      </c>
      <c r="F111" s="2">
        <f>(B111+C111)*0.0524</f>
        <v>2616.8000000000002</v>
      </c>
      <c r="G111" s="2">
        <f>+AW111</f>
        <v>4404.62</v>
      </c>
      <c r="H111" s="2">
        <f>(B111+C111)*0.0098</f>
        <v>489.4</v>
      </c>
      <c r="I111" s="2">
        <f>(AB111)*0.0041219</f>
        <v>0</v>
      </c>
      <c r="J111" s="381">
        <f>SUM(D111:I111)</f>
        <v>16150.27</v>
      </c>
      <c r="K111" s="384"/>
      <c r="L111" s="7"/>
      <c r="M111" s="7"/>
      <c r="N111" s="7"/>
      <c r="O111" s="7">
        <v>49939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>
        <f>SUM(L111:AC111)</f>
        <v>49939</v>
      </c>
      <c r="AF111" s="284">
        <f>+M111*$AF$12</f>
        <v>0</v>
      </c>
      <c r="AG111" s="284">
        <f>+N111*$AG$12</f>
        <v>0</v>
      </c>
      <c r="AH111" s="284">
        <f>+O111*$AH$12</f>
        <v>4404.62</v>
      </c>
      <c r="AI111" s="284">
        <f>+P111*$AI$12</f>
        <v>0</v>
      </c>
      <c r="AJ111" s="284">
        <f>+Q111*$AJ$12</f>
        <v>0</v>
      </c>
      <c r="AK111" s="284">
        <f>+R111*$AK$12</f>
        <v>0</v>
      </c>
      <c r="AL111" s="284">
        <f>+S111*$AL$12</f>
        <v>0</v>
      </c>
      <c r="AM111" s="284">
        <f>+T111*$AM$12</f>
        <v>0</v>
      </c>
      <c r="AN111" s="284">
        <f>+U111*$AN$12</f>
        <v>0</v>
      </c>
      <c r="AO111" s="284">
        <f>+V111*$AO$12</f>
        <v>0</v>
      </c>
      <c r="AP111" s="284">
        <f>+W111*$AP$12</f>
        <v>0</v>
      </c>
      <c r="AQ111" s="284">
        <f>+X111*$AQ$12</f>
        <v>0</v>
      </c>
      <c r="AR111" s="284">
        <f>+Y111*$AR$12</f>
        <v>0</v>
      </c>
      <c r="AS111" s="284">
        <f>+Z111*$AS$12</f>
        <v>0</v>
      </c>
      <c r="AT111" s="284">
        <f>+AA111*$AT$12</f>
        <v>0</v>
      </c>
      <c r="AU111" s="284">
        <f>+AB111*$AU$12</f>
        <v>0</v>
      </c>
      <c r="AV111" s="284">
        <f>+AC111*$AV$12</f>
        <v>0</v>
      </c>
      <c r="AW111" s="321">
        <f>SUM(AF111:AV111)</f>
        <v>4404.62</v>
      </c>
    </row>
    <row r="112" spans="1:49" x14ac:dyDescent="0.2">
      <c r="A112" s="1" t="s">
        <v>440</v>
      </c>
      <c r="B112" s="7">
        <v>126244</v>
      </c>
      <c r="C112" s="7">
        <v>0</v>
      </c>
      <c r="D112" s="2">
        <f>(B112+C112)*0.124-0.01</f>
        <v>15654.25</v>
      </c>
      <c r="E112" s="2">
        <f t="shared" ref="E112:E117" si="73">(B112+C112)*0.049</f>
        <v>6185.96</v>
      </c>
      <c r="F112" s="2">
        <f t="shared" ref="F112:F117" si="74">(B112+C112)*0.0524</f>
        <v>6615.19</v>
      </c>
      <c r="G112" s="2">
        <f t="shared" si="46"/>
        <v>11134.72</v>
      </c>
      <c r="H112" s="2">
        <f t="shared" si="67"/>
        <v>1237.19</v>
      </c>
      <c r="I112" s="2">
        <f t="shared" si="47"/>
        <v>142.24</v>
      </c>
      <c r="J112" s="381">
        <f t="shared" si="44"/>
        <v>40969.550000000003</v>
      </c>
      <c r="K112" s="384"/>
      <c r="L112" s="7"/>
      <c r="M112" s="7"/>
      <c r="N112" s="7"/>
      <c r="O112" s="7">
        <v>91735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>
        <v>34509</v>
      </c>
      <c r="AC112" s="7"/>
      <c r="AD112" s="7">
        <f t="shared" si="72"/>
        <v>126244</v>
      </c>
      <c r="AF112" s="284">
        <f t="shared" si="48"/>
        <v>0</v>
      </c>
      <c r="AG112" s="284">
        <f t="shared" si="49"/>
        <v>0</v>
      </c>
      <c r="AH112" s="284">
        <f t="shared" si="50"/>
        <v>8091.03</v>
      </c>
      <c r="AI112" s="284">
        <f t="shared" si="51"/>
        <v>0</v>
      </c>
      <c r="AJ112" s="284">
        <f t="shared" si="52"/>
        <v>0</v>
      </c>
      <c r="AK112" s="284">
        <f t="shared" si="53"/>
        <v>0</v>
      </c>
      <c r="AL112" s="284">
        <f t="shared" si="54"/>
        <v>0</v>
      </c>
      <c r="AM112" s="284">
        <f t="shared" si="55"/>
        <v>0</v>
      </c>
      <c r="AN112" s="284">
        <f t="shared" si="56"/>
        <v>0</v>
      </c>
      <c r="AO112" s="284">
        <f t="shared" si="57"/>
        <v>0</v>
      </c>
      <c r="AP112" s="284">
        <f t="shared" si="58"/>
        <v>0</v>
      </c>
      <c r="AQ112" s="284">
        <f t="shared" si="59"/>
        <v>0</v>
      </c>
      <c r="AR112" s="284">
        <f t="shared" si="60"/>
        <v>0</v>
      </c>
      <c r="AS112" s="284">
        <f t="shared" si="61"/>
        <v>0</v>
      </c>
      <c r="AT112" s="284">
        <f t="shared" si="62"/>
        <v>0</v>
      </c>
      <c r="AU112" s="284">
        <f t="shared" si="63"/>
        <v>3043.69</v>
      </c>
      <c r="AV112" s="284">
        <f t="shared" si="64"/>
        <v>0</v>
      </c>
      <c r="AW112" s="321">
        <f t="shared" si="65"/>
        <v>11134.72</v>
      </c>
    </row>
    <row r="113" spans="1:49" x14ac:dyDescent="0.2">
      <c r="A113" s="1" t="s">
        <v>492</v>
      </c>
      <c r="B113" s="7">
        <v>225</v>
      </c>
      <c r="C113" s="7">
        <v>0</v>
      </c>
      <c r="D113" s="2">
        <f>(B113+C113)*0.124-0.02</f>
        <v>27.88</v>
      </c>
      <c r="E113" s="2">
        <f>(B113+C113)*0.049</f>
        <v>11.03</v>
      </c>
      <c r="F113" s="2">
        <f>(B113+C113)*0.0524</f>
        <v>11.79</v>
      </c>
      <c r="G113" s="2">
        <f t="shared" si="46"/>
        <v>19.850000000000001</v>
      </c>
      <c r="H113" s="2">
        <f t="shared" si="67"/>
        <v>2.21</v>
      </c>
      <c r="I113" s="2">
        <f t="shared" si="47"/>
        <v>0</v>
      </c>
      <c r="J113" s="381">
        <f t="shared" si="44"/>
        <v>72.760000000000005</v>
      </c>
      <c r="K113" s="384"/>
      <c r="L113" s="7"/>
      <c r="M113" s="7"/>
      <c r="N113" s="7"/>
      <c r="O113" s="7">
        <v>225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>
        <f>SUM(L113:AC113)</f>
        <v>225</v>
      </c>
      <c r="AF113" s="284">
        <f t="shared" si="48"/>
        <v>0</v>
      </c>
      <c r="AG113" s="284">
        <f t="shared" si="49"/>
        <v>0</v>
      </c>
      <c r="AH113" s="284">
        <f t="shared" si="50"/>
        <v>19.850000000000001</v>
      </c>
      <c r="AI113" s="284">
        <f t="shared" si="51"/>
        <v>0</v>
      </c>
      <c r="AJ113" s="284">
        <f t="shared" si="52"/>
        <v>0</v>
      </c>
      <c r="AK113" s="284">
        <f t="shared" si="53"/>
        <v>0</v>
      </c>
      <c r="AL113" s="284">
        <f t="shared" si="54"/>
        <v>0</v>
      </c>
      <c r="AM113" s="284">
        <f t="shared" si="55"/>
        <v>0</v>
      </c>
      <c r="AN113" s="284">
        <f t="shared" si="56"/>
        <v>0</v>
      </c>
      <c r="AO113" s="284">
        <f t="shared" si="57"/>
        <v>0</v>
      </c>
      <c r="AP113" s="284">
        <f t="shared" si="58"/>
        <v>0</v>
      </c>
      <c r="AQ113" s="284">
        <f t="shared" si="59"/>
        <v>0</v>
      </c>
      <c r="AR113" s="284">
        <f t="shared" si="60"/>
        <v>0</v>
      </c>
      <c r="AS113" s="284">
        <f t="shared" si="61"/>
        <v>0</v>
      </c>
      <c r="AT113" s="284">
        <f t="shared" si="62"/>
        <v>0</v>
      </c>
      <c r="AU113" s="284">
        <f t="shared" si="63"/>
        <v>0</v>
      </c>
      <c r="AV113" s="284">
        <f t="shared" si="64"/>
        <v>0</v>
      </c>
      <c r="AW113" s="321">
        <f t="shared" si="65"/>
        <v>19.850000000000001</v>
      </c>
    </row>
    <row r="114" spans="1:49" x14ac:dyDescent="0.2">
      <c r="A114" s="1" t="s">
        <v>83</v>
      </c>
      <c r="B114" s="7">
        <v>2842</v>
      </c>
      <c r="C114" s="7">
        <v>22000</v>
      </c>
      <c r="D114" s="2">
        <f>(B114+C114)*0.124-0.01</f>
        <v>3080.4</v>
      </c>
      <c r="E114" s="2">
        <f t="shared" si="73"/>
        <v>1217.26</v>
      </c>
      <c r="F114" s="2">
        <f t="shared" si="74"/>
        <v>1301.72</v>
      </c>
      <c r="G114" s="2">
        <f t="shared" si="46"/>
        <v>2051.81</v>
      </c>
      <c r="H114" s="2">
        <f t="shared" si="67"/>
        <v>243.45</v>
      </c>
      <c r="I114" s="2">
        <f t="shared" si="47"/>
        <v>0</v>
      </c>
      <c r="J114" s="381">
        <f t="shared" si="44"/>
        <v>7894.64</v>
      </c>
      <c r="K114" s="384"/>
      <c r="L114" s="7"/>
      <c r="M114" s="7"/>
      <c r="N114" s="7"/>
      <c r="O114" s="7"/>
      <c r="P114" s="7"/>
      <c r="Q114" s="7">
        <v>2842</v>
      </c>
      <c r="R114" s="7"/>
      <c r="S114" s="7"/>
      <c r="T114" s="7">
        <v>22000</v>
      </c>
      <c r="U114" s="7"/>
      <c r="V114" s="7"/>
      <c r="W114" s="7"/>
      <c r="X114" s="7"/>
      <c r="Y114" s="7"/>
      <c r="Z114" s="7"/>
      <c r="AA114" s="7"/>
      <c r="AB114" s="7"/>
      <c r="AC114" s="7"/>
      <c r="AD114" s="7">
        <f t="shared" si="72"/>
        <v>24842</v>
      </c>
      <c r="AF114" s="284">
        <f t="shared" si="48"/>
        <v>0</v>
      </c>
      <c r="AG114" s="284">
        <f t="shared" si="49"/>
        <v>0</v>
      </c>
      <c r="AH114" s="284">
        <f t="shared" si="50"/>
        <v>0</v>
      </c>
      <c r="AI114" s="284">
        <f t="shared" si="51"/>
        <v>0</v>
      </c>
      <c r="AJ114" s="284">
        <f t="shared" si="52"/>
        <v>111.41</v>
      </c>
      <c r="AK114" s="284">
        <f t="shared" si="53"/>
        <v>0</v>
      </c>
      <c r="AL114" s="284">
        <f t="shared" si="54"/>
        <v>0</v>
      </c>
      <c r="AM114" s="284">
        <f t="shared" si="55"/>
        <v>1940.4</v>
      </c>
      <c r="AN114" s="284">
        <f t="shared" si="56"/>
        <v>0</v>
      </c>
      <c r="AO114" s="284">
        <f t="shared" si="57"/>
        <v>0</v>
      </c>
      <c r="AP114" s="284">
        <f t="shared" si="58"/>
        <v>0</v>
      </c>
      <c r="AQ114" s="284">
        <f t="shared" si="59"/>
        <v>0</v>
      </c>
      <c r="AR114" s="284">
        <f t="shared" si="60"/>
        <v>0</v>
      </c>
      <c r="AS114" s="284">
        <f t="shared" si="61"/>
        <v>0</v>
      </c>
      <c r="AT114" s="284">
        <f t="shared" si="62"/>
        <v>0</v>
      </c>
      <c r="AU114" s="284">
        <f t="shared" si="63"/>
        <v>0</v>
      </c>
      <c r="AV114" s="284">
        <f t="shared" si="64"/>
        <v>0</v>
      </c>
      <c r="AW114" s="321">
        <f t="shared" si="65"/>
        <v>2051.81</v>
      </c>
    </row>
    <row r="115" spans="1:49" x14ac:dyDescent="0.2">
      <c r="A115" s="18" t="s">
        <v>575</v>
      </c>
      <c r="B115" s="246">
        <v>525040</v>
      </c>
      <c r="C115" s="246">
        <v>0</v>
      </c>
      <c r="D115" s="2">
        <f>(B115+C115)*0.124-0.01</f>
        <v>65104.95</v>
      </c>
      <c r="E115" s="78">
        <f>(B115+C115)*0.049</f>
        <v>25726.959999999999</v>
      </c>
      <c r="F115" s="78">
        <f>(B115+C115)*0.0524</f>
        <v>27512.1</v>
      </c>
      <c r="G115" s="2">
        <f t="shared" si="46"/>
        <v>46308.53</v>
      </c>
      <c r="H115" s="2">
        <f t="shared" si="67"/>
        <v>5145.3900000000003</v>
      </c>
      <c r="I115" s="2">
        <f t="shared" si="47"/>
        <v>1126.1199999999999</v>
      </c>
      <c r="J115" s="381">
        <f t="shared" si="44"/>
        <v>170924.05</v>
      </c>
      <c r="K115" s="384"/>
      <c r="L115" s="246"/>
      <c r="M115" s="246"/>
      <c r="N115" s="246"/>
      <c r="O115" s="246">
        <v>251836</v>
      </c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>
        <v>273204</v>
      </c>
      <c r="AC115" s="246"/>
      <c r="AD115" s="246">
        <f>SUM(L115:AC115)</f>
        <v>525040</v>
      </c>
      <c r="AF115" s="284">
        <f t="shared" si="48"/>
        <v>0</v>
      </c>
      <c r="AG115" s="284">
        <f t="shared" si="49"/>
        <v>0</v>
      </c>
      <c r="AH115" s="284">
        <f t="shared" si="50"/>
        <v>22211.94</v>
      </c>
      <c r="AI115" s="284">
        <f t="shared" si="51"/>
        <v>0</v>
      </c>
      <c r="AJ115" s="284">
        <f t="shared" si="52"/>
        <v>0</v>
      </c>
      <c r="AK115" s="284">
        <f t="shared" si="53"/>
        <v>0</v>
      </c>
      <c r="AL115" s="284">
        <f t="shared" si="54"/>
        <v>0</v>
      </c>
      <c r="AM115" s="284">
        <f t="shared" si="55"/>
        <v>0</v>
      </c>
      <c r="AN115" s="284">
        <f t="shared" si="56"/>
        <v>0</v>
      </c>
      <c r="AO115" s="284">
        <f t="shared" si="57"/>
        <v>0</v>
      </c>
      <c r="AP115" s="284">
        <f t="shared" si="58"/>
        <v>0</v>
      </c>
      <c r="AQ115" s="284">
        <f t="shared" si="59"/>
        <v>0</v>
      </c>
      <c r="AR115" s="284">
        <f t="shared" si="60"/>
        <v>0</v>
      </c>
      <c r="AS115" s="284">
        <f t="shared" si="61"/>
        <v>0</v>
      </c>
      <c r="AT115" s="284">
        <f t="shared" si="62"/>
        <v>0</v>
      </c>
      <c r="AU115" s="284">
        <f t="shared" si="63"/>
        <v>24096.59</v>
      </c>
      <c r="AV115" s="284">
        <f t="shared" si="64"/>
        <v>0</v>
      </c>
      <c r="AW115" s="321">
        <f t="shared" si="65"/>
        <v>46308.53</v>
      </c>
    </row>
    <row r="116" spans="1:49" x14ac:dyDescent="0.2">
      <c r="A116" s="18" t="s">
        <v>69</v>
      </c>
      <c r="B116" s="246">
        <v>146238</v>
      </c>
      <c r="C116" s="246">
        <v>0</v>
      </c>
      <c r="D116" s="2">
        <f>(B116+C116)*0.124+0.01</f>
        <v>18133.52</v>
      </c>
      <c r="E116" s="78">
        <f t="shared" si="73"/>
        <v>7165.66</v>
      </c>
      <c r="F116" s="78">
        <f t="shared" si="74"/>
        <v>7662.87</v>
      </c>
      <c r="G116" s="2">
        <f t="shared" si="46"/>
        <v>12898.19</v>
      </c>
      <c r="H116" s="2">
        <f t="shared" si="67"/>
        <v>1433.13</v>
      </c>
      <c r="I116" s="2">
        <f t="shared" si="47"/>
        <v>602.78</v>
      </c>
      <c r="J116" s="381">
        <f>SUM(D116:I116)</f>
        <v>47896.15</v>
      </c>
      <c r="K116" s="384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7">
        <v>146238</v>
      </c>
      <c r="AC116" s="246"/>
      <c r="AD116" s="246">
        <f t="shared" si="72"/>
        <v>146238</v>
      </c>
      <c r="AF116" s="284">
        <f t="shared" si="48"/>
        <v>0</v>
      </c>
      <c r="AG116" s="284">
        <f t="shared" si="49"/>
        <v>0</v>
      </c>
      <c r="AH116" s="284">
        <f t="shared" si="50"/>
        <v>0</v>
      </c>
      <c r="AI116" s="284">
        <f t="shared" si="51"/>
        <v>0</v>
      </c>
      <c r="AJ116" s="284">
        <f t="shared" si="52"/>
        <v>0</v>
      </c>
      <c r="AK116" s="284">
        <f t="shared" si="53"/>
        <v>0</v>
      </c>
      <c r="AL116" s="284">
        <f t="shared" si="54"/>
        <v>0</v>
      </c>
      <c r="AM116" s="284">
        <f t="shared" si="55"/>
        <v>0</v>
      </c>
      <c r="AN116" s="284">
        <f t="shared" si="56"/>
        <v>0</v>
      </c>
      <c r="AO116" s="284">
        <f t="shared" si="57"/>
        <v>0</v>
      </c>
      <c r="AP116" s="284">
        <f t="shared" si="58"/>
        <v>0</v>
      </c>
      <c r="AQ116" s="284">
        <f t="shared" si="59"/>
        <v>0</v>
      </c>
      <c r="AR116" s="284">
        <f t="shared" si="60"/>
        <v>0</v>
      </c>
      <c r="AS116" s="284">
        <f t="shared" si="61"/>
        <v>0</v>
      </c>
      <c r="AT116" s="284">
        <f t="shared" si="62"/>
        <v>0</v>
      </c>
      <c r="AU116" s="284">
        <f t="shared" si="63"/>
        <v>12898.19</v>
      </c>
      <c r="AV116" s="284">
        <f t="shared" si="64"/>
        <v>0</v>
      </c>
      <c r="AW116" s="321">
        <f t="shared" si="65"/>
        <v>12898.19</v>
      </c>
    </row>
    <row r="117" spans="1:49" x14ac:dyDescent="0.2">
      <c r="A117" s="1" t="s">
        <v>70</v>
      </c>
      <c r="B117" s="7">
        <v>220970</v>
      </c>
      <c r="C117" s="7">
        <v>0</v>
      </c>
      <c r="D117" s="2">
        <f>(B117+C117)*0.124</f>
        <v>27400.28</v>
      </c>
      <c r="E117" s="2">
        <f t="shared" si="73"/>
        <v>10827.53</v>
      </c>
      <c r="F117" s="2">
        <f t="shared" si="74"/>
        <v>11578.83</v>
      </c>
      <c r="G117" s="2">
        <f t="shared" si="46"/>
        <v>19360.88</v>
      </c>
      <c r="H117" s="2">
        <f>(B117+C117)*0.0098-0.01</f>
        <v>2165.5</v>
      </c>
      <c r="I117" s="2">
        <f t="shared" si="47"/>
        <v>0</v>
      </c>
      <c r="J117" s="381">
        <f>SUM(D117:I117)</f>
        <v>71333.02</v>
      </c>
      <c r="K117" s="384"/>
      <c r="L117" s="7"/>
      <c r="M117" s="7"/>
      <c r="N117" s="7">
        <v>155695</v>
      </c>
      <c r="O117" s="7"/>
      <c r="P117" s="7"/>
      <c r="Q117" s="7"/>
      <c r="R117" s="7">
        <v>2626</v>
      </c>
      <c r="S117" s="7"/>
      <c r="T117" s="7"/>
      <c r="U117" s="7"/>
      <c r="V117" s="7"/>
      <c r="W117" s="7"/>
      <c r="X117" s="7">
        <v>62649</v>
      </c>
      <c r="Y117" s="7"/>
      <c r="Z117" s="7"/>
      <c r="AA117" s="7"/>
      <c r="AB117" s="7"/>
      <c r="AC117" s="7"/>
      <c r="AD117" s="7">
        <f t="shared" si="72"/>
        <v>220970</v>
      </c>
      <c r="AF117" s="284">
        <f t="shared" si="48"/>
        <v>0</v>
      </c>
      <c r="AG117" s="284">
        <f t="shared" si="49"/>
        <v>13732.3</v>
      </c>
      <c r="AH117" s="284">
        <f t="shared" si="50"/>
        <v>0</v>
      </c>
      <c r="AI117" s="284">
        <f t="shared" si="51"/>
        <v>0</v>
      </c>
      <c r="AJ117" s="284">
        <f t="shared" si="52"/>
        <v>0</v>
      </c>
      <c r="AK117" s="284">
        <f t="shared" si="53"/>
        <v>102.94</v>
      </c>
      <c r="AL117" s="284">
        <f t="shared" si="54"/>
        <v>0</v>
      </c>
      <c r="AM117" s="284">
        <f t="shared" si="55"/>
        <v>0</v>
      </c>
      <c r="AN117" s="284">
        <f t="shared" si="56"/>
        <v>0</v>
      </c>
      <c r="AO117" s="284">
        <f t="shared" si="57"/>
        <v>0</v>
      </c>
      <c r="AP117" s="284">
        <f t="shared" si="58"/>
        <v>0</v>
      </c>
      <c r="AQ117" s="284">
        <f t="shared" si="59"/>
        <v>5525.64</v>
      </c>
      <c r="AR117" s="284">
        <f t="shared" si="60"/>
        <v>0</v>
      </c>
      <c r="AS117" s="284">
        <f t="shared" si="61"/>
        <v>0</v>
      </c>
      <c r="AT117" s="284">
        <f t="shared" si="62"/>
        <v>0</v>
      </c>
      <c r="AU117" s="284">
        <f t="shared" si="63"/>
        <v>0</v>
      </c>
      <c r="AV117" s="284">
        <f t="shared" si="64"/>
        <v>0</v>
      </c>
      <c r="AW117" s="321">
        <f t="shared" si="65"/>
        <v>19360.88</v>
      </c>
    </row>
    <row r="118" spans="1:49" x14ac:dyDescent="0.2">
      <c r="A118" s="1" t="s">
        <v>360</v>
      </c>
      <c r="B118" s="7">
        <v>143346</v>
      </c>
      <c r="C118" s="7">
        <v>0</v>
      </c>
      <c r="D118" s="2">
        <f>(B118+C118)*0.124+0.01</f>
        <v>17774.91</v>
      </c>
      <c r="E118" s="2">
        <f>(B118+C118)*0.049</f>
        <v>7023.95</v>
      </c>
      <c r="F118" s="2">
        <f>(B118+C118)*0.0524</f>
        <v>7511.33</v>
      </c>
      <c r="G118" s="2">
        <f t="shared" si="46"/>
        <v>12643.12</v>
      </c>
      <c r="H118" s="2">
        <f t="shared" si="67"/>
        <v>1404.79</v>
      </c>
      <c r="I118" s="2">
        <f t="shared" si="47"/>
        <v>0</v>
      </c>
      <c r="J118" s="381">
        <f>SUM(D118:I118)</f>
        <v>46358.1</v>
      </c>
      <c r="K118" s="384"/>
      <c r="L118" s="7"/>
      <c r="M118" s="7"/>
      <c r="N118" s="7"/>
      <c r="O118" s="7">
        <v>143346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>
        <f>SUM(L118:AC118)</f>
        <v>143346</v>
      </c>
      <c r="AF118" s="284">
        <f t="shared" si="48"/>
        <v>0</v>
      </c>
      <c r="AG118" s="284">
        <f t="shared" si="49"/>
        <v>0</v>
      </c>
      <c r="AH118" s="284">
        <f t="shared" si="50"/>
        <v>12643.12</v>
      </c>
      <c r="AI118" s="284">
        <f t="shared" si="51"/>
        <v>0</v>
      </c>
      <c r="AJ118" s="284">
        <f t="shared" si="52"/>
        <v>0</v>
      </c>
      <c r="AK118" s="284">
        <f t="shared" si="53"/>
        <v>0</v>
      </c>
      <c r="AL118" s="284">
        <f t="shared" si="54"/>
        <v>0</v>
      </c>
      <c r="AM118" s="284">
        <f t="shared" si="55"/>
        <v>0</v>
      </c>
      <c r="AN118" s="284">
        <f t="shared" si="56"/>
        <v>0</v>
      </c>
      <c r="AO118" s="284">
        <f t="shared" si="57"/>
        <v>0</v>
      </c>
      <c r="AP118" s="284">
        <f t="shared" si="58"/>
        <v>0</v>
      </c>
      <c r="AQ118" s="284">
        <f t="shared" si="59"/>
        <v>0</v>
      </c>
      <c r="AR118" s="284">
        <f t="shared" si="60"/>
        <v>0</v>
      </c>
      <c r="AS118" s="284">
        <f t="shared" si="61"/>
        <v>0</v>
      </c>
      <c r="AT118" s="284">
        <f t="shared" si="62"/>
        <v>0</v>
      </c>
      <c r="AU118" s="284">
        <f t="shared" si="63"/>
        <v>0</v>
      </c>
      <c r="AV118" s="284">
        <f t="shared" si="64"/>
        <v>0</v>
      </c>
      <c r="AW118" s="321">
        <f t="shared" si="65"/>
        <v>12643.12</v>
      </c>
    </row>
    <row r="119" spans="1:49" x14ac:dyDescent="0.2">
      <c r="A119" s="235"/>
      <c r="B119" s="7"/>
      <c r="C119" s="7"/>
      <c r="D119" s="2"/>
      <c r="E119" s="2"/>
      <c r="F119" s="2"/>
      <c r="G119" s="2"/>
      <c r="H119" s="2"/>
      <c r="I119" s="2"/>
      <c r="J119" s="381"/>
      <c r="K119" s="384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F119" s="284"/>
      <c r="AG119" s="284"/>
      <c r="AH119" s="284"/>
      <c r="AI119" s="284"/>
      <c r="AJ119" s="284"/>
      <c r="AK119" s="284"/>
      <c r="AL119" s="284"/>
      <c r="AM119" s="284"/>
      <c r="AN119" s="284"/>
      <c r="AO119" s="284"/>
      <c r="AP119" s="284"/>
      <c r="AQ119" s="284"/>
      <c r="AR119" s="284"/>
      <c r="AS119" s="284"/>
      <c r="AT119" s="284"/>
      <c r="AU119" s="284"/>
      <c r="AV119" s="284"/>
      <c r="AW119" s="321"/>
    </row>
    <row r="120" spans="1:49" ht="13.5" thickBot="1" x14ac:dyDescent="0.25">
      <c r="A120" s="128" t="s">
        <v>71</v>
      </c>
      <c r="B120" s="7">
        <f t="shared" ref="B120:J120" si="75">SUM(B12:B119)</f>
        <v>74858117</v>
      </c>
      <c r="C120" s="7">
        <f t="shared" si="75"/>
        <v>16448410</v>
      </c>
      <c r="D120" s="2">
        <f t="shared" si="75"/>
        <v>11319525.27</v>
      </c>
      <c r="E120" s="2">
        <f t="shared" si="75"/>
        <v>4473050.68</v>
      </c>
      <c r="F120" s="2">
        <f t="shared" si="75"/>
        <v>4783432.29</v>
      </c>
      <c r="G120" s="2">
        <f t="shared" si="75"/>
        <v>7719338.3099999996</v>
      </c>
      <c r="H120" s="2">
        <f t="shared" si="75"/>
        <v>894404.45</v>
      </c>
      <c r="I120" s="2">
        <f t="shared" si="75"/>
        <v>64540.24</v>
      </c>
      <c r="J120" s="382">
        <f t="shared" si="75"/>
        <v>29254291.239999998</v>
      </c>
      <c r="K120" s="295"/>
      <c r="L120" s="114" t="s">
        <v>72</v>
      </c>
      <c r="M120" s="37">
        <f t="shared" ref="M120:AD120" si="76">SUM(M12:M119)</f>
        <v>3355721</v>
      </c>
      <c r="N120" s="37">
        <f t="shared" si="76"/>
        <v>862117</v>
      </c>
      <c r="O120" s="37">
        <f t="shared" si="76"/>
        <v>60047513</v>
      </c>
      <c r="P120" s="37">
        <f t="shared" si="76"/>
        <v>2231254</v>
      </c>
      <c r="Q120" s="37">
        <f t="shared" si="76"/>
        <v>2347307</v>
      </c>
      <c r="R120" s="37">
        <f t="shared" si="76"/>
        <v>45826</v>
      </c>
      <c r="S120" s="37">
        <f t="shared" si="76"/>
        <v>108184</v>
      </c>
      <c r="T120" s="37">
        <f t="shared" si="76"/>
        <v>1200152</v>
      </c>
      <c r="U120" s="37">
        <f t="shared" si="76"/>
        <v>350896</v>
      </c>
      <c r="V120" s="37">
        <f t="shared" si="76"/>
        <v>140365</v>
      </c>
      <c r="W120" s="37">
        <f t="shared" si="76"/>
        <v>1822757</v>
      </c>
      <c r="X120" s="37">
        <f t="shared" si="76"/>
        <v>257947</v>
      </c>
      <c r="Y120" s="37">
        <f t="shared" si="76"/>
        <v>1889749</v>
      </c>
      <c r="Z120" s="37">
        <f t="shared" si="76"/>
        <v>304247</v>
      </c>
      <c r="AA120" s="37">
        <f t="shared" si="76"/>
        <v>36529</v>
      </c>
      <c r="AB120" s="37">
        <f t="shared" si="76"/>
        <v>15677316</v>
      </c>
      <c r="AC120" s="37">
        <f t="shared" si="76"/>
        <v>629122</v>
      </c>
      <c r="AD120" s="37">
        <f t="shared" si="76"/>
        <v>91307002</v>
      </c>
      <c r="AF120" s="322">
        <f t="shared" ref="AF120:AW120" si="77">SUM(AF14:AF119)</f>
        <v>295974.59000000003</v>
      </c>
      <c r="AG120" s="322">
        <f t="shared" si="77"/>
        <v>76038.73</v>
      </c>
      <c r="AH120" s="322">
        <f t="shared" si="77"/>
        <v>5295696.54</v>
      </c>
      <c r="AI120" s="322">
        <f t="shared" si="77"/>
        <v>87465.16</v>
      </c>
      <c r="AJ120" s="322">
        <f t="shared" si="77"/>
        <v>92006.56</v>
      </c>
      <c r="AK120" s="322">
        <f t="shared" si="77"/>
        <v>1796.38</v>
      </c>
      <c r="AL120" s="322">
        <f t="shared" si="77"/>
        <v>4240.82</v>
      </c>
      <c r="AM120" s="322">
        <f t="shared" si="77"/>
        <v>105853.41</v>
      </c>
      <c r="AN120" s="322">
        <f t="shared" si="77"/>
        <v>28974.560000000001</v>
      </c>
      <c r="AO120" s="322">
        <f t="shared" si="77"/>
        <v>5502.32</v>
      </c>
      <c r="AP120" s="322">
        <f t="shared" si="77"/>
        <v>160767.16</v>
      </c>
      <c r="AQ120" s="322">
        <f t="shared" si="77"/>
        <v>22750.94</v>
      </c>
      <c r="AR120" s="322">
        <f t="shared" si="77"/>
        <v>74078.17</v>
      </c>
      <c r="AS120" s="322">
        <f t="shared" si="77"/>
        <v>26834.6</v>
      </c>
      <c r="AT120" s="322">
        <f t="shared" si="77"/>
        <v>1431.94</v>
      </c>
      <c r="AU120" s="322">
        <f t="shared" si="77"/>
        <v>1382180.1</v>
      </c>
      <c r="AV120" s="322">
        <f t="shared" si="77"/>
        <v>54984.79</v>
      </c>
      <c r="AW120" s="322">
        <f t="shared" si="77"/>
        <v>7716576.7699999996</v>
      </c>
    </row>
    <row r="121" spans="1:49" x14ac:dyDescent="0.2">
      <c r="A121" s="128" t="s">
        <v>73</v>
      </c>
      <c r="B121" s="7">
        <f>C120</f>
        <v>16448410</v>
      </c>
      <c r="C121" s="7"/>
      <c r="D121" s="2"/>
      <c r="E121" s="2"/>
      <c r="F121" s="2"/>
      <c r="G121" s="2"/>
      <c r="H121" s="2"/>
      <c r="I121" s="2"/>
      <c r="J121" s="382"/>
      <c r="K121" s="295"/>
      <c r="L121" s="7"/>
      <c r="M121" s="7"/>
      <c r="N121" s="7"/>
      <c r="O121" s="7"/>
      <c r="P121" s="7"/>
      <c r="Q121" s="7"/>
      <c r="R121" s="7"/>
      <c r="S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W121" s="321"/>
    </row>
    <row r="122" spans="1:49" ht="13.5" thickBot="1" x14ac:dyDescent="0.25">
      <c r="A122" s="129" t="s">
        <v>12</v>
      </c>
      <c r="B122" s="34">
        <f>B120+B121</f>
        <v>91306527</v>
      </c>
      <c r="C122" s="35"/>
      <c r="D122" s="36">
        <f t="shared" ref="D122:J122" si="78">D120</f>
        <v>11319525.27</v>
      </c>
      <c r="E122" s="36">
        <f t="shared" si="78"/>
        <v>4473050.68</v>
      </c>
      <c r="F122" s="36">
        <f t="shared" si="78"/>
        <v>4783432.29</v>
      </c>
      <c r="G122" s="36">
        <f t="shared" si="78"/>
        <v>7719338.3099999996</v>
      </c>
      <c r="H122" s="36">
        <f t="shared" si="78"/>
        <v>894404.45</v>
      </c>
      <c r="I122" s="36">
        <f t="shared" si="78"/>
        <v>64540.24</v>
      </c>
      <c r="J122" s="383">
        <f t="shared" si="78"/>
        <v>29254291.239999998</v>
      </c>
      <c r="K122" s="389"/>
      <c r="L122" s="23" t="s">
        <v>74</v>
      </c>
      <c r="M122" s="8">
        <f>M120*0.0882</f>
        <v>295974.59000000003</v>
      </c>
      <c r="N122" s="8">
        <f>N120*0.0882</f>
        <v>76038.720000000001</v>
      </c>
      <c r="O122" s="8">
        <f>O120*0.0882</f>
        <v>5296190.6500000004</v>
      </c>
      <c r="P122" s="8">
        <f>P120*0.0392</f>
        <v>87465.16</v>
      </c>
      <c r="Q122" s="8">
        <f>Q120*0.0392</f>
        <v>92014.43</v>
      </c>
      <c r="R122" s="8">
        <f>R120*0.0392</f>
        <v>1796.38</v>
      </c>
      <c r="S122" s="8">
        <f>S120*0.0392</f>
        <v>4240.8100000000004</v>
      </c>
      <c r="T122" s="8">
        <f>T120*0.0882</f>
        <v>105853.41</v>
      </c>
      <c r="U122" s="8">
        <f>U120*0.0882</f>
        <v>30949.03</v>
      </c>
      <c r="V122" s="8">
        <f>V120*0.0392</f>
        <v>5502.31</v>
      </c>
      <c r="W122" s="8">
        <f>W120*0.0882</f>
        <v>160767.17000000001</v>
      </c>
      <c r="X122" s="8">
        <f>X120*0.0882</f>
        <v>22750.93</v>
      </c>
      <c r="Y122" s="8">
        <f>Y120*0.0392</f>
        <v>74078.16</v>
      </c>
      <c r="Z122" s="8">
        <f>Z120*0.0882</f>
        <v>26834.59</v>
      </c>
      <c r="AA122" s="8">
        <f>AA120*0.0392</f>
        <v>1431.94</v>
      </c>
      <c r="AB122" s="8">
        <f>AB120*0.0882</f>
        <v>1382739.27</v>
      </c>
      <c r="AC122" s="8">
        <f>AC120*0.0882</f>
        <v>55488.56</v>
      </c>
      <c r="AW122" s="321"/>
    </row>
    <row r="123" spans="1:49" hidden="1" x14ac:dyDescent="0.2">
      <c r="A123" s="1"/>
      <c r="B123" s="7" t="s">
        <v>499</v>
      </c>
      <c r="C123" s="1"/>
      <c r="D123" s="1"/>
      <c r="E123" s="1"/>
      <c r="F123" s="1"/>
      <c r="G123" s="1"/>
      <c r="H123" s="1"/>
      <c r="I123" s="1"/>
      <c r="J123" s="1"/>
      <c r="K123" s="293"/>
      <c r="L123" s="22" t="s">
        <v>75</v>
      </c>
      <c r="M123" s="8">
        <f t="shared" ref="M123:V123" si="79">M120*0.0098</f>
        <v>32886.07</v>
      </c>
      <c r="N123" s="8">
        <f t="shared" si="79"/>
        <v>8448.75</v>
      </c>
      <c r="O123" s="8">
        <f t="shared" si="79"/>
        <v>588465.63</v>
      </c>
      <c r="P123" s="8">
        <f t="shared" si="79"/>
        <v>21866.29</v>
      </c>
      <c r="Q123" s="8">
        <f t="shared" si="79"/>
        <v>23003.61</v>
      </c>
      <c r="R123" s="8">
        <f t="shared" si="79"/>
        <v>449.09</v>
      </c>
      <c r="S123" s="8">
        <f t="shared" si="79"/>
        <v>1060.2</v>
      </c>
      <c r="T123" s="8">
        <f t="shared" si="79"/>
        <v>11761.49</v>
      </c>
      <c r="U123" s="8">
        <f t="shared" si="79"/>
        <v>3438.78</v>
      </c>
      <c r="V123" s="8">
        <f t="shared" si="79"/>
        <v>1375.58</v>
      </c>
      <c r="W123" s="8">
        <f t="shared" ref="W123:AC123" si="80">W120*0.0098</f>
        <v>17863.02</v>
      </c>
      <c r="X123" s="8">
        <f t="shared" si="80"/>
        <v>2527.88</v>
      </c>
      <c r="Y123" s="8">
        <f t="shared" si="80"/>
        <v>18519.54</v>
      </c>
      <c r="Z123" s="8">
        <f t="shared" si="80"/>
        <v>2981.62</v>
      </c>
      <c r="AA123" s="8">
        <f t="shared" si="80"/>
        <v>357.98</v>
      </c>
      <c r="AB123" s="8">
        <f t="shared" si="80"/>
        <v>153637.70000000001</v>
      </c>
      <c r="AC123" s="8">
        <f t="shared" si="80"/>
        <v>6165.4</v>
      </c>
      <c r="AW123" s="321"/>
    </row>
    <row r="124" spans="1:49" hidden="1" x14ac:dyDescent="0.2">
      <c r="A124" s="1"/>
      <c r="B124" s="1"/>
      <c r="C124" s="1"/>
      <c r="D124" s="1"/>
      <c r="E124" s="1"/>
      <c r="F124" s="1"/>
      <c r="G124" s="24" t="s">
        <v>76</v>
      </c>
      <c r="H124" s="2">
        <v>0</v>
      </c>
      <c r="I124" s="2"/>
      <c r="J124" s="2">
        <f>'s6,s6a'!K28</f>
        <v>8141.2</v>
      </c>
      <c r="K124" s="295"/>
      <c r="L124" s="313" t="s">
        <v>663</v>
      </c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314"/>
      <c r="Z124" s="314"/>
      <c r="AA124" s="314"/>
      <c r="AB124" s="8">
        <f>AB120*0.0041219</f>
        <v>64620.33</v>
      </c>
      <c r="AC124" s="314"/>
    </row>
    <row r="125" spans="1:49" hidden="1" x14ac:dyDescent="0.2">
      <c r="A125" s="1"/>
      <c r="B125" s="1"/>
      <c r="C125" s="1"/>
      <c r="D125" s="1"/>
      <c r="E125" s="1"/>
      <c r="F125" s="2"/>
      <c r="H125" s="1"/>
      <c r="I125" s="1"/>
      <c r="J125" s="2"/>
      <c r="K125" s="295"/>
    </row>
    <row r="126" spans="1:49" hidden="1" x14ac:dyDescent="0.2">
      <c r="A126" s="1"/>
      <c r="B126" s="1"/>
      <c r="C126" s="1"/>
      <c r="D126" s="1"/>
      <c r="E126" s="1"/>
      <c r="F126" s="1"/>
      <c r="G126" s="5" t="s">
        <v>77</v>
      </c>
      <c r="H126" s="1"/>
      <c r="I126" s="1"/>
      <c r="J126" s="280">
        <f>20576008.24+8678283</f>
        <v>29254291.239999998</v>
      </c>
      <c r="K126" s="390"/>
      <c r="L126" t="s">
        <v>571</v>
      </c>
      <c r="M126" s="8">
        <v>328860.65999999997</v>
      </c>
      <c r="N126" s="8">
        <v>84487.48</v>
      </c>
      <c r="O126" s="279">
        <v>5884233.1200000001</v>
      </c>
      <c r="P126" s="8">
        <v>109331.46</v>
      </c>
      <c r="Q126" s="8">
        <v>115008.22</v>
      </c>
      <c r="R126" s="8">
        <v>2245.48</v>
      </c>
      <c r="S126" s="8">
        <v>5301.03</v>
      </c>
      <c r="T126" s="8">
        <v>117489.75</v>
      </c>
      <c r="U126" s="8">
        <v>34819.79</v>
      </c>
      <c r="V126" s="8">
        <v>6877.9</v>
      </c>
      <c r="W126" s="8">
        <v>178630.19</v>
      </c>
      <c r="X126" s="8">
        <v>25278.81</v>
      </c>
      <c r="Y126" s="279">
        <v>92597.71</v>
      </c>
      <c r="Z126" s="8">
        <v>29816.22</v>
      </c>
      <c r="AA126" s="8">
        <v>1789.93</v>
      </c>
      <c r="AB126" s="8">
        <v>1535755.67</v>
      </c>
      <c r="AC126" s="8">
        <v>60467.59</v>
      </c>
      <c r="AD126" s="8"/>
      <c r="AE126" s="8"/>
    </row>
    <row r="127" spans="1:49" hidden="1" x14ac:dyDescent="0.2">
      <c r="A127" s="1"/>
      <c r="B127" s="1"/>
      <c r="C127" s="1"/>
      <c r="D127" s="1"/>
      <c r="E127" s="1"/>
      <c r="F127" s="1"/>
      <c r="H127" s="1"/>
      <c r="I127" s="1"/>
      <c r="J127" s="2"/>
      <c r="K127" s="295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14"/>
      <c r="Z127" s="314"/>
      <c r="AA127" s="317" t="s">
        <v>668</v>
      </c>
      <c r="AB127" s="8">
        <v>64540.24</v>
      </c>
      <c r="AC127" s="314"/>
    </row>
    <row r="128" spans="1:49" hidden="1" x14ac:dyDescent="0.2">
      <c r="A128" s="1"/>
      <c r="B128" s="1"/>
      <c r="C128" s="1"/>
      <c r="D128" s="1"/>
      <c r="E128" s="1">
        <f>ST12.65+_ST5+ST5.35</f>
        <v>20576008.239999998</v>
      </c>
      <c r="F128" s="1"/>
      <c r="G128" s="5" t="s">
        <v>78</v>
      </c>
      <c r="H128" s="1"/>
      <c r="I128" s="1"/>
      <c r="J128" s="2">
        <f>+J122+J124-J126</f>
        <v>8141.2</v>
      </c>
      <c r="K128" s="295"/>
      <c r="L128" s="7" t="s">
        <v>308</v>
      </c>
      <c r="M128" s="8">
        <f>M122+M123-M126</f>
        <v>0</v>
      </c>
      <c r="N128" s="8">
        <f t="shared" ref="N128:AC128" si="81">N122+N123-N126</f>
        <v>-0.01</v>
      </c>
      <c r="O128" s="8">
        <f t="shared" si="81"/>
        <v>423.16</v>
      </c>
      <c r="P128" s="8">
        <f t="shared" si="81"/>
        <v>-0.01</v>
      </c>
      <c r="Q128" s="8">
        <f t="shared" si="81"/>
        <v>9.82</v>
      </c>
      <c r="R128" s="8">
        <f t="shared" si="81"/>
        <v>-0.01</v>
      </c>
      <c r="S128" s="8">
        <f t="shared" si="81"/>
        <v>-0.02</v>
      </c>
      <c r="T128" s="8">
        <f t="shared" si="81"/>
        <v>125.15</v>
      </c>
      <c r="U128" s="8">
        <f t="shared" si="81"/>
        <v>-431.98</v>
      </c>
      <c r="V128" s="8">
        <f t="shared" si="81"/>
        <v>-0.01</v>
      </c>
      <c r="W128" s="8">
        <f t="shared" si="81"/>
        <v>0</v>
      </c>
      <c r="X128" s="8">
        <f t="shared" si="81"/>
        <v>0</v>
      </c>
      <c r="Y128" s="8">
        <f t="shared" si="81"/>
        <v>-0.01</v>
      </c>
      <c r="Z128" s="8">
        <f t="shared" si="81"/>
        <v>-0.01</v>
      </c>
      <c r="AA128" s="8">
        <f t="shared" si="81"/>
        <v>-0.01</v>
      </c>
      <c r="AB128" s="8">
        <f t="shared" si="81"/>
        <v>621.29999999999995</v>
      </c>
      <c r="AC128" s="8">
        <f t="shared" si="81"/>
        <v>1186.3699999999999</v>
      </c>
    </row>
    <row r="129" spans="1:31" hidden="1" x14ac:dyDescent="0.2">
      <c r="A129" s="1"/>
      <c r="B129" s="1"/>
      <c r="C129" s="1"/>
      <c r="D129" s="1" t="s">
        <v>498</v>
      </c>
      <c r="E129" s="1">
        <v>20576008.239999998</v>
      </c>
      <c r="F129" s="1"/>
      <c r="G129" s="1"/>
      <c r="H129" s="1"/>
      <c r="I129" s="1"/>
      <c r="J129" s="1"/>
      <c r="K129" s="293"/>
      <c r="L129" s="7"/>
      <c r="AA129" s="316" t="s">
        <v>667</v>
      </c>
      <c r="AB129" s="8">
        <f>+AB124-AB127</f>
        <v>80.09</v>
      </c>
    </row>
    <row r="130" spans="1:31" hidden="1" x14ac:dyDescent="0.2">
      <c r="E130" s="223">
        <f>E128-E129</f>
        <v>0</v>
      </c>
      <c r="G130" s="11"/>
      <c r="H130" s="11"/>
      <c r="I130" s="11"/>
      <c r="O130" s="265" t="s">
        <v>733</v>
      </c>
      <c r="P130" s="265"/>
      <c r="Q130" s="265" t="s">
        <v>716</v>
      </c>
      <c r="R130" s="265"/>
      <c r="U130" s="265" t="s">
        <v>732</v>
      </c>
      <c r="V130" s="265"/>
      <c r="AD130" s="265" t="s">
        <v>730</v>
      </c>
      <c r="AE130" s="265"/>
    </row>
    <row r="131" spans="1:31" hidden="1" x14ac:dyDescent="0.2">
      <c r="G131" s="11"/>
      <c r="O131" s="265" t="s">
        <v>734</v>
      </c>
      <c r="P131" s="265"/>
      <c r="Q131" s="265" t="s">
        <v>715</v>
      </c>
      <c r="R131" s="265"/>
      <c r="U131" s="265" t="s">
        <v>707</v>
      </c>
      <c r="V131" s="265"/>
      <c r="Z131" s="265" t="s">
        <v>737</v>
      </c>
      <c r="AA131" s="265"/>
      <c r="AB131">
        <v>4.2059999999999997E-3</v>
      </c>
      <c r="AC131" t="s">
        <v>664</v>
      </c>
      <c r="AD131" s="265" t="s">
        <v>731</v>
      </c>
      <c r="AE131" s="265"/>
    </row>
    <row r="132" spans="1:31" hidden="1" x14ac:dyDescent="0.2">
      <c r="Z132" s="265" t="s">
        <v>738</v>
      </c>
      <c r="AA132" s="265"/>
      <c r="AB132">
        <f>0.004206*2%</f>
        <v>8.4120000000000001E-5</v>
      </c>
      <c r="AC132" t="s">
        <v>665</v>
      </c>
    </row>
    <row r="133" spans="1:31" hidden="1" x14ac:dyDescent="0.2">
      <c r="AB133" s="315">
        <f>+AB131-AB132</f>
        <v>4.1219000000000004E-3</v>
      </c>
      <c r="AC133" t="s">
        <v>666</v>
      </c>
    </row>
    <row r="134" spans="1:31" hidden="1" x14ac:dyDescent="0.2"/>
    <row r="135" spans="1:31" hidden="1" x14ac:dyDescent="0.2">
      <c r="G135" t="s">
        <v>81</v>
      </c>
    </row>
    <row r="136" spans="1:31" hidden="1" x14ac:dyDescent="0.2">
      <c r="H136" s="11"/>
      <c r="I136" s="11"/>
    </row>
    <row r="137" spans="1:31" hidden="1" x14ac:dyDescent="0.2"/>
    <row r="138" spans="1:31" hidden="1" x14ac:dyDescent="0.2">
      <c r="H138" s="11"/>
      <c r="I138" s="11"/>
    </row>
    <row r="139" spans="1:31" hidden="1" x14ac:dyDescent="0.2"/>
    <row r="140" spans="1:31" hidden="1" x14ac:dyDescent="0.2"/>
    <row r="141" spans="1:31" hidden="1" x14ac:dyDescent="0.2"/>
    <row r="142" spans="1:31" hidden="1" x14ac:dyDescent="0.2"/>
    <row r="143" spans="1:31" hidden="1" x14ac:dyDescent="0.2"/>
    <row r="144" spans="1:31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</sheetData>
  <mergeCells count="1">
    <mergeCell ref="AF10:AV10"/>
  </mergeCells>
  <phoneticPr fontId="0" type="noConversion"/>
  <printOptions horizontalCentered="1"/>
  <pageMargins left="0.25" right="0.25" top="0.5" bottom="0.5" header="0.25" footer="0.25"/>
  <pageSetup scale="55" fitToHeight="3" orientation="landscape" r:id="rId1"/>
  <headerFooter alignWithMargins="0">
    <oddFooter>&amp;CPage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230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5" sqref="A5"/>
    </sheetView>
  </sheetViews>
  <sheetFormatPr defaultRowHeight="12.75" x14ac:dyDescent="0.2"/>
  <cols>
    <col min="1" max="1" width="30.7109375" customWidth="1"/>
    <col min="2" max="3" width="15.28515625" customWidth="1"/>
    <col min="4" max="4" width="15.42578125" customWidth="1"/>
    <col min="5" max="6" width="15.28515625" customWidth="1"/>
  </cols>
  <sheetData>
    <row r="1" spans="1:6" ht="15.75" x14ac:dyDescent="0.25">
      <c r="A1" s="63" t="s">
        <v>202</v>
      </c>
    </row>
    <row r="2" spans="1:6" ht="15.75" x14ac:dyDescent="0.25">
      <c r="A2" s="112" t="str">
        <f>ReportMonth</f>
        <v>JUNE 2004</v>
      </c>
      <c r="B2" s="1"/>
      <c r="C2" s="1"/>
      <c r="D2" s="1"/>
      <c r="E2" s="1"/>
    </row>
    <row r="3" spans="1:6" s="85" customFormat="1" ht="15.75" x14ac:dyDescent="0.25">
      <c r="A3" s="66" t="s">
        <v>203</v>
      </c>
      <c r="B3" s="66"/>
      <c r="C3" s="43"/>
      <c r="D3" s="42"/>
      <c r="E3" s="43"/>
      <c r="F3" s="43"/>
    </row>
    <row r="4" spans="1:6" ht="15.75" x14ac:dyDescent="0.25">
      <c r="A4" s="42" t="s">
        <v>204</v>
      </c>
      <c r="B4" s="67"/>
      <c r="C4" s="43"/>
      <c r="D4" s="43"/>
      <c r="E4" s="43"/>
      <c r="F4" s="43"/>
    </row>
    <row r="6" spans="1:6" x14ac:dyDescent="0.2">
      <c r="A6" s="1"/>
      <c r="B6" s="1"/>
      <c r="C6" s="1"/>
      <c r="D6" s="1"/>
      <c r="E6" s="119" t="s">
        <v>205</v>
      </c>
    </row>
    <row r="7" spans="1:6" x14ac:dyDescent="0.2">
      <c r="A7" s="1"/>
      <c r="B7" s="1"/>
      <c r="C7" s="119" t="s">
        <v>163</v>
      </c>
      <c r="D7" s="119" t="s">
        <v>205</v>
      </c>
      <c r="E7" s="119" t="s">
        <v>163</v>
      </c>
      <c r="F7" s="130" t="s">
        <v>206</v>
      </c>
    </row>
    <row r="8" spans="1:6" x14ac:dyDescent="0.2">
      <c r="A8" s="109" t="s">
        <v>13</v>
      </c>
      <c r="B8" s="97" t="s">
        <v>207</v>
      </c>
      <c r="C8" s="97" t="s">
        <v>127</v>
      </c>
      <c r="D8" s="97" t="s">
        <v>207</v>
      </c>
      <c r="E8" s="97" t="s">
        <v>208</v>
      </c>
      <c r="F8" s="61" t="s">
        <v>72</v>
      </c>
    </row>
    <row r="9" spans="1:6" x14ac:dyDescent="0.2">
      <c r="A9" s="1"/>
      <c r="B9" s="39"/>
      <c r="C9" s="39"/>
      <c r="D9" s="39"/>
      <c r="E9" s="39"/>
    </row>
    <row r="10" spans="1:6" ht="13.5" customHeight="1" x14ac:dyDescent="0.2">
      <c r="A10" s="1" t="s">
        <v>209</v>
      </c>
      <c r="B10" s="7">
        <v>380269</v>
      </c>
      <c r="C10" s="2">
        <f t="shared" ref="C10:C35" si="0">B10*0.0098</f>
        <v>3726.64</v>
      </c>
      <c r="D10" s="7">
        <v>361481</v>
      </c>
      <c r="E10" s="2">
        <f>D10*0.02</f>
        <v>7229.62</v>
      </c>
      <c r="F10" s="11">
        <f>C10+E10</f>
        <v>10956.26</v>
      </c>
    </row>
    <row r="11" spans="1:6" x14ac:dyDescent="0.2">
      <c r="A11" s="1" t="s">
        <v>210</v>
      </c>
      <c r="B11" s="7">
        <v>6570474</v>
      </c>
      <c r="C11" s="2">
        <f t="shared" si="0"/>
        <v>64390.65</v>
      </c>
      <c r="D11" s="7">
        <v>6342413</v>
      </c>
      <c r="E11" s="2">
        <f t="shared" ref="E11:E30" si="1">D11*0.02</f>
        <v>126848.26</v>
      </c>
      <c r="F11" s="11">
        <f t="shared" ref="F11:F28" si="2">C11+E11</f>
        <v>191238.91</v>
      </c>
    </row>
    <row r="12" spans="1:6" x14ac:dyDescent="0.2">
      <c r="A12" s="1" t="s">
        <v>610</v>
      </c>
      <c r="B12" s="7">
        <v>2291856</v>
      </c>
      <c r="C12" s="2">
        <f>B12*0.0098</f>
        <v>22460.19</v>
      </c>
      <c r="D12" s="7">
        <v>1804656</v>
      </c>
      <c r="E12" s="2">
        <f>D12*0.02</f>
        <v>36093.120000000003</v>
      </c>
      <c r="F12" s="11">
        <f>C12+E12</f>
        <v>58553.31</v>
      </c>
    </row>
    <row r="13" spans="1:6" x14ac:dyDescent="0.2">
      <c r="A13" s="1" t="s">
        <v>211</v>
      </c>
      <c r="B13" s="7">
        <v>389629</v>
      </c>
      <c r="C13" s="2">
        <f>B13*0.0098-0.01</f>
        <v>3818.35</v>
      </c>
      <c r="D13" s="7">
        <v>229490</v>
      </c>
      <c r="E13" s="2">
        <f t="shared" si="1"/>
        <v>4589.8</v>
      </c>
      <c r="F13" s="11">
        <f t="shared" si="2"/>
        <v>8408.15</v>
      </c>
    </row>
    <row r="14" spans="1:6" s="20" customFormat="1" x14ac:dyDescent="0.2">
      <c r="A14" s="18" t="s">
        <v>452</v>
      </c>
      <c r="B14" s="246">
        <v>1972628</v>
      </c>
      <c r="C14" s="2">
        <f t="shared" si="0"/>
        <v>19331.75</v>
      </c>
      <c r="D14" s="7">
        <v>1972628</v>
      </c>
      <c r="E14" s="78">
        <f t="shared" si="1"/>
        <v>39452.559999999998</v>
      </c>
      <c r="F14" s="247">
        <f>C14+E14</f>
        <v>58784.31</v>
      </c>
    </row>
    <row r="15" spans="1:6" x14ac:dyDescent="0.2">
      <c r="A15" s="1" t="s">
        <v>212</v>
      </c>
      <c r="B15" s="7">
        <v>4378343</v>
      </c>
      <c r="C15" s="2">
        <f t="shared" si="0"/>
        <v>42907.76</v>
      </c>
      <c r="D15" s="7">
        <v>3353711</v>
      </c>
      <c r="E15" s="2">
        <f t="shared" si="1"/>
        <v>67074.22</v>
      </c>
      <c r="F15" s="11">
        <f t="shared" si="2"/>
        <v>109981.98</v>
      </c>
    </row>
    <row r="16" spans="1:6" x14ac:dyDescent="0.2">
      <c r="A16" s="1" t="s">
        <v>606</v>
      </c>
      <c r="B16" s="7">
        <v>559921</v>
      </c>
      <c r="C16" s="2">
        <f t="shared" si="0"/>
        <v>5487.23</v>
      </c>
      <c r="D16" s="7">
        <v>559921</v>
      </c>
      <c r="E16" s="2">
        <f t="shared" si="1"/>
        <v>11198.42</v>
      </c>
      <c r="F16" s="11">
        <f>C16+E16</f>
        <v>16685.650000000001</v>
      </c>
    </row>
    <row r="17" spans="1:6" x14ac:dyDescent="0.2">
      <c r="A17" s="1" t="s">
        <v>213</v>
      </c>
      <c r="B17" s="7">
        <v>2343768</v>
      </c>
      <c r="C17" s="2">
        <f t="shared" si="0"/>
        <v>22968.93</v>
      </c>
      <c r="D17" s="7">
        <v>2192064</v>
      </c>
      <c r="E17" s="2">
        <f t="shared" si="1"/>
        <v>43841.279999999999</v>
      </c>
      <c r="F17" s="11">
        <f t="shared" si="2"/>
        <v>66810.210000000006</v>
      </c>
    </row>
    <row r="18" spans="1:6" x14ac:dyDescent="0.2">
      <c r="A18" s="1" t="s">
        <v>214</v>
      </c>
      <c r="B18" s="7">
        <v>2496732</v>
      </c>
      <c r="C18" s="2">
        <f t="shared" si="0"/>
        <v>24467.97</v>
      </c>
      <c r="D18" s="7">
        <v>2496732</v>
      </c>
      <c r="E18" s="2">
        <f t="shared" si="1"/>
        <v>49934.64</v>
      </c>
      <c r="F18" s="11">
        <f t="shared" si="2"/>
        <v>74402.61</v>
      </c>
    </row>
    <row r="19" spans="1:6" x14ac:dyDescent="0.2">
      <c r="A19" s="1" t="s">
        <v>589</v>
      </c>
      <c r="B19" s="7">
        <v>354048</v>
      </c>
      <c r="C19" s="2">
        <f>B19*0.0098</f>
        <v>3469.67</v>
      </c>
      <c r="D19" s="7">
        <v>341520</v>
      </c>
      <c r="E19" s="2">
        <f>D19*0.02</f>
        <v>6830.4</v>
      </c>
      <c r="F19" s="11">
        <f>C19+E19</f>
        <v>10300.07</v>
      </c>
    </row>
    <row r="20" spans="1:6" x14ac:dyDescent="0.2">
      <c r="A20" s="1" t="s">
        <v>460</v>
      </c>
      <c r="B20" s="7">
        <v>93786</v>
      </c>
      <c r="C20" s="2">
        <f t="shared" si="0"/>
        <v>919.1</v>
      </c>
      <c r="D20" s="7">
        <v>0</v>
      </c>
      <c r="E20" s="2">
        <f t="shared" si="1"/>
        <v>0</v>
      </c>
      <c r="F20" s="11">
        <f>C20+E20</f>
        <v>919.1</v>
      </c>
    </row>
    <row r="21" spans="1:6" x14ac:dyDescent="0.2">
      <c r="A21" s="1" t="s">
        <v>351</v>
      </c>
      <c r="B21" s="7">
        <v>7897</v>
      </c>
      <c r="C21" s="2">
        <f t="shared" si="0"/>
        <v>77.39</v>
      </c>
      <c r="D21" s="7">
        <v>7897</v>
      </c>
      <c r="E21" s="2">
        <f t="shared" si="1"/>
        <v>157.94</v>
      </c>
      <c r="F21" s="11">
        <f>C21+E21</f>
        <v>235.33</v>
      </c>
    </row>
    <row r="22" spans="1:6" x14ac:dyDescent="0.2">
      <c r="A22" s="1" t="s">
        <v>461</v>
      </c>
      <c r="B22" s="7">
        <v>104717</v>
      </c>
      <c r="C22" s="2">
        <f t="shared" si="0"/>
        <v>1026.23</v>
      </c>
      <c r="D22" s="7">
        <v>66806</v>
      </c>
      <c r="E22" s="2">
        <f t="shared" si="1"/>
        <v>1336.12</v>
      </c>
      <c r="F22" s="247">
        <f t="shared" si="2"/>
        <v>2362.35</v>
      </c>
    </row>
    <row r="23" spans="1:6" s="20" customFormat="1" x14ac:dyDescent="0.2">
      <c r="A23" s="18" t="s">
        <v>215</v>
      </c>
      <c r="B23" s="246">
        <v>2070506</v>
      </c>
      <c r="C23" s="2">
        <f t="shared" si="0"/>
        <v>20290.96</v>
      </c>
      <c r="D23" s="7">
        <v>1925720</v>
      </c>
      <c r="E23" s="78">
        <f t="shared" si="1"/>
        <v>38514.400000000001</v>
      </c>
      <c r="F23" s="247">
        <f t="shared" si="2"/>
        <v>58805.36</v>
      </c>
    </row>
    <row r="24" spans="1:6" s="20" customFormat="1" x14ac:dyDescent="0.2">
      <c r="A24" s="18" t="s">
        <v>611</v>
      </c>
      <c r="B24" s="246">
        <v>75351</v>
      </c>
      <c r="C24" s="2">
        <f t="shared" si="0"/>
        <v>738.44</v>
      </c>
      <c r="D24" s="7">
        <v>75351</v>
      </c>
      <c r="E24" s="78">
        <f t="shared" si="1"/>
        <v>1507.02</v>
      </c>
      <c r="F24" s="247">
        <f>C24+E24</f>
        <v>2245.46</v>
      </c>
    </row>
    <row r="25" spans="1:6" s="20" customFormat="1" x14ac:dyDescent="0.2">
      <c r="A25" s="18" t="s">
        <v>216</v>
      </c>
      <c r="B25" s="246">
        <v>425281</v>
      </c>
      <c r="C25" s="2">
        <f t="shared" si="0"/>
        <v>4167.75</v>
      </c>
      <c r="D25" s="7">
        <v>425281</v>
      </c>
      <c r="E25" s="78">
        <f t="shared" si="1"/>
        <v>8505.6200000000008</v>
      </c>
      <c r="F25" s="247">
        <f t="shared" si="2"/>
        <v>12673.37</v>
      </c>
    </row>
    <row r="26" spans="1:6" x14ac:dyDescent="0.2">
      <c r="A26" s="18" t="s">
        <v>102</v>
      </c>
      <c r="B26" s="7">
        <v>1482</v>
      </c>
      <c r="C26" s="2">
        <f t="shared" si="0"/>
        <v>14.52</v>
      </c>
      <c r="D26" s="7">
        <v>0</v>
      </c>
      <c r="E26" s="2">
        <f t="shared" si="1"/>
        <v>0</v>
      </c>
      <c r="F26" s="247">
        <f>C26+E26</f>
        <v>14.52</v>
      </c>
    </row>
    <row r="27" spans="1:6" x14ac:dyDescent="0.2">
      <c r="A27" s="1" t="s">
        <v>459</v>
      </c>
      <c r="B27" s="7">
        <v>6745</v>
      </c>
      <c r="C27" s="2">
        <f t="shared" si="0"/>
        <v>66.099999999999994</v>
      </c>
      <c r="D27" s="7">
        <v>0</v>
      </c>
      <c r="E27" s="2">
        <f t="shared" si="1"/>
        <v>0</v>
      </c>
      <c r="F27" s="247">
        <f>C27+E27</f>
        <v>66.099999999999994</v>
      </c>
    </row>
    <row r="28" spans="1:6" x14ac:dyDescent="0.2">
      <c r="A28" s="1" t="s">
        <v>64</v>
      </c>
      <c r="B28" s="7">
        <v>444926</v>
      </c>
      <c r="C28" s="2">
        <f t="shared" si="0"/>
        <v>4360.2700000000004</v>
      </c>
      <c r="D28" s="7">
        <v>444926</v>
      </c>
      <c r="E28" s="2">
        <f t="shared" si="1"/>
        <v>8898.52</v>
      </c>
      <c r="F28" s="11">
        <f t="shared" si="2"/>
        <v>13258.79</v>
      </c>
    </row>
    <row r="29" spans="1:6" x14ac:dyDescent="0.2">
      <c r="A29" s="1" t="s">
        <v>352</v>
      </c>
      <c r="B29" s="7">
        <v>8926932</v>
      </c>
      <c r="C29" s="2">
        <f>B29*0.0098+0.01</f>
        <v>87483.94</v>
      </c>
      <c r="D29" s="7">
        <v>7698516</v>
      </c>
      <c r="E29" s="2">
        <f t="shared" si="1"/>
        <v>153970.32</v>
      </c>
      <c r="F29" s="11">
        <f t="shared" ref="F29:F35" si="3">C29+E29</f>
        <v>241454.26</v>
      </c>
    </row>
    <row r="30" spans="1:6" x14ac:dyDescent="0.2">
      <c r="A30" s="1" t="s">
        <v>476</v>
      </c>
      <c r="B30" s="7">
        <v>1619076</v>
      </c>
      <c r="C30" s="2">
        <f>B30*0.0098+0.01</f>
        <v>15866.95</v>
      </c>
      <c r="D30" s="7">
        <v>1428102</v>
      </c>
      <c r="E30" s="2">
        <f t="shared" si="1"/>
        <v>28562.04</v>
      </c>
      <c r="F30" s="11">
        <f t="shared" si="3"/>
        <v>44428.99</v>
      </c>
    </row>
    <row r="31" spans="1:6" x14ac:dyDescent="0.2">
      <c r="A31" s="1" t="s">
        <v>493</v>
      </c>
      <c r="B31" s="7">
        <v>2249016</v>
      </c>
      <c r="C31" s="2">
        <f t="shared" si="0"/>
        <v>22040.36</v>
      </c>
      <c r="D31" s="7">
        <v>2066316</v>
      </c>
      <c r="E31" s="2">
        <f>D31*0.02</f>
        <v>41326.32</v>
      </c>
      <c r="F31" s="11">
        <f t="shared" si="3"/>
        <v>63366.68</v>
      </c>
    </row>
    <row r="32" spans="1:6" x14ac:dyDescent="0.2">
      <c r="A32" s="1" t="s">
        <v>777</v>
      </c>
      <c r="B32" s="7"/>
      <c r="C32" s="2">
        <f>B32*0.0098+83.07</f>
        <v>83.07</v>
      </c>
      <c r="D32" s="7"/>
      <c r="E32" s="2">
        <f>D32*0.02</f>
        <v>0</v>
      </c>
      <c r="F32" s="11">
        <f>C32+E32</f>
        <v>83.07</v>
      </c>
    </row>
    <row r="33" spans="1:6" x14ac:dyDescent="0.2">
      <c r="A33" s="1" t="s">
        <v>719</v>
      </c>
      <c r="B33" s="7">
        <v>1642</v>
      </c>
      <c r="C33" s="2">
        <f t="shared" si="0"/>
        <v>16.09</v>
      </c>
      <c r="D33" s="7">
        <v>0</v>
      </c>
      <c r="E33" s="2">
        <f>D33*0.02</f>
        <v>0</v>
      </c>
      <c r="F33" s="11">
        <f>C33+E33</f>
        <v>16.09</v>
      </c>
    </row>
    <row r="34" spans="1:6" x14ac:dyDescent="0.2">
      <c r="A34" s="1" t="s">
        <v>217</v>
      </c>
      <c r="B34" s="7">
        <v>41428</v>
      </c>
      <c r="C34" s="2">
        <f>B34*0.0098</f>
        <v>405.99</v>
      </c>
      <c r="D34" s="7">
        <v>17953</v>
      </c>
      <c r="E34" s="2">
        <f>D34*0.02</f>
        <v>359.06</v>
      </c>
      <c r="F34" s="11">
        <f t="shared" si="3"/>
        <v>765.05</v>
      </c>
    </row>
    <row r="35" spans="1:6" x14ac:dyDescent="0.2">
      <c r="A35" s="1" t="s">
        <v>218</v>
      </c>
      <c r="B35" s="7">
        <v>1241807</v>
      </c>
      <c r="C35" s="2">
        <f t="shared" si="0"/>
        <v>12169.71</v>
      </c>
      <c r="D35" s="7">
        <v>1236684</v>
      </c>
      <c r="E35" s="2">
        <f>D35*0.02</f>
        <v>24733.68</v>
      </c>
      <c r="F35" s="11">
        <f t="shared" si="3"/>
        <v>36903.39</v>
      </c>
    </row>
    <row r="37" spans="1:6" ht="22.5" customHeight="1" thickBot="1" x14ac:dyDescent="0.25">
      <c r="A37" s="1" t="s">
        <v>12</v>
      </c>
      <c r="B37" s="34">
        <f>SUM(B9:B36)</f>
        <v>39048260</v>
      </c>
      <c r="C37" s="132">
        <f>SUM(C9:C36)</f>
        <v>382756.01</v>
      </c>
      <c r="D37" s="34">
        <f>SUM(D9:D36)</f>
        <v>35048168</v>
      </c>
      <c r="E37" s="132">
        <f>SUM(E9:E36)</f>
        <v>700963.36</v>
      </c>
      <c r="F37" s="132">
        <f>SUM(F10:F35)</f>
        <v>1083719.3700000001</v>
      </c>
    </row>
    <row r="38" spans="1:6" ht="28.5" hidden="1" customHeight="1" x14ac:dyDescent="0.2">
      <c r="A38" s="1" t="s">
        <v>219</v>
      </c>
      <c r="B38" s="133">
        <f>SUM(C37+E37)</f>
        <v>1083719.3700000001</v>
      </c>
      <c r="C38" s="1"/>
      <c r="D38" s="1"/>
      <c r="E38" s="1"/>
      <c r="F38" s="1"/>
    </row>
    <row r="39" spans="1:6" ht="21.75" hidden="1" customHeight="1" x14ac:dyDescent="0.2">
      <c r="A39" s="9" t="s">
        <v>220</v>
      </c>
      <c r="B39" s="2">
        <v>1083719.3700000001</v>
      </c>
      <c r="C39" s="1"/>
      <c r="D39" s="1"/>
      <c r="E39" s="1"/>
      <c r="F39" s="1"/>
    </row>
    <row r="40" spans="1:6" hidden="1" x14ac:dyDescent="0.2">
      <c r="A40" s="9" t="s">
        <v>221</v>
      </c>
      <c r="B40" s="2">
        <f>B39-B38</f>
        <v>0</v>
      </c>
      <c r="C40" s="1"/>
      <c r="D40" s="1"/>
      <c r="E40" s="1"/>
      <c r="F40" s="1"/>
    </row>
    <row r="41" spans="1:6" hidden="1" x14ac:dyDescent="0.2"/>
    <row r="42" spans="1:6" hidden="1" x14ac:dyDescent="0.2"/>
    <row r="43" spans="1:6" hidden="1" x14ac:dyDescent="0.2"/>
    <row r="44" spans="1:6" hidden="1" x14ac:dyDescent="0.2"/>
    <row r="45" spans="1:6" hidden="1" x14ac:dyDescent="0.2"/>
    <row r="46" spans="1:6" hidden="1" x14ac:dyDescent="0.2"/>
    <row r="47" spans="1:6" hidden="1" x14ac:dyDescent="0.2"/>
    <row r="48" spans="1:6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</sheetData>
  <phoneticPr fontId="0" type="noConversion"/>
  <printOptions horizontalCentered="1"/>
  <pageMargins left="0.75" right="0.75" top="0.48" bottom="0.45" header="0.3" footer="0.31"/>
  <pageSetup scale="10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3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6" sqref="A6"/>
    </sheetView>
  </sheetViews>
  <sheetFormatPr defaultRowHeight="12.75" x14ac:dyDescent="0.2"/>
  <cols>
    <col min="1" max="1" width="18.28515625" customWidth="1"/>
    <col min="2" max="2" width="10.28515625" customWidth="1"/>
    <col min="3" max="3" width="11.7109375" customWidth="1"/>
    <col min="4" max="4" width="13" customWidth="1"/>
    <col min="5" max="5" width="11.5703125" customWidth="1"/>
    <col min="6" max="6" width="10" customWidth="1"/>
    <col min="7" max="7" width="10.140625" customWidth="1"/>
    <col min="8" max="8" width="13.28515625" hidden="1" customWidth="1"/>
    <col min="9" max="9" width="12.42578125" hidden="1" customWidth="1"/>
    <col min="10" max="10" width="10.85546875" customWidth="1"/>
    <col min="11" max="12" width="10" hidden="1" customWidth="1"/>
    <col min="13" max="13" width="9.42578125" customWidth="1"/>
    <col min="14" max="14" width="9.28515625" customWidth="1"/>
    <col min="15" max="15" width="10.42578125" customWidth="1"/>
    <col min="16" max="16" width="11.140625" hidden="1" customWidth="1"/>
    <col min="17" max="17" width="10.42578125" hidden="1" customWidth="1"/>
    <col min="18" max="18" width="10.85546875" customWidth="1"/>
    <col min="19" max="19" width="12" customWidth="1"/>
    <col min="20" max="20" width="11.28515625" customWidth="1"/>
    <col min="21" max="21" width="11" customWidth="1"/>
    <col min="22" max="22" width="15.85546875" hidden="1" customWidth="1"/>
    <col min="23" max="23" width="12.140625" customWidth="1"/>
    <col min="24" max="24" width="14.42578125" hidden="1" customWidth="1"/>
  </cols>
  <sheetData>
    <row r="1" spans="1:25" ht="15.75" x14ac:dyDescent="0.25">
      <c r="A1" s="63" t="s">
        <v>222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16" t="str">
        <f>ReportMonth</f>
        <v>JUNE 2004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66" t="s">
        <v>223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5" spans="1:25" x14ac:dyDescent="0.2">
      <c r="A5" s="1"/>
      <c r="B5" s="6" t="s">
        <v>224</v>
      </c>
      <c r="P5" s="6" t="s">
        <v>34</v>
      </c>
      <c r="Q5" s="6" t="s">
        <v>35</v>
      </c>
      <c r="S5" s="96" t="s">
        <v>225</v>
      </c>
      <c r="T5" s="1"/>
      <c r="U5" s="1"/>
      <c r="V5" s="6" t="s">
        <v>226</v>
      </c>
      <c r="W5" s="1"/>
      <c r="X5" s="1"/>
      <c r="Y5" s="1"/>
    </row>
    <row r="6" spans="1:25" x14ac:dyDescent="0.2">
      <c r="A6" s="1"/>
      <c r="B6" s="6" t="s">
        <v>227</v>
      </c>
      <c r="C6" s="6" t="s">
        <v>22</v>
      </c>
      <c r="D6" s="6" t="s">
        <v>23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1"/>
      <c r="Q6" s="1"/>
      <c r="R6" s="6" t="s">
        <v>36</v>
      </c>
      <c r="S6" s="96" t="s">
        <v>228</v>
      </c>
      <c r="T6" s="5" t="s">
        <v>12</v>
      </c>
      <c r="U6" s="5" t="s">
        <v>12</v>
      </c>
      <c r="V6" s="6" t="s">
        <v>229</v>
      </c>
      <c r="W6" s="5" t="s">
        <v>230</v>
      </c>
      <c r="X6" s="1"/>
      <c r="Y6" s="1"/>
    </row>
    <row r="7" spans="1:25" x14ac:dyDescent="0.2">
      <c r="A7" s="1"/>
      <c r="B7" s="38" t="s">
        <v>19</v>
      </c>
      <c r="C7" s="38" t="s">
        <v>231</v>
      </c>
      <c r="D7" s="38" t="s">
        <v>19</v>
      </c>
      <c r="E7" s="38" t="s">
        <v>232</v>
      </c>
      <c r="F7" s="38" t="s">
        <v>231</v>
      </c>
      <c r="G7" s="38" t="s">
        <v>231</v>
      </c>
      <c r="H7" s="38" t="s">
        <v>231</v>
      </c>
      <c r="I7" s="38" t="s">
        <v>231</v>
      </c>
      <c r="J7" s="38" t="s">
        <v>231</v>
      </c>
      <c r="K7" s="38" t="s">
        <v>231</v>
      </c>
      <c r="L7" s="38" t="s">
        <v>231</v>
      </c>
      <c r="M7" s="38" t="s">
        <v>231</v>
      </c>
      <c r="N7" s="38" t="s">
        <v>231</v>
      </c>
      <c r="O7" s="38" t="s">
        <v>231</v>
      </c>
      <c r="P7" s="38" t="s">
        <v>231</v>
      </c>
      <c r="Q7" s="38" t="s">
        <v>231</v>
      </c>
      <c r="R7" s="38" t="s">
        <v>231</v>
      </c>
      <c r="S7" s="38" t="s">
        <v>231</v>
      </c>
      <c r="T7" s="97" t="s">
        <v>100</v>
      </c>
      <c r="U7" s="97" t="s">
        <v>233</v>
      </c>
      <c r="V7" s="38" t="s">
        <v>234</v>
      </c>
      <c r="W7" s="40" t="s">
        <v>235</v>
      </c>
      <c r="X7" s="1"/>
      <c r="Y7" s="1"/>
    </row>
    <row r="8" spans="1:25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1"/>
    </row>
    <row r="9" spans="1:25" ht="15" customHeight="1" x14ac:dyDescent="0.2">
      <c r="A9" s="1" t="s">
        <v>237</v>
      </c>
      <c r="B9" s="268">
        <v>156.08000000000001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ref="T9:T27" si="0">SUM(B9+C9+D9+F9+G9+H9+I9+J9+K9+L9+M9+N9+O9+P9+Q9+R9+S9)</f>
        <v>156.08000000000001</v>
      </c>
      <c r="U9" s="2">
        <f>E9</f>
        <v>0</v>
      </c>
      <c r="V9" s="2">
        <f>F9</f>
        <v>0</v>
      </c>
      <c r="W9" s="2">
        <f>SUM(T9:V9)</f>
        <v>156.08000000000001</v>
      </c>
      <c r="X9" s="1"/>
      <c r="Y9" s="1"/>
    </row>
    <row r="10" spans="1:25" x14ac:dyDescent="0.2">
      <c r="A10" s="1" t="s">
        <v>726</v>
      </c>
      <c r="B10" s="2"/>
      <c r="C10" s="268">
        <v>34.14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 t="shared" si="0"/>
        <v>34.14</v>
      </c>
      <c r="U10" s="2">
        <f t="shared" ref="U10:U27" si="1">E10</f>
        <v>0</v>
      </c>
      <c r="V10" s="2"/>
      <c r="W10" s="2">
        <f>SUM(T10:V10)</f>
        <v>34.14</v>
      </c>
      <c r="X10" s="1"/>
      <c r="Y10" s="1"/>
    </row>
    <row r="11" spans="1:25" x14ac:dyDescent="0.2">
      <c r="A11" s="1" t="s">
        <v>236</v>
      </c>
      <c r="B11" s="2"/>
      <c r="C11" s="2"/>
      <c r="D11" s="268">
        <v>82.08</v>
      </c>
      <c r="E11" s="268">
        <v>167.5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 t="shared" si="0"/>
        <v>82.08</v>
      </c>
      <c r="U11" s="2">
        <f t="shared" si="1"/>
        <v>167.5</v>
      </c>
      <c r="V11" s="2">
        <f>F11</f>
        <v>0</v>
      </c>
      <c r="W11" s="2">
        <f t="shared" ref="W11:W25" si="2">SUM(T11:V11)</f>
        <v>249.58</v>
      </c>
      <c r="X11" s="1"/>
      <c r="Y11" s="1"/>
    </row>
    <row r="12" spans="1:25" x14ac:dyDescent="0.2">
      <c r="A12" s="1" t="s">
        <v>720</v>
      </c>
      <c r="B12" s="2"/>
      <c r="C12" s="2"/>
      <c r="D12" s="268">
        <v>43.54</v>
      </c>
      <c r="E12" s="268">
        <v>88.86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0"/>
        <v>43.54</v>
      </c>
      <c r="U12" s="2">
        <f t="shared" si="1"/>
        <v>88.86</v>
      </c>
      <c r="V12" s="2"/>
      <c r="W12" s="2">
        <f>SUM(T12:V12)</f>
        <v>132.4</v>
      </c>
      <c r="X12" s="1"/>
      <c r="Y12" s="1"/>
    </row>
    <row r="13" spans="1:25" x14ac:dyDescent="0.2">
      <c r="A13" s="1" t="s">
        <v>713</v>
      </c>
      <c r="B13" s="2"/>
      <c r="C13" s="2"/>
      <c r="D13" s="268">
        <v>76.27</v>
      </c>
      <c r="E13" s="377">
        <v>155.66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0"/>
        <v>76.27</v>
      </c>
      <c r="U13" s="2">
        <f t="shared" si="1"/>
        <v>155.66</v>
      </c>
      <c r="V13" s="2"/>
      <c r="W13" s="2">
        <f>SUM(T13:V13)</f>
        <v>231.93</v>
      </c>
      <c r="X13" s="1"/>
      <c r="Y13" s="1"/>
    </row>
    <row r="14" spans="1:25" x14ac:dyDescent="0.2">
      <c r="A14" s="1" t="s">
        <v>239</v>
      </c>
      <c r="B14" s="2"/>
      <c r="C14" s="2"/>
      <c r="D14" s="268">
        <v>106.27</v>
      </c>
      <c r="E14" s="38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0"/>
        <v>106.27</v>
      </c>
      <c r="U14" s="2">
        <f t="shared" si="1"/>
        <v>0</v>
      </c>
      <c r="V14" s="2"/>
      <c r="W14" s="2">
        <f t="shared" si="2"/>
        <v>106.27</v>
      </c>
      <c r="X14" s="1"/>
      <c r="Y14" s="1"/>
    </row>
    <row r="15" spans="1:25" x14ac:dyDescent="0.2">
      <c r="A15" s="1" t="s">
        <v>240</v>
      </c>
      <c r="B15" s="2"/>
      <c r="C15" s="2"/>
      <c r="D15" s="377">
        <f>17685.63+21482.23+24467.97+738.44+13995.4+20249.9+3303.35+32866.37+2249+77.39+654.7+175.93+62155.65+4167.75+18872.06+4360.27+12119.5+83.07+75445.46+19331.75</f>
        <v>334481.82</v>
      </c>
      <c r="E15" s="377">
        <f>36093.12+43841.28+49934.64+1507.02+28562.04+41326.32+6741.54+67074.22+4589.8+157.94+1336.12+359.06+126848.26+8505.62+38514.4+8898.52+24733.68+153970.32+39452.56</f>
        <v>682446.46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0"/>
        <v>334481.82</v>
      </c>
      <c r="U15" s="2">
        <f t="shared" si="1"/>
        <v>682446.46</v>
      </c>
      <c r="V15" s="2">
        <v>0</v>
      </c>
      <c r="W15" s="2">
        <f t="shared" si="2"/>
        <v>1016928.28</v>
      </c>
      <c r="X15" s="1"/>
      <c r="Y15" s="1"/>
    </row>
    <row r="16" spans="1:25" x14ac:dyDescent="0.2">
      <c r="A16" s="1" t="s">
        <v>579</v>
      </c>
      <c r="B16" s="2"/>
      <c r="C16" s="2"/>
      <c r="D16" s="268">
        <f>3384.17+5487.23</f>
        <v>8871.4</v>
      </c>
      <c r="E16" s="268">
        <f>6906.46+11198.42</f>
        <v>18104.88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0"/>
        <v>8871.4</v>
      </c>
      <c r="U16" s="2">
        <f t="shared" si="1"/>
        <v>18104.88</v>
      </c>
      <c r="V16" s="2"/>
      <c r="W16" s="2">
        <f t="shared" si="2"/>
        <v>26976.28</v>
      </c>
      <c r="X16" s="1"/>
      <c r="Y16" s="1"/>
    </row>
    <row r="17" spans="1:25" x14ac:dyDescent="0.2">
      <c r="A17" s="1" t="s">
        <v>564</v>
      </c>
      <c r="B17" s="2"/>
      <c r="C17" s="2"/>
      <c r="D17" s="2"/>
      <c r="E17" s="2"/>
      <c r="F17" s="268">
        <f>77.85+29.12+324.69</f>
        <v>431.66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0"/>
        <v>431.66</v>
      </c>
      <c r="U17" s="2">
        <f t="shared" si="1"/>
        <v>0</v>
      </c>
      <c r="V17" s="2"/>
      <c r="W17" s="2">
        <f t="shared" si="2"/>
        <v>431.66</v>
      </c>
      <c r="X17" s="1"/>
      <c r="Y17" s="1"/>
    </row>
    <row r="18" spans="1:25" x14ac:dyDescent="0.2">
      <c r="A18" s="2" t="s">
        <v>238</v>
      </c>
      <c r="B18" s="2"/>
      <c r="C18" s="2"/>
      <c r="D18" s="2"/>
      <c r="E18" s="2"/>
      <c r="F18" s="2"/>
      <c r="G18" s="268">
        <f>207.7+511.37</f>
        <v>719.07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0"/>
        <v>719.07</v>
      </c>
      <c r="U18" s="2">
        <f t="shared" si="1"/>
        <v>0</v>
      </c>
      <c r="V18" s="2"/>
      <c r="W18" s="2">
        <f t="shared" si="2"/>
        <v>719.07</v>
      </c>
      <c r="X18" s="1"/>
      <c r="Y18" s="1"/>
    </row>
    <row r="19" spans="1:25" x14ac:dyDescent="0.2">
      <c r="A19" s="2" t="s">
        <v>565</v>
      </c>
      <c r="B19" s="2"/>
      <c r="C19" s="2"/>
      <c r="D19" s="2"/>
      <c r="E19" s="2"/>
      <c r="F19" s="2"/>
      <c r="G19" s="2"/>
      <c r="H19" s="2"/>
      <c r="I19" s="2"/>
      <c r="J19" s="268">
        <v>156.16</v>
      </c>
      <c r="K19" s="2"/>
      <c r="L19" s="2"/>
      <c r="M19" s="2"/>
      <c r="N19" s="2"/>
      <c r="O19" s="2"/>
      <c r="P19" s="2"/>
      <c r="Q19" s="2"/>
      <c r="R19" s="2"/>
      <c r="S19" s="2"/>
      <c r="T19" s="2">
        <f t="shared" si="0"/>
        <v>156.16</v>
      </c>
      <c r="U19" s="2">
        <f t="shared" si="1"/>
        <v>0</v>
      </c>
      <c r="V19" s="2"/>
      <c r="W19" s="2">
        <f t="shared" si="2"/>
        <v>156.16</v>
      </c>
      <c r="X19" s="1"/>
      <c r="Y19" s="1"/>
    </row>
    <row r="20" spans="1:25" x14ac:dyDescent="0.2">
      <c r="A20" s="1" t="s">
        <v>578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68">
        <v>66.099999999999994</v>
      </c>
      <c r="N20" s="2"/>
      <c r="O20" s="2"/>
      <c r="P20" s="2"/>
      <c r="Q20" s="2"/>
      <c r="R20" s="2"/>
      <c r="S20" s="2"/>
      <c r="T20" s="2">
        <f t="shared" si="0"/>
        <v>66.099999999999994</v>
      </c>
      <c r="U20" s="2">
        <f t="shared" si="1"/>
        <v>0</v>
      </c>
      <c r="V20" s="2"/>
      <c r="W20" s="2">
        <f t="shared" si="2"/>
        <v>66.099999999999994</v>
      </c>
      <c r="X20" s="1"/>
      <c r="Y20" s="1"/>
    </row>
    <row r="21" spans="1:25" x14ac:dyDescent="0.2">
      <c r="A21" s="1" t="s">
        <v>721</v>
      </c>
      <c r="B21" s="2"/>
      <c r="C21" s="2"/>
      <c r="D21" s="2"/>
      <c r="E21" s="2"/>
      <c r="F21" s="2"/>
      <c r="G21" s="2"/>
      <c r="H21" s="2"/>
      <c r="I21" s="2"/>
      <c r="J21" s="2"/>
      <c r="K21" s="295"/>
      <c r="L21" s="2"/>
      <c r="M21" s="2"/>
      <c r="N21" s="268">
        <v>7.79</v>
      </c>
      <c r="O21" s="2"/>
      <c r="P21" s="2"/>
      <c r="Q21" s="2"/>
      <c r="R21" s="2"/>
      <c r="S21" s="2"/>
      <c r="T21" s="2">
        <f t="shared" si="0"/>
        <v>7.79</v>
      </c>
      <c r="U21" s="2">
        <f t="shared" si="1"/>
        <v>0</v>
      </c>
      <c r="V21" s="2"/>
      <c r="W21" s="2">
        <f>SUM(T21:V21)</f>
        <v>7.79</v>
      </c>
      <c r="X21" s="1"/>
      <c r="Y21" s="1"/>
    </row>
    <row r="22" spans="1:25" x14ac:dyDescent="0.2">
      <c r="A22" s="1" t="s">
        <v>566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68">
        <v>79.94</v>
      </c>
      <c r="P22" s="2"/>
      <c r="Q22" s="2"/>
      <c r="R22" s="2"/>
      <c r="S22" s="2"/>
      <c r="T22" s="2">
        <f t="shared" si="0"/>
        <v>79.94</v>
      </c>
      <c r="U22" s="2">
        <f t="shared" si="1"/>
        <v>0</v>
      </c>
      <c r="V22" s="2"/>
      <c r="W22" s="2">
        <f t="shared" si="2"/>
        <v>79.94</v>
      </c>
      <c r="X22" s="1"/>
      <c r="Y22" s="1"/>
    </row>
    <row r="23" spans="1:25" x14ac:dyDescent="0.2">
      <c r="A23" s="1" t="s">
        <v>242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68">
        <f>4774.56+1486.7+1871.55+1790.46+85.87+919.1+9575.66+463.05+371.53+2235+1418.9+50.21+12038.48</f>
        <v>37081.07</v>
      </c>
      <c r="S23" s="2"/>
      <c r="T23" s="2">
        <f t="shared" si="0"/>
        <v>37081.07</v>
      </c>
      <c r="U23" s="2">
        <f t="shared" si="1"/>
        <v>0</v>
      </c>
      <c r="V23" s="2"/>
      <c r="W23" s="2">
        <f t="shared" si="2"/>
        <v>37081.07</v>
      </c>
      <c r="X23" s="1"/>
      <c r="Y23" s="1"/>
    </row>
    <row r="24" spans="1:25" x14ac:dyDescent="0.2">
      <c r="A24" s="1" t="s">
        <v>241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68">
        <v>230.06</v>
      </c>
      <c r="S24" s="2"/>
      <c r="T24" s="2">
        <f t="shared" si="0"/>
        <v>230.06</v>
      </c>
      <c r="U24" s="2">
        <f t="shared" si="1"/>
        <v>0</v>
      </c>
      <c r="V24" s="2"/>
      <c r="W24" s="2">
        <f t="shared" si="2"/>
        <v>230.06</v>
      </c>
      <c r="X24" s="1"/>
      <c r="Y24" s="1"/>
    </row>
    <row r="25" spans="1:25" x14ac:dyDescent="0.2">
      <c r="A25" s="1" t="s">
        <v>567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68">
        <v>16.09</v>
      </c>
      <c r="S25" s="2"/>
      <c r="T25" s="2">
        <f t="shared" si="0"/>
        <v>16.09</v>
      </c>
      <c r="U25" s="2">
        <f t="shared" si="1"/>
        <v>0</v>
      </c>
      <c r="V25" s="2"/>
      <c r="W25" s="2">
        <f t="shared" si="2"/>
        <v>16.09</v>
      </c>
      <c r="X25" s="1"/>
      <c r="Y25" s="1"/>
    </row>
    <row r="26" spans="1:25" x14ac:dyDescent="0.2">
      <c r="A26" s="1" t="s">
        <v>724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95"/>
      <c r="S26" s="268">
        <v>101.95</v>
      </c>
      <c r="T26" s="2">
        <f t="shared" si="0"/>
        <v>101.95</v>
      </c>
      <c r="U26" s="2">
        <f t="shared" si="1"/>
        <v>0</v>
      </c>
      <c r="V26" s="2"/>
      <c r="W26" s="2">
        <f>SUM(T26:V26)</f>
        <v>101.95</v>
      </c>
      <c r="X26" s="1"/>
      <c r="Y26" s="1"/>
    </row>
    <row r="27" spans="1:25" x14ac:dyDescent="0.2">
      <c r="A27" s="1" t="s">
        <v>718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95"/>
      <c r="P27" s="2"/>
      <c r="Q27" s="2"/>
      <c r="R27" s="2"/>
      <c r="S27" s="268">
        <v>14.52</v>
      </c>
      <c r="T27" s="2">
        <f t="shared" si="0"/>
        <v>14.52</v>
      </c>
      <c r="U27" s="2">
        <f t="shared" si="1"/>
        <v>0</v>
      </c>
      <c r="V27" s="2"/>
      <c r="W27" s="2">
        <f>SUM(T27:V27)</f>
        <v>14.52</v>
      </c>
      <c r="X27" s="1"/>
      <c r="Y27" s="1"/>
    </row>
    <row r="28" spans="1:25" x14ac:dyDescent="0.2">
      <c r="X28" s="1"/>
      <c r="Y28" s="1"/>
    </row>
    <row r="29" spans="1:25" ht="25.5" customHeight="1" thickBot="1" x14ac:dyDescent="0.25">
      <c r="A29" s="21" t="s">
        <v>243</v>
      </c>
      <c r="B29" s="36">
        <f t="shared" ref="B29:W29" si="3">SUM(B8:B28)</f>
        <v>156.08000000000001</v>
      </c>
      <c r="C29" s="36">
        <f t="shared" si="3"/>
        <v>34.14</v>
      </c>
      <c r="D29" s="36">
        <f t="shared" si="3"/>
        <v>343661.38</v>
      </c>
      <c r="E29" s="36">
        <f t="shared" si="3"/>
        <v>700963.36</v>
      </c>
      <c r="F29" s="36">
        <f t="shared" si="3"/>
        <v>431.66</v>
      </c>
      <c r="G29" s="36">
        <f t="shared" si="3"/>
        <v>719.07</v>
      </c>
      <c r="H29" s="36">
        <f t="shared" si="3"/>
        <v>0</v>
      </c>
      <c r="I29" s="36">
        <f t="shared" si="3"/>
        <v>0</v>
      </c>
      <c r="J29" s="36">
        <f t="shared" si="3"/>
        <v>156.16</v>
      </c>
      <c r="K29" s="36">
        <f t="shared" si="3"/>
        <v>0</v>
      </c>
      <c r="L29" s="36">
        <f t="shared" si="3"/>
        <v>0</v>
      </c>
      <c r="M29" s="36">
        <f t="shared" si="3"/>
        <v>66.099999999999994</v>
      </c>
      <c r="N29" s="36">
        <f t="shared" si="3"/>
        <v>7.79</v>
      </c>
      <c r="O29" s="36">
        <f t="shared" si="3"/>
        <v>79.94</v>
      </c>
      <c r="P29" s="36">
        <f t="shared" si="3"/>
        <v>0</v>
      </c>
      <c r="Q29" s="36">
        <f t="shared" si="3"/>
        <v>0</v>
      </c>
      <c r="R29" s="36">
        <f t="shared" si="3"/>
        <v>37327.22</v>
      </c>
      <c r="S29" s="36">
        <f t="shared" si="3"/>
        <v>116.47</v>
      </c>
      <c r="T29" s="36">
        <f t="shared" si="3"/>
        <v>382756.01</v>
      </c>
      <c r="U29" s="36">
        <f t="shared" si="3"/>
        <v>700963.36</v>
      </c>
      <c r="V29" s="36">
        <f t="shared" si="3"/>
        <v>0</v>
      </c>
      <c r="W29" s="36">
        <f t="shared" si="3"/>
        <v>1083719.3700000001</v>
      </c>
      <c r="X29" s="2">
        <f>SUM(B29:S29)</f>
        <v>1083719.3700000001</v>
      </c>
      <c r="Y29" s="1"/>
    </row>
    <row r="30" spans="1:25" hidden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33">
        <f>'s5'!F37</f>
        <v>1083719.3700000001</v>
      </c>
      <c r="Y30" s="1"/>
    </row>
    <row r="31" spans="1:25" hidden="1" x14ac:dyDescent="0.2">
      <c r="A31" s="1"/>
      <c r="B31" s="7"/>
      <c r="C31" s="1"/>
      <c r="D31" s="256"/>
      <c r="E31" s="9"/>
      <c r="F31" s="9"/>
      <c r="G31" s="9"/>
      <c r="H31" s="1"/>
      <c r="I31" s="1"/>
      <c r="J31" s="14"/>
      <c r="K31" s="9"/>
      <c r="L31" s="9"/>
      <c r="M31" s="9"/>
      <c r="N31" s="9"/>
      <c r="O31" s="9"/>
      <c r="P31" s="14"/>
      <c r="Q31" s="9"/>
      <c r="R31" s="2"/>
      <c r="S31" s="1"/>
      <c r="T31" s="2"/>
      <c r="U31" s="2"/>
      <c r="V31" s="1"/>
      <c r="W31" s="2">
        <f>W29-X29</f>
        <v>0</v>
      </c>
      <c r="X31" s="133">
        <f>X29-X30</f>
        <v>0</v>
      </c>
      <c r="Y31" s="1"/>
    </row>
    <row r="32" spans="1:25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idden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</row>
    <row r="34" spans="1:25" hidden="1" x14ac:dyDescent="0.2"/>
  </sheetData>
  <phoneticPr fontId="0" type="noConversion"/>
  <printOptions horizontalCentered="1"/>
  <pageMargins left="0.2" right="0.19" top="0.82" bottom="1" header="0.5" footer="0.5"/>
  <pageSetup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26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defaultRowHeight="12.75" x14ac:dyDescent="0.2"/>
  <cols>
    <col min="1" max="1" width="18.42578125" customWidth="1"/>
    <col min="2" max="2" width="10.7109375" customWidth="1"/>
    <col min="3" max="3" width="9.7109375" customWidth="1"/>
    <col min="4" max="7" width="11.7109375" customWidth="1"/>
    <col min="8" max="9" width="12" customWidth="1"/>
    <col min="10" max="10" width="11.85546875" customWidth="1"/>
    <col min="11" max="11" width="12.5703125" customWidth="1"/>
    <col min="13" max="13" width="18.7109375" customWidth="1"/>
    <col min="14" max="14" width="15.7109375" customWidth="1"/>
    <col min="15" max="15" width="12.7109375" customWidth="1"/>
    <col min="16" max="16" width="18.42578125" customWidth="1"/>
    <col min="17" max="17" width="14.85546875" customWidth="1"/>
    <col min="18" max="18" width="15.7109375" customWidth="1"/>
    <col min="19" max="21" width="16.28515625" customWidth="1"/>
    <col min="22" max="22" width="14.7109375" hidden="1" customWidth="1"/>
    <col min="23" max="23" width="12.42578125" customWidth="1"/>
    <col min="24" max="25" width="10.7109375" customWidth="1"/>
    <col min="30" max="30" width="10" customWidth="1"/>
    <col min="31" max="31" width="11.7109375" customWidth="1"/>
    <col min="32" max="33" width="12.5703125" customWidth="1"/>
    <col min="34" max="34" width="11.5703125" customWidth="1"/>
  </cols>
  <sheetData>
    <row r="1" spans="1:34" ht="15.75" x14ac:dyDescent="0.25">
      <c r="A1" s="110" t="s">
        <v>244</v>
      </c>
      <c r="B1" s="68"/>
      <c r="M1" s="68" t="s">
        <v>353</v>
      </c>
      <c r="N1" s="68"/>
      <c r="AC1" s="16"/>
      <c r="AD1" s="5"/>
      <c r="AE1" s="5"/>
      <c r="AF1" s="5"/>
      <c r="AG1" s="5"/>
    </row>
    <row r="2" spans="1:34" ht="15.75" x14ac:dyDescent="0.25">
      <c r="A2" s="121" t="str">
        <f>ReportMonth</f>
        <v>JUNE 2004</v>
      </c>
      <c r="B2" s="68" t="s">
        <v>85</v>
      </c>
      <c r="M2" s="122" t="str">
        <f>ReportMonth</f>
        <v>JUNE 2004</v>
      </c>
      <c r="N2" s="68" t="s">
        <v>85</v>
      </c>
      <c r="AC2" s="16"/>
      <c r="AD2" s="5"/>
      <c r="AE2" s="5"/>
      <c r="AF2" s="5"/>
      <c r="AG2" s="5"/>
    </row>
    <row r="3" spans="1:34" ht="21.75" customHeight="1" x14ac:dyDescent="0.25">
      <c r="A3" s="66" t="s">
        <v>245</v>
      </c>
      <c r="B3" s="43"/>
      <c r="C3" s="43"/>
      <c r="D3" s="43"/>
      <c r="E3" s="43"/>
      <c r="F3" s="43"/>
      <c r="G3" s="43"/>
      <c r="H3" s="43"/>
      <c r="I3" s="43"/>
      <c r="J3" s="43"/>
      <c r="K3" s="43"/>
      <c r="M3" s="95" t="s">
        <v>246</v>
      </c>
      <c r="N3" s="43"/>
      <c r="O3" s="43"/>
      <c r="P3" s="43"/>
      <c r="Q3" s="43"/>
      <c r="R3" s="43"/>
      <c r="S3" s="43"/>
      <c r="T3" s="43"/>
      <c r="U3" s="43"/>
      <c r="AC3" s="16"/>
      <c r="AD3" s="5"/>
      <c r="AE3" s="5"/>
      <c r="AF3" s="5"/>
      <c r="AG3" s="5"/>
      <c r="AH3" s="24"/>
    </row>
    <row r="4" spans="1:34" ht="27" customHeight="1" x14ac:dyDescent="0.2">
      <c r="R4" s="24" t="s">
        <v>338</v>
      </c>
      <c r="S4" s="120"/>
      <c r="T4" s="120"/>
      <c r="U4" s="120" t="s">
        <v>248</v>
      </c>
      <c r="AC4" s="16"/>
      <c r="AD4" s="5"/>
      <c r="AE4" s="5"/>
      <c r="AF4" s="5"/>
      <c r="AG4" s="5"/>
      <c r="AH4" s="24"/>
    </row>
    <row r="5" spans="1:34" x14ac:dyDescent="0.2">
      <c r="B5" s="6" t="s">
        <v>250</v>
      </c>
      <c r="C5" s="29"/>
      <c r="D5" s="29"/>
      <c r="E5" s="29"/>
      <c r="F5" s="29"/>
      <c r="G5" s="29" t="s">
        <v>502</v>
      </c>
      <c r="H5" s="29"/>
      <c r="I5" s="29"/>
      <c r="K5" s="29" t="s">
        <v>12</v>
      </c>
      <c r="L5" s="29"/>
      <c r="M5" s="29"/>
      <c r="N5" s="123" t="s">
        <v>251</v>
      </c>
      <c r="P5" s="119" t="s">
        <v>252</v>
      </c>
      <c r="Q5" s="6"/>
      <c r="R5" s="5" t="s">
        <v>253</v>
      </c>
      <c r="S5" s="5" t="s">
        <v>253</v>
      </c>
      <c r="T5" s="5" t="s">
        <v>339</v>
      </c>
      <c r="U5" s="5" t="s">
        <v>797</v>
      </c>
      <c r="V5" s="24" t="s">
        <v>247</v>
      </c>
      <c r="W5" s="16"/>
    </row>
    <row r="6" spans="1:34" ht="12" customHeight="1" x14ac:dyDescent="0.2">
      <c r="B6" s="39" t="s">
        <v>254</v>
      </c>
      <c r="C6" s="39" t="s">
        <v>255</v>
      </c>
      <c r="D6" s="39" t="s">
        <v>256</v>
      </c>
      <c r="E6" s="39" t="s">
        <v>612</v>
      </c>
      <c r="F6" s="39" t="s">
        <v>590</v>
      </c>
      <c r="G6" s="39" t="s">
        <v>503</v>
      </c>
      <c r="H6" s="39" t="s">
        <v>580</v>
      </c>
      <c r="I6" s="39" t="s">
        <v>365</v>
      </c>
      <c r="J6" s="6" t="s">
        <v>576</v>
      </c>
      <c r="K6" s="92" t="s">
        <v>5</v>
      </c>
      <c r="L6" s="29"/>
      <c r="M6" s="29"/>
      <c r="N6" s="124" t="s">
        <v>208</v>
      </c>
      <c r="O6" s="6" t="s">
        <v>146</v>
      </c>
      <c r="P6" s="124" t="s">
        <v>258</v>
      </c>
      <c r="Q6" s="124" t="s">
        <v>259</v>
      </c>
      <c r="R6" s="138" t="s">
        <v>260</v>
      </c>
      <c r="S6" s="138" t="s">
        <v>8</v>
      </c>
      <c r="T6" s="138" t="s">
        <v>340</v>
      </c>
      <c r="U6" s="123" t="s">
        <v>261</v>
      </c>
      <c r="V6" s="61" t="s">
        <v>249</v>
      </c>
      <c r="AG6" s="24"/>
    </row>
    <row r="7" spans="1:34" x14ac:dyDescent="0.2">
      <c r="B7" s="38" t="s">
        <v>262</v>
      </c>
      <c r="C7" s="38" t="s">
        <v>262</v>
      </c>
      <c r="D7" s="38" t="s">
        <v>263</v>
      </c>
      <c r="E7" s="38" t="s">
        <v>462</v>
      </c>
      <c r="F7" s="38" t="s">
        <v>264</v>
      </c>
      <c r="G7" s="38" t="s">
        <v>262</v>
      </c>
      <c r="H7" s="38" t="s">
        <v>581</v>
      </c>
      <c r="I7" s="38" t="s">
        <v>366</v>
      </c>
      <c r="J7" s="39" t="s">
        <v>265</v>
      </c>
      <c r="K7" s="38" t="s">
        <v>12</v>
      </c>
      <c r="L7" s="29"/>
      <c r="M7" s="29"/>
      <c r="N7" s="139" t="s">
        <v>266</v>
      </c>
      <c r="O7" s="140" t="s">
        <v>257</v>
      </c>
      <c r="P7" s="139" t="s">
        <v>337</v>
      </c>
      <c r="Q7" s="139" t="s">
        <v>267</v>
      </c>
      <c r="R7" s="141" t="s">
        <v>148</v>
      </c>
      <c r="S7" s="141" t="s">
        <v>10</v>
      </c>
      <c r="T7" s="141" t="s">
        <v>148</v>
      </c>
      <c r="U7" s="125" t="s">
        <v>268</v>
      </c>
      <c r="W7" s="6"/>
      <c r="X7" s="6"/>
      <c r="Y7" s="6"/>
      <c r="AA7" s="5"/>
    </row>
    <row r="8" spans="1:34" ht="30" customHeight="1" x14ac:dyDescent="0.2">
      <c r="A8" s="16" t="s">
        <v>129</v>
      </c>
      <c r="B8" s="7"/>
      <c r="C8" s="7"/>
      <c r="D8" s="7">
        <v>8481</v>
      </c>
      <c r="E8" s="7"/>
      <c r="F8" s="7"/>
      <c r="G8" s="7"/>
      <c r="H8" s="7"/>
      <c r="I8" s="7"/>
      <c r="J8" s="7"/>
      <c r="K8" s="7">
        <f t="shared" ref="K8:K22" si="0">SUM(B8:I8)</f>
        <v>8481</v>
      </c>
      <c r="M8" s="16" t="s">
        <v>129</v>
      </c>
      <c r="N8" s="2">
        <f>SUM(AvCaGals*0.0196)</f>
        <v>166.23</v>
      </c>
      <c r="O8" s="15"/>
      <c r="P8" s="31">
        <f>AvCaBase/AVGAS10.5</f>
        <v>2.9842E-2</v>
      </c>
      <c r="Q8" s="100">
        <f>CAP*AvCaPer</f>
        <v>166.23</v>
      </c>
      <c r="R8" s="2">
        <f>AvCaBase-AvCaDed</f>
        <v>0</v>
      </c>
      <c r="S8" s="100"/>
      <c r="T8" s="100">
        <f t="shared" ref="T8:T24" si="1">R8+S8</f>
        <v>0</v>
      </c>
      <c r="U8" s="100"/>
      <c r="W8" s="2"/>
      <c r="X8" s="2"/>
      <c r="Y8" s="2"/>
      <c r="AA8" s="1"/>
      <c r="AB8" s="2"/>
      <c r="AC8" s="2"/>
      <c r="AD8" s="2"/>
      <c r="AE8" s="11"/>
      <c r="AF8" s="2"/>
      <c r="AG8" s="2"/>
    </row>
    <row r="9" spans="1:34" x14ac:dyDescent="0.2">
      <c r="A9" s="16" t="s">
        <v>130</v>
      </c>
      <c r="B9" s="7"/>
      <c r="C9" s="7">
        <v>3974</v>
      </c>
      <c r="D9" s="7"/>
      <c r="E9" s="7"/>
      <c r="F9" s="7"/>
      <c r="G9" s="7"/>
      <c r="H9" s="7"/>
      <c r="I9" s="7"/>
      <c r="J9" s="7"/>
      <c r="K9" s="7">
        <f t="shared" si="0"/>
        <v>3974</v>
      </c>
      <c r="M9" s="16" t="s">
        <v>130</v>
      </c>
      <c r="N9" s="2">
        <f>SUM(AvChGals*0.0196)</f>
        <v>77.89</v>
      </c>
      <c r="O9" s="15"/>
      <c r="P9" s="31">
        <f>AvChBase/AVGAS10.5</f>
        <v>1.3983000000000001E-2</v>
      </c>
      <c r="Q9" s="100">
        <f>CAP*AvChPer</f>
        <v>77.89</v>
      </c>
      <c r="R9" s="2">
        <f>AvChBase-AvChDed</f>
        <v>0</v>
      </c>
      <c r="S9" s="100"/>
      <c r="T9" s="100">
        <f t="shared" si="1"/>
        <v>0</v>
      </c>
      <c r="U9" s="100"/>
      <c r="W9" s="2"/>
      <c r="X9" s="2"/>
      <c r="Y9" s="2"/>
      <c r="AA9" s="1"/>
      <c r="AB9" s="2"/>
      <c r="AC9" s="2"/>
      <c r="AD9" s="2"/>
      <c r="AE9" s="11"/>
      <c r="AF9" s="2"/>
      <c r="AG9" s="2"/>
    </row>
    <row r="10" spans="1:34" x14ac:dyDescent="0.2">
      <c r="A10" s="16" t="s">
        <v>131</v>
      </c>
      <c r="B10" s="7">
        <v>139563</v>
      </c>
      <c r="C10" s="7"/>
      <c r="D10" s="7"/>
      <c r="E10" s="7">
        <v>-200</v>
      </c>
      <c r="F10" s="7"/>
      <c r="G10" s="7"/>
      <c r="H10" s="7"/>
      <c r="I10" s="7">
        <v>8075</v>
      </c>
      <c r="J10" s="7"/>
      <c r="K10" s="7">
        <f t="shared" si="0"/>
        <v>147438</v>
      </c>
      <c r="M10" s="16" t="s">
        <v>131</v>
      </c>
      <c r="N10" s="2">
        <f>SUM(AvClGals*0.0196)</f>
        <v>2889.78</v>
      </c>
      <c r="O10" s="15"/>
      <c r="P10" s="31">
        <f>AvClBase/AVGAS10.5</f>
        <v>0.51878199999999997</v>
      </c>
      <c r="Q10" s="100">
        <f>CAP*AvClPer</f>
        <v>2889.78</v>
      </c>
      <c r="R10" s="2">
        <f>AvClBase-AvClDed</f>
        <v>0</v>
      </c>
      <c r="S10" s="100"/>
      <c r="T10" s="100">
        <f t="shared" si="1"/>
        <v>0</v>
      </c>
      <c r="U10" s="100"/>
      <c r="W10" s="2"/>
      <c r="X10" s="2"/>
      <c r="Y10" s="2"/>
      <c r="AA10" s="1"/>
      <c r="AB10" s="2"/>
      <c r="AC10" s="2"/>
      <c r="AD10" s="2"/>
      <c r="AE10" s="11"/>
      <c r="AF10" s="2"/>
      <c r="AG10" s="2"/>
    </row>
    <row r="11" spans="1:34" x14ac:dyDescent="0.2">
      <c r="A11" s="16" t="s">
        <v>132</v>
      </c>
      <c r="B11" s="7">
        <v>7932</v>
      </c>
      <c r="C11" s="7">
        <v>8494</v>
      </c>
      <c r="D11" s="7"/>
      <c r="E11" s="7"/>
      <c r="F11" s="7"/>
      <c r="G11" s="7"/>
      <c r="H11" s="7"/>
      <c r="I11" s="7"/>
      <c r="J11" s="7"/>
      <c r="K11" s="7">
        <f t="shared" si="0"/>
        <v>16426</v>
      </c>
      <c r="M11" s="16" t="s">
        <v>132</v>
      </c>
      <c r="N11" s="78">
        <f>SUM(AvDoGals*0.0196)</f>
        <v>321.95</v>
      </c>
      <c r="O11" s="15">
        <v>0</v>
      </c>
      <c r="P11" s="31">
        <f>AvDoBase/AVGAS10.5</f>
        <v>5.7797000000000001E-2</v>
      </c>
      <c r="Q11" s="100">
        <f>CAP*AvDoPer</f>
        <v>321.95</v>
      </c>
      <c r="R11" s="2">
        <f>AvDoBase-AvDoDed</f>
        <v>0</v>
      </c>
      <c r="S11" s="100">
        <f>634.56+679.52</f>
        <v>1314.08</v>
      </c>
      <c r="T11" s="100">
        <f t="shared" si="1"/>
        <v>1314.08</v>
      </c>
      <c r="U11" s="100">
        <f>1314.08+2292.72+2000.08</f>
        <v>5606.88</v>
      </c>
      <c r="W11" s="2"/>
      <c r="X11" s="2"/>
      <c r="Y11" s="2"/>
      <c r="AA11" s="1"/>
      <c r="AB11" s="2"/>
      <c r="AC11" s="2"/>
      <c r="AD11" s="2"/>
      <c r="AE11" s="11"/>
      <c r="AF11" s="2"/>
      <c r="AG11" s="2"/>
    </row>
    <row r="12" spans="1:34" x14ac:dyDescent="0.2">
      <c r="A12" s="16" t="s">
        <v>133</v>
      </c>
      <c r="B12" s="7"/>
      <c r="C12" s="7">
        <v>7783</v>
      </c>
      <c r="D12" s="7"/>
      <c r="E12" s="7"/>
      <c r="F12" s="7"/>
      <c r="G12" s="7"/>
      <c r="H12" s="7"/>
      <c r="I12" s="7"/>
      <c r="J12" s="7"/>
      <c r="K12" s="7">
        <f t="shared" si="0"/>
        <v>7783</v>
      </c>
      <c r="M12" s="16" t="s">
        <v>133</v>
      </c>
      <c r="N12" s="2">
        <f>SUM(AvElGals*0.0196)</f>
        <v>152.55000000000001</v>
      </c>
      <c r="O12" s="15"/>
      <c r="P12" s="31">
        <f>AvElBase/AVGAS10.5</f>
        <v>2.7386000000000001E-2</v>
      </c>
      <c r="Q12" s="100">
        <f>CAP*AvElPer</f>
        <v>152.55000000000001</v>
      </c>
      <c r="R12" s="2">
        <f>AvElBase-AvElDed</f>
        <v>0</v>
      </c>
      <c r="S12" s="100">
        <f>AvElGals*0.08</f>
        <v>622.64</v>
      </c>
      <c r="T12" s="100">
        <f t="shared" si="1"/>
        <v>622.64</v>
      </c>
      <c r="U12" s="100">
        <f>622.64+952.96</f>
        <v>1575.6</v>
      </c>
      <c r="W12" s="2"/>
      <c r="X12" s="2"/>
      <c r="Y12" s="2"/>
      <c r="AA12" s="1"/>
      <c r="AB12" s="2"/>
      <c r="AC12" s="2"/>
      <c r="AD12" s="2"/>
      <c r="AE12" s="11"/>
      <c r="AF12" s="2"/>
      <c r="AG12" s="2"/>
    </row>
    <row r="13" spans="1:34" x14ac:dyDescent="0.2">
      <c r="A13" s="16" t="s">
        <v>134</v>
      </c>
      <c r="B13" s="7"/>
      <c r="C13" s="7"/>
      <c r="D13" s="7"/>
      <c r="E13" s="7"/>
      <c r="F13" s="7"/>
      <c r="G13" s="7"/>
      <c r="H13" s="7"/>
      <c r="I13" s="7"/>
      <c r="J13" s="7"/>
      <c r="K13" s="7">
        <f t="shared" si="0"/>
        <v>0</v>
      </c>
      <c r="M13" s="16" t="s">
        <v>134</v>
      </c>
      <c r="N13" s="2">
        <f>SUM(AvEsGals*0.0196)</f>
        <v>0</v>
      </c>
      <c r="O13" s="15"/>
      <c r="P13" s="31">
        <f>AvEsBase/AVGAS10.5</f>
        <v>0</v>
      </c>
      <c r="Q13" s="100">
        <f>CAP*AvEsPer</f>
        <v>0</v>
      </c>
      <c r="R13" s="2">
        <f>AvEsBase-AvEsDed</f>
        <v>0</v>
      </c>
      <c r="S13" s="100"/>
      <c r="T13" s="100">
        <f t="shared" si="1"/>
        <v>0</v>
      </c>
      <c r="U13" s="100"/>
      <c r="W13" s="2"/>
      <c r="X13" s="2"/>
      <c r="Y13" s="2"/>
      <c r="AA13" s="1"/>
      <c r="AB13" s="2"/>
      <c r="AC13" s="2"/>
      <c r="AD13" s="2"/>
      <c r="AE13" s="11"/>
      <c r="AF13" s="2"/>
      <c r="AG13" s="2"/>
    </row>
    <row r="14" spans="1:34" x14ac:dyDescent="0.2">
      <c r="A14" s="16" t="s">
        <v>135</v>
      </c>
      <c r="B14" s="7"/>
      <c r="C14" s="7"/>
      <c r="D14" s="7"/>
      <c r="E14" s="7"/>
      <c r="F14" s="7"/>
      <c r="G14" s="7"/>
      <c r="H14" s="7"/>
      <c r="I14" s="7"/>
      <c r="J14" s="7"/>
      <c r="K14" s="7">
        <f t="shared" si="0"/>
        <v>0</v>
      </c>
      <c r="M14" s="16" t="s">
        <v>135</v>
      </c>
      <c r="N14" s="2">
        <f>SUM(AvEuGals*0.0196)</f>
        <v>0</v>
      </c>
      <c r="O14" s="15"/>
      <c r="P14" s="31">
        <f>AvEuBase/AVGAS10.5</f>
        <v>0</v>
      </c>
      <c r="Q14" s="100">
        <f>CAP*AvEuPer</f>
        <v>0</v>
      </c>
      <c r="R14" s="2">
        <f>AvEuBase-AvEuDed</f>
        <v>0</v>
      </c>
      <c r="S14" s="100"/>
      <c r="T14" s="100">
        <f t="shared" si="1"/>
        <v>0</v>
      </c>
      <c r="U14" s="100"/>
      <c r="W14" s="2"/>
      <c r="X14" s="2"/>
      <c r="Y14" s="2"/>
      <c r="AA14" s="1"/>
      <c r="AB14" s="2"/>
      <c r="AC14" s="2"/>
      <c r="AD14" s="2"/>
      <c r="AE14" s="11"/>
      <c r="AF14" s="2"/>
      <c r="AG14" s="2"/>
    </row>
    <row r="15" spans="1:34" x14ac:dyDescent="0.2">
      <c r="A15" s="16" t="s">
        <v>136</v>
      </c>
      <c r="B15" s="7"/>
      <c r="C15" s="7">
        <v>7927</v>
      </c>
      <c r="D15" s="7"/>
      <c r="E15" s="7"/>
      <c r="F15" s="7"/>
      <c r="G15" s="7"/>
      <c r="H15" s="7"/>
      <c r="I15" s="7"/>
      <c r="J15" s="7"/>
      <c r="K15" s="7">
        <f t="shared" si="0"/>
        <v>7927</v>
      </c>
      <c r="M15" s="16" t="s">
        <v>136</v>
      </c>
      <c r="N15" s="2">
        <f>SUM(AvHuGals*0.0196)</f>
        <v>155.37</v>
      </c>
      <c r="O15" s="15"/>
      <c r="P15" s="31">
        <f>AvHuBase/AVGAS10.5</f>
        <v>2.7892E-2</v>
      </c>
      <c r="Q15" s="100">
        <f>CAP*AvHuPer</f>
        <v>155.37</v>
      </c>
      <c r="R15" s="2">
        <f>AvHuBase-AvHuDed</f>
        <v>0</v>
      </c>
      <c r="S15" s="100">
        <f>AvHuGals*0.08</f>
        <v>634.16</v>
      </c>
      <c r="T15" s="100">
        <f t="shared" si="1"/>
        <v>634.16</v>
      </c>
      <c r="U15" s="100">
        <f>634.16+401.12+878.64</f>
        <v>1913.92</v>
      </c>
      <c r="W15" s="2"/>
      <c r="X15" s="2"/>
      <c r="Y15" s="2"/>
      <c r="AA15" s="1"/>
      <c r="AB15" s="2"/>
      <c r="AC15" s="2"/>
      <c r="AD15" s="2"/>
      <c r="AE15" s="11"/>
      <c r="AF15" s="2"/>
      <c r="AG15" s="2"/>
    </row>
    <row r="16" spans="1:34" x14ac:dyDescent="0.2">
      <c r="A16" s="16" t="s">
        <v>137</v>
      </c>
      <c r="B16" s="7"/>
      <c r="C16" s="7"/>
      <c r="D16" s="7"/>
      <c r="E16" s="7"/>
      <c r="F16" s="7"/>
      <c r="G16" s="7"/>
      <c r="H16" s="7"/>
      <c r="I16" s="7"/>
      <c r="J16" s="7"/>
      <c r="K16" s="7">
        <f t="shared" si="0"/>
        <v>0</v>
      </c>
      <c r="M16" s="16" t="s">
        <v>137</v>
      </c>
      <c r="N16" s="2">
        <f>SUM(AvLaGals*0.0196)</f>
        <v>0</v>
      </c>
      <c r="O16" s="15"/>
      <c r="P16" s="31">
        <f>AvLaBase/AVGAS10.5</f>
        <v>0</v>
      </c>
      <c r="Q16" s="100">
        <f>CAP*AvLaPer</f>
        <v>0</v>
      </c>
      <c r="R16" s="2">
        <f>AvLaBase-AvLaDed</f>
        <v>0</v>
      </c>
      <c r="S16" s="100"/>
      <c r="T16" s="100">
        <f t="shared" si="1"/>
        <v>0</v>
      </c>
      <c r="U16" s="100"/>
      <c r="W16" s="2"/>
      <c r="X16" s="2"/>
      <c r="Y16" s="2"/>
      <c r="AA16" s="1"/>
      <c r="AB16" s="2"/>
      <c r="AC16" s="2"/>
      <c r="AD16" s="2"/>
      <c r="AE16" s="11"/>
      <c r="AF16" s="2"/>
      <c r="AG16" s="2"/>
    </row>
    <row r="17" spans="1:34" x14ac:dyDescent="0.2">
      <c r="A17" s="16" t="s">
        <v>138</v>
      </c>
      <c r="B17" s="7"/>
      <c r="C17" s="7"/>
      <c r="D17" s="7"/>
      <c r="E17" s="7"/>
      <c r="F17" s="7"/>
      <c r="G17" s="7"/>
      <c r="H17" s="7"/>
      <c r="I17" s="7"/>
      <c r="J17" s="7"/>
      <c r="K17" s="7">
        <f t="shared" si="0"/>
        <v>0</v>
      </c>
      <c r="M17" s="16" t="s">
        <v>138</v>
      </c>
      <c r="N17" s="2">
        <f>SUM(AvLiGals*0.0196)</f>
        <v>0</v>
      </c>
      <c r="O17" s="15"/>
      <c r="P17" s="31">
        <f>AvLiBase/AVGAS10.5</f>
        <v>0</v>
      </c>
      <c r="Q17" s="100">
        <f>CAP*AvLiPer</f>
        <v>0</v>
      </c>
      <c r="R17" s="2">
        <f>AvLiBase-AvLiDed</f>
        <v>0</v>
      </c>
      <c r="S17" s="100"/>
      <c r="T17" s="100">
        <f t="shared" si="1"/>
        <v>0</v>
      </c>
      <c r="U17" s="100"/>
      <c r="W17" s="2"/>
      <c r="X17" s="2"/>
      <c r="Y17" s="2"/>
      <c r="AA17" s="1"/>
      <c r="AB17" s="2"/>
      <c r="AC17" s="2"/>
      <c r="AD17" s="2"/>
      <c r="AE17" s="11"/>
      <c r="AF17" s="2"/>
      <c r="AG17" s="2"/>
    </row>
    <row r="18" spans="1:34" x14ac:dyDescent="0.2">
      <c r="A18" s="16" t="s">
        <v>139</v>
      </c>
      <c r="B18" s="7"/>
      <c r="C18" s="7"/>
      <c r="D18" s="7"/>
      <c r="E18" s="7"/>
      <c r="F18" s="7">
        <v>8923</v>
      </c>
      <c r="G18" s="7"/>
      <c r="H18" s="7">
        <v>4563</v>
      </c>
      <c r="I18" s="7"/>
      <c r="J18" s="7"/>
      <c r="K18" s="7">
        <f t="shared" si="0"/>
        <v>13486</v>
      </c>
      <c r="M18" s="16" t="s">
        <v>139</v>
      </c>
      <c r="N18" s="2">
        <f>SUM(AvLyGals*0.0196)-0.01</f>
        <v>264.32</v>
      </c>
      <c r="O18" s="15"/>
      <c r="P18" s="31">
        <f>AvLyBase/AVGAS10.5</f>
        <v>4.7451E-2</v>
      </c>
      <c r="Q18" s="100">
        <f>CAP*AvLyPer</f>
        <v>264.32</v>
      </c>
      <c r="R18" s="2">
        <f>AvLyBase-AvLyDed</f>
        <v>0</v>
      </c>
      <c r="S18" s="100"/>
      <c r="T18" s="100">
        <f t="shared" si="1"/>
        <v>0</v>
      </c>
      <c r="U18" s="100"/>
      <c r="W18" s="2"/>
      <c r="X18" s="2"/>
      <c r="Y18" s="2"/>
      <c r="AA18" s="1"/>
      <c r="AB18" s="2"/>
      <c r="AC18" s="2"/>
      <c r="AD18" s="2"/>
      <c r="AE18" s="11"/>
      <c r="AF18" s="2"/>
      <c r="AG18" s="2"/>
    </row>
    <row r="19" spans="1:34" x14ac:dyDescent="0.2">
      <c r="A19" s="16" t="s">
        <v>140</v>
      </c>
      <c r="B19" s="7"/>
      <c r="C19" s="7"/>
      <c r="D19" s="7"/>
      <c r="E19" s="7"/>
      <c r="F19" s="7">
        <v>1584</v>
      </c>
      <c r="G19" s="7"/>
      <c r="H19" s="7"/>
      <c r="I19" s="7"/>
      <c r="J19" s="7"/>
      <c r="K19" s="7">
        <f t="shared" si="0"/>
        <v>1584</v>
      </c>
      <c r="M19" s="16" t="s">
        <v>140</v>
      </c>
      <c r="N19" s="2">
        <f>SUM(AvMiGals*0.0196)</f>
        <v>31.05</v>
      </c>
      <c r="O19" s="15"/>
      <c r="P19" s="31">
        <f>AvMiBase/AVGAS10.5</f>
        <v>5.574E-3</v>
      </c>
      <c r="Q19" s="100">
        <f>CAP*AvMiPer</f>
        <v>31.05</v>
      </c>
      <c r="R19" s="2">
        <f>AvMiBase-AvMiDed</f>
        <v>0</v>
      </c>
      <c r="S19" s="100"/>
      <c r="T19" s="100">
        <f t="shared" si="1"/>
        <v>0</v>
      </c>
      <c r="U19" s="100"/>
      <c r="W19" s="2"/>
      <c r="X19" s="2"/>
      <c r="Y19" s="2"/>
      <c r="AA19" s="1"/>
      <c r="AB19" s="2"/>
      <c r="AC19" s="2"/>
      <c r="AD19" s="2"/>
      <c r="AE19" s="11"/>
      <c r="AF19" s="2"/>
      <c r="AG19" s="2"/>
    </row>
    <row r="20" spans="1:34" x14ac:dyDescent="0.2">
      <c r="A20" s="16" t="s">
        <v>141</v>
      </c>
      <c r="B20" s="7"/>
      <c r="C20" s="7">
        <v>8245</v>
      </c>
      <c r="D20" s="7"/>
      <c r="E20" s="7"/>
      <c r="F20" s="7"/>
      <c r="G20" s="7"/>
      <c r="H20" s="7"/>
      <c r="I20" s="7"/>
      <c r="J20" s="7"/>
      <c r="K20" s="7">
        <f t="shared" si="0"/>
        <v>8245</v>
      </c>
      <c r="M20" s="16" t="s">
        <v>141</v>
      </c>
      <c r="N20" s="2">
        <f>SUM(AvNyGals*0.0196)</f>
        <v>161.6</v>
      </c>
      <c r="O20" s="15"/>
      <c r="P20" s="31">
        <f>AvNyBase/AVGAS10.5</f>
        <v>2.9010999999999999E-2</v>
      </c>
      <c r="Q20" s="100">
        <f>CAP*AvNyPer</f>
        <v>161.6</v>
      </c>
      <c r="R20" s="2">
        <f>AvNyBase-AvNyDed</f>
        <v>0</v>
      </c>
      <c r="S20" s="100"/>
      <c r="T20" s="100">
        <f t="shared" si="1"/>
        <v>0</v>
      </c>
      <c r="U20" s="100"/>
      <c r="W20" s="2"/>
      <c r="X20" s="2"/>
      <c r="Y20" s="2"/>
      <c r="AA20" s="1"/>
      <c r="AB20" s="2"/>
      <c r="AC20" s="2"/>
      <c r="AD20" s="2"/>
      <c r="AE20" s="11"/>
      <c r="AF20" s="2"/>
      <c r="AG20" s="2"/>
    </row>
    <row r="21" spans="1:34" x14ac:dyDescent="0.2">
      <c r="A21" s="16" t="s">
        <v>142</v>
      </c>
      <c r="B21" s="7"/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  <c r="M21" s="16" t="s">
        <v>142</v>
      </c>
      <c r="N21" s="2">
        <f>SUM(AvPeGals*0.0196)</f>
        <v>0</v>
      </c>
      <c r="O21" s="15"/>
      <c r="P21" s="31">
        <f>AvPeBase/AVGAS10.5</f>
        <v>0</v>
      </c>
      <c r="Q21" s="100">
        <f>CAP*AvPePer</f>
        <v>0</v>
      </c>
      <c r="R21" s="2">
        <f>AvPeBase-AvPeDed</f>
        <v>0</v>
      </c>
      <c r="S21" s="100"/>
      <c r="T21" s="100">
        <f t="shared" si="1"/>
        <v>0</v>
      </c>
      <c r="U21" s="100"/>
      <c r="W21" s="2"/>
      <c r="X21" s="2"/>
      <c r="Y21" s="2"/>
      <c r="AA21" s="1"/>
      <c r="AB21" s="2"/>
      <c r="AC21" s="2"/>
      <c r="AD21" s="2"/>
      <c r="AE21" s="11"/>
      <c r="AF21" s="2"/>
      <c r="AG21" s="2"/>
    </row>
    <row r="22" spans="1:34" x14ac:dyDescent="0.2">
      <c r="A22" s="16" t="s">
        <v>143</v>
      </c>
      <c r="B22" s="7"/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  <c r="M22" s="16" t="s">
        <v>143</v>
      </c>
      <c r="N22" s="2">
        <f>SUM(AvStGals*0.0196)</f>
        <v>0</v>
      </c>
      <c r="O22" s="15"/>
      <c r="P22" s="31">
        <f>AvStBase/AVGAS10.5</f>
        <v>0</v>
      </c>
      <c r="Q22" s="100">
        <f>CAP*AvStPer</f>
        <v>0</v>
      </c>
      <c r="R22" s="2">
        <f>AvStBase-AvStDed</f>
        <v>0</v>
      </c>
      <c r="S22" s="100"/>
      <c r="T22" s="100">
        <f t="shared" si="1"/>
        <v>0</v>
      </c>
      <c r="U22" s="100"/>
      <c r="W22" s="2"/>
      <c r="X22" s="2"/>
      <c r="Y22" s="2"/>
      <c r="AA22" s="1"/>
      <c r="AB22" s="2"/>
      <c r="AC22" s="2"/>
      <c r="AD22" s="2"/>
      <c r="AE22" s="11"/>
      <c r="AF22" s="2"/>
      <c r="AG22" s="2"/>
    </row>
    <row r="23" spans="1:34" x14ac:dyDescent="0.2">
      <c r="A23" s="16" t="s">
        <v>144</v>
      </c>
      <c r="B23" s="7"/>
      <c r="C23" s="7">
        <v>15880</v>
      </c>
      <c r="D23" s="7">
        <v>15915</v>
      </c>
      <c r="E23" s="7"/>
      <c r="F23" s="7"/>
      <c r="G23" s="7">
        <v>8957</v>
      </c>
      <c r="H23" s="7"/>
      <c r="I23" s="7"/>
      <c r="J23" s="7">
        <v>17084</v>
      </c>
      <c r="K23" s="7">
        <f>SUM(B23:J23)</f>
        <v>57836</v>
      </c>
      <c r="M23" s="16" t="s">
        <v>144</v>
      </c>
      <c r="N23" s="2">
        <f>SUM(AvWaGals*0.0196)</f>
        <v>1133.5899999999999</v>
      </c>
      <c r="O23" s="15"/>
      <c r="P23" s="31">
        <f>AvWaBase/AVGAS10.5</f>
        <v>0.20350499999999999</v>
      </c>
      <c r="Q23" s="100">
        <f>CAP*AvWaPer</f>
        <v>1133.5899999999999</v>
      </c>
      <c r="R23" s="2">
        <f>AvWaBase-AvWaDed</f>
        <v>0</v>
      </c>
      <c r="S23" s="100"/>
      <c r="T23" s="100">
        <f t="shared" si="1"/>
        <v>0</v>
      </c>
      <c r="U23" s="100"/>
      <c r="W23" s="2"/>
      <c r="X23" s="2"/>
      <c r="Y23" s="2"/>
      <c r="AA23" s="1"/>
      <c r="AB23" s="2"/>
      <c r="AC23" s="2"/>
      <c r="AD23" s="2"/>
      <c r="AE23" s="11"/>
      <c r="AF23" s="2"/>
      <c r="AG23" s="2"/>
    </row>
    <row r="24" spans="1:34" x14ac:dyDescent="0.2">
      <c r="A24" s="16" t="s">
        <v>145</v>
      </c>
      <c r="B24" s="7"/>
      <c r="C24" s="7"/>
      <c r="D24" s="7">
        <v>11020</v>
      </c>
      <c r="E24" s="7"/>
      <c r="F24" s="7"/>
      <c r="G24" s="7"/>
      <c r="H24" s="7"/>
      <c r="I24" s="7"/>
      <c r="J24" s="7"/>
      <c r="K24" s="7">
        <f>SUM(B24:I24)</f>
        <v>11020</v>
      </c>
      <c r="M24" s="16" t="s">
        <v>145</v>
      </c>
      <c r="N24" s="33">
        <f>SUM(AvWhGals*0.0196)</f>
        <v>215.99</v>
      </c>
      <c r="O24" s="48"/>
      <c r="P24" s="49">
        <f>AvWhBase/AVGAS10.5</f>
        <v>3.8774999999999997E-2</v>
      </c>
      <c r="Q24" s="101">
        <f>CAP*AvWhPer</f>
        <v>215.99</v>
      </c>
      <c r="R24" s="33">
        <f>AvWhBase-AvWhDed</f>
        <v>0</v>
      </c>
      <c r="S24" s="101"/>
      <c r="T24" s="101">
        <f t="shared" si="1"/>
        <v>0</v>
      </c>
      <c r="U24" s="101"/>
      <c r="V24" s="94"/>
      <c r="W24" s="2"/>
      <c r="X24" s="2"/>
      <c r="Y24" s="2"/>
      <c r="AA24" s="1"/>
      <c r="AB24" s="2"/>
      <c r="AC24" s="2"/>
      <c r="AD24" s="33"/>
      <c r="AE24" s="94"/>
      <c r="AF24" s="33"/>
      <c r="AG24" s="2"/>
    </row>
    <row r="25" spans="1:34" ht="24" customHeight="1" thickBot="1" x14ac:dyDescent="0.25">
      <c r="A25" s="93" t="s">
        <v>12</v>
      </c>
      <c r="B25" s="34">
        <f>SUM(B8:B24)</f>
        <v>147495</v>
      </c>
      <c r="C25" s="34">
        <f>SUM(C8:C24)</f>
        <v>52303</v>
      </c>
      <c r="D25" s="34">
        <f t="shared" ref="D25:J25" si="2">SUM(D8:D24)</f>
        <v>35416</v>
      </c>
      <c r="E25" s="34">
        <f t="shared" si="2"/>
        <v>-200</v>
      </c>
      <c r="F25" s="34">
        <f t="shared" si="2"/>
        <v>10507</v>
      </c>
      <c r="G25" s="34">
        <f t="shared" si="2"/>
        <v>8957</v>
      </c>
      <c r="H25" s="34">
        <f t="shared" si="2"/>
        <v>4563</v>
      </c>
      <c r="I25" s="34">
        <f t="shared" si="2"/>
        <v>8075</v>
      </c>
      <c r="J25" s="34">
        <f t="shared" si="2"/>
        <v>17084</v>
      </c>
      <c r="K25" s="34">
        <f>SUM(K8:K24)</f>
        <v>284200</v>
      </c>
      <c r="L25" s="7"/>
      <c r="M25" s="16" t="s">
        <v>12</v>
      </c>
      <c r="N25" s="134">
        <f>SUM(AvCaBase:AvWhBase)</f>
        <v>5570.32</v>
      </c>
      <c r="O25" s="135">
        <f>'s4'!E11</f>
        <v>5570.32</v>
      </c>
      <c r="P25" s="47">
        <f>SUM(P8:P24)</f>
        <v>1</v>
      </c>
      <c r="Q25" s="136">
        <f>SUM(AvCaDed:AvWhDed)</f>
        <v>5570.32</v>
      </c>
      <c r="R25" s="134">
        <f>SUM(R8:R24)</f>
        <v>0</v>
      </c>
      <c r="S25" s="46">
        <f>SUM(S8:S24)</f>
        <v>2570.88</v>
      </c>
      <c r="T25" s="46">
        <f>SUM(T8:T24)</f>
        <v>2570.88</v>
      </c>
      <c r="U25" s="46">
        <f>SUM(U8:U24)</f>
        <v>9096.4</v>
      </c>
      <c r="V25" s="81">
        <f>AVGAS10.5-CAP+AV_OPT</f>
        <v>2570.88</v>
      </c>
      <c r="AA25" s="2"/>
      <c r="AB25" s="14"/>
      <c r="AC25" s="2"/>
      <c r="AD25" s="2"/>
      <c r="AE25" s="2"/>
      <c r="AF25" s="2"/>
      <c r="AG25" s="2"/>
      <c r="AH25" s="11"/>
    </row>
    <row r="26" spans="1:34" ht="12" hidden="1" customHeight="1" x14ac:dyDescent="0.2">
      <c r="D26" s="7"/>
      <c r="E26" s="7"/>
      <c r="F26" s="7"/>
      <c r="G26" s="7"/>
    </row>
    <row r="27" spans="1:34" hidden="1" x14ac:dyDescent="0.2">
      <c r="K27" s="7"/>
      <c r="R27" s="99"/>
      <c r="S27" s="99"/>
      <c r="T27" s="99"/>
      <c r="U27" s="99">
        <f>AG25</f>
        <v>0</v>
      </c>
      <c r="W27" s="4"/>
      <c r="X27" s="4"/>
      <c r="Y27" s="4"/>
    </row>
    <row r="28" spans="1:34" hidden="1" x14ac:dyDescent="0.2">
      <c r="A28" t="s">
        <v>269</v>
      </c>
      <c r="B28" s="44">
        <f>634.56+2890.9</f>
        <v>3525.46</v>
      </c>
      <c r="C28" s="44">
        <f>1936.32+1025.14</f>
        <v>2961.46</v>
      </c>
      <c r="D28" s="44">
        <v>694.15</v>
      </c>
      <c r="E28" s="44">
        <v>-3.92</v>
      </c>
      <c r="F28" s="44">
        <v>205.94</v>
      </c>
      <c r="G28" s="44">
        <v>175.56</v>
      </c>
      <c r="H28" s="44">
        <v>89.43</v>
      </c>
      <c r="I28" s="44">
        <v>158.27000000000001</v>
      </c>
      <c r="J28" s="44">
        <v>334.85</v>
      </c>
      <c r="K28" s="45">
        <f>SUM(B28:J28)</f>
        <v>8141.2</v>
      </c>
      <c r="M28" s="281">
        <v>0</v>
      </c>
      <c r="P28" s="17">
        <f>CAP+AV_OPT</f>
        <v>8141.2</v>
      </c>
      <c r="W28" s="9"/>
      <c r="X28" s="9"/>
      <c r="Y28" s="9"/>
      <c r="AA28" s="2"/>
    </row>
    <row r="29" spans="1:34" hidden="1" x14ac:dyDescent="0.2">
      <c r="P29" s="25"/>
      <c r="Q29" s="17">
        <f>AvDeduct-CAP</f>
        <v>0</v>
      </c>
    </row>
    <row r="30" spans="1:34" hidden="1" x14ac:dyDescent="0.2">
      <c r="S30" s="11"/>
      <c r="T30" s="11"/>
      <c r="U30" s="11">
        <f>AG25</f>
        <v>0</v>
      </c>
    </row>
    <row r="31" spans="1:34" hidden="1" x14ac:dyDescent="0.2"/>
    <row r="32" spans="1:34" hidden="1" x14ac:dyDescent="0.2">
      <c r="O32" s="17">
        <f>AVGAS10.5+AV_OPT</f>
        <v>8141.2</v>
      </c>
    </row>
    <row r="33" spans="13:14" hidden="1" x14ac:dyDescent="0.2">
      <c r="M33" s="255">
        <v>8141.2</v>
      </c>
    </row>
    <row r="34" spans="13:14" hidden="1" x14ac:dyDescent="0.2"/>
    <row r="35" spans="13:14" hidden="1" x14ac:dyDescent="0.2">
      <c r="M35" s="278">
        <f>P28-M33</f>
        <v>0</v>
      </c>
      <c r="N35" s="2"/>
    </row>
    <row r="36" spans="13:14" hidden="1" x14ac:dyDescent="0.2"/>
    <row r="37" spans="13:14" hidden="1" x14ac:dyDescent="0.2"/>
    <row r="38" spans="13:14" hidden="1" x14ac:dyDescent="0.2"/>
    <row r="39" spans="13:14" hidden="1" x14ac:dyDescent="0.2"/>
    <row r="40" spans="13:14" hidden="1" x14ac:dyDescent="0.2"/>
    <row r="41" spans="13:14" hidden="1" x14ac:dyDescent="0.2"/>
    <row r="42" spans="13:14" hidden="1" x14ac:dyDescent="0.2"/>
    <row r="43" spans="13:14" hidden="1" x14ac:dyDescent="0.2"/>
    <row r="44" spans="13:14" hidden="1" x14ac:dyDescent="0.2"/>
    <row r="45" spans="13:14" hidden="1" x14ac:dyDescent="0.2"/>
    <row r="46" spans="13:14" hidden="1" x14ac:dyDescent="0.2"/>
    <row r="47" spans="13:14" hidden="1" x14ac:dyDescent="0.2"/>
    <row r="48" spans="13:1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</sheetData>
  <phoneticPr fontId="0" type="noConversion"/>
  <printOptions horizontalCentered="1"/>
  <pageMargins left="0.75" right="0.75" top="1" bottom="1" header="0.5" footer="0.5"/>
  <pageSetup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317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9" sqref="A9"/>
    </sheetView>
  </sheetViews>
  <sheetFormatPr defaultRowHeight="12.75" x14ac:dyDescent="0.2"/>
  <cols>
    <col min="1" max="1" width="28.7109375" customWidth="1"/>
    <col min="2" max="2" width="14.28515625" customWidth="1"/>
    <col min="3" max="3" width="12.28515625" customWidth="1"/>
    <col min="4" max="4" width="13.28515625" customWidth="1"/>
    <col min="5" max="5" width="12.28515625" customWidth="1"/>
    <col min="6" max="6" width="12" customWidth="1"/>
    <col min="7" max="7" width="11.42578125" customWidth="1"/>
    <col min="8" max="8" width="10.28515625" customWidth="1"/>
    <col min="9" max="9" width="10.85546875" customWidth="1"/>
    <col min="10" max="10" width="10.5703125" customWidth="1"/>
    <col min="11" max="11" width="10.85546875" customWidth="1"/>
    <col min="12" max="12" width="12.140625" customWidth="1"/>
    <col min="13" max="13" width="11.42578125" customWidth="1"/>
    <col min="14" max="14" width="13.28515625" customWidth="1"/>
    <col min="15" max="15" width="10.85546875" customWidth="1"/>
    <col min="16" max="16" width="11.85546875" customWidth="1"/>
    <col min="17" max="17" width="10.85546875" customWidth="1"/>
    <col min="19" max="19" width="13.140625" customWidth="1"/>
    <col min="20" max="20" width="13.28515625" hidden="1" customWidth="1"/>
    <col min="21" max="21" width="0" hidden="1" customWidth="1"/>
    <col min="22" max="22" width="11.5703125" hidden="1" customWidth="1"/>
  </cols>
  <sheetData>
    <row r="1" spans="1:20" ht="15.75" x14ac:dyDescent="0.25">
      <c r="A1" s="63" t="s">
        <v>270</v>
      </c>
      <c r="B1" s="1"/>
      <c r="C1" s="1"/>
      <c r="D1" s="1"/>
      <c r="E1" s="1"/>
      <c r="F1" s="62"/>
      <c r="H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6" t="str">
        <f>ReportMonth</f>
        <v>JUNE 2004</v>
      </c>
      <c r="B2" s="1"/>
      <c r="C2" s="1"/>
      <c r="D2" s="1"/>
      <c r="E2" s="1"/>
      <c r="G2" s="69"/>
      <c r="H2" s="62"/>
      <c r="I2" s="62"/>
      <c r="J2" s="62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65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441</v>
      </c>
      <c r="B4" s="42"/>
      <c r="C4" s="42"/>
      <c r="D4" s="42"/>
      <c r="E4" s="42"/>
      <c r="F4" s="87"/>
      <c r="G4" s="65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271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ht="15" x14ac:dyDescent="0.2">
      <c r="A6" s="87" t="s">
        <v>272</v>
      </c>
      <c r="B6" s="42"/>
      <c r="C6" s="42"/>
      <c r="D6" s="42"/>
      <c r="E6" s="42"/>
      <c r="F6" s="43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1"/>
    </row>
    <row r="7" spans="1:20" ht="29.25" customHeight="1" x14ac:dyDescent="0.25">
      <c r="A7" s="126" t="str">
        <f>CONCATENATE("FEES COLLECTED IN ",ReportMonth," FOR ",ActivityMonth," TRANSACTIONS")</f>
        <v>FEES COLLECTED IN JUNE 2004 FOR JUNE 2004 TRANSACTIONS</v>
      </c>
      <c r="B7" s="43"/>
      <c r="C7" s="43"/>
      <c r="D7" s="43"/>
      <c r="E7" s="43"/>
      <c r="F7" s="43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8" spans="1:20" ht="18" customHeight="1" x14ac:dyDescent="0.2">
      <c r="A8" s="84"/>
      <c r="B8" s="43"/>
      <c r="C8" s="43"/>
      <c r="D8" s="43"/>
      <c r="E8" s="43"/>
      <c r="F8" s="43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1"/>
    </row>
    <row r="9" spans="1:20" ht="12.75" customHeight="1" x14ac:dyDescent="0.2">
      <c r="A9" s="1"/>
      <c r="B9" s="6" t="s">
        <v>273</v>
      </c>
      <c r="C9" s="50" t="s">
        <v>274</v>
      </c>
      <c r="D9" s="52" t="s">
        <v>275</v>
      </c>
      <c r="E9" s="52"/>
      <c r="F9" s="52" t="s">
        <v>276</v>
      </c>
      <c r="G9" s="52"/>
      <c r="H9" s="52" t="s">
        <v>277</v>
      </c>
      <c r="I9" s="52"/>
      <c r="J9" s="52" t="s">
        <v>278</v>
      </c>
      <c r="K9" s="52"/>
      <c r="L9" s="52" t="s">
        <v>279</v>
      </c>
      <c r="M9" s="52"/>
      <c r="N9" s="52" t="s">
        <v>280</v>
      </c>
      <c r="O9" s="52"/>
      <c r="P9" s="52" t="s">
        <v>281</v>
      </c>
      <c r="Q9" s="52"/>
      <c r="R9" s="50" t="s">
        <v>282</v>
      </c>
      <c r="S9" s="57" t="s">
        <v>283</v>
      </c>
      <c r="T9" s="5" t="s">
        <v>110</v>
      </c>
    </row>
    <row r="10" spans="1:20" x14ac:dyDescent="0.2">
      <c r="A10" s="1"/>
      <c r="B10" s="6" t="s">
        <v>284</v>
      </c>
      <c r="C10" s="50" t="s">
        <v>284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2" t="s">
        <v>5</v>
      </c>
      <c r="O10" s="52"/>
      <c r="P10" s="53"/>
      <c r="Q10" s="53"/>
      <c r="R10" s="53"/>
      <c r="S10" s="57" t="s">
        <v>12</v>
      </c>
      <c r="T10" s="5" t="s">
        <v>285</v>
      </c>
    </row>
    <row r="11" spans="1:20" x14ac:dyDescent="0.2">
      <c r="A11" s="109" t="s">
        <v>13</v>
      </c>
      <c r="B11" s="38" t="s">
        <v>286</v>
      </c>
      <c r="C11" s="51" t="s">
        <v>287</v>
      </c>
      <c r="D11" s="54" t="s">
        <v>288</v>
      </c>
      <c r="E11" s="55" t="s">
        <v>289</v>
      </c>
      <c r="F11" s="54" t="s">
        <v>288</v>
      </c>
      <c r="G11" s="56" t="s">
        <v>289</v>
      </c>
      <c r="H11" s="56" t="s">
        <v>288</v>
      </c>
      <c r="I11" s="56" t="s">
        <v>289</v>
      </c>
      <c r="J11" s="54" t="s">
        <v>288</v>
      </c>
      <c r="K11" s="56" t="s">
        <v>289</v>
      </c>
      <c r="L11" s="54" t="s">
        <v>288</v>
      </c>
      <c r="M11" s="55" t="s">
        <v>289</v>
      </c>
      <c r="N11" s="54" t="s">
        <v>288</v>
      </c>
      <c r="O11" s="56" t="s">
        <v>289</v>
      </c>
      <c r="P11" s="54" t="s">
        <v>288</v>
      </c>
      <c r="Q11" s="56" t="s">
        <v>289</v>
      </c>
      <c r="R11" s="56"/>
      <c r="S11" s="58" t="s">
        <v>5</v>
      </c>
      <c r="T11" s="5" t="s">
        <v>290</v>
      </c>
    </row>
    <row r="12" spans="1:20" x14ac:dyDescent="0.2">
      <c r="A12" s="1"/>
      <c r="B12" s="7"/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9"/>
      <c r="T12" s="1"/>
    </row>
    <row r="13" spans="1:20" x14ac:dyDescent="0.2">
      <c r="A13" s="1" t="s">
        <v>613</v>
      </c>
      <c r="B13" s="2">
        <v>56.12</v>
      </c>
      <c r="C13" s="78">
        <v>4.12</v>
      </c>
      <c r="D13" s="7"/>
      <c r="E13" s="7"/>
      <c r="F13" s="7"/>
      <c r="G13" s="7"/>
      <c r="H13" s="7">
        <v>7483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60">
        <f>SUM((D13+F13+H13+J13+L13+N13+P13+R13)-(E13+G13+I13+K13+M13+O13+Q13))</f>
        <v>7483</v>
      </c>
      <c r="T13" s="1">
        <f>S13-J13</f>
        <v>7483</v>
      </c>
    </row>
    <row r="14" spans="1:20" s="20" customFormat="1" x14ac:dyDescent="0.2">
      <c r="A14" s="18" t="s">
        <v>291</v>
      </c>
      <c r="B14" s="78">
        <v>-50.07</v>
      </c>
      <c r="C14" s="78"/>
      <c r="D14" s="246"/>
      <c r="E14" s="246">
        <v>5689</v>
      </c>
      <c r="F14" s="246"/>
      <c r="G14" s="246"/>
      <c r="H14" s="246"/>
      <c r="I14" s="246"/>
      <c r="J14" s="246"/>
      <c r="K14" s="246"/>
      <c r="L14" s="246"/>
      <c r="M14" s="246">
        <v>987</v>
      </c>
      <c r="N14" s="246"/>
      <c r="O14" s="246"/>
      <c r="P14" s="246"/>
      <c r="Q14" s="246"/>
      <c r="R14" s="246"/>
      <c r="S14" s="248">
        <f t="shared" ref="S14:S20" si="0">SUM((D14+F14+H14+J14+L14+N14+P14+R14)-(E14+G14+I14+K14+M14+O14+Q14))</f>
        <v>-6676</v>
      </c>
      <c r="T14" s="18">
        <f t="shared" ref="T14:T20" si="1">S14-J14</f>
        <v>-6676</v>
      </c>
    </row>
    <row r="15" spans="1:20" s="20" customFormat="1" x14ac:dyDescent="0.2">
      <c r="A15" s="18" t="s">
        <v>292</v>
      </c>
      <c r="B15" s="78">
        <v>707.16</v>
      </c>
      <c r="C15" s="78">
        <v>28.77</v>
      </c>
      <c r="D15" s="246"/>
      <c r="E15" s="246"/>
      <c r="F15" s="246"/>
      <c r="G15" s="246"/>
      <c r="H15" s="246">
        <v>52303</v>
      </c>
      <c r="I15" s="246"/>
      <c r="J15" s="246"/>
      <c r="K15" s="246"/>
      <c r="L15" s="246">
        <v>41985</v>
      </c>
      <c r="M15" s="246"/>
      <c r="N15" s="246"/>
      <c r="O15" s="246"/>
      <c r="P15" s="246"/>
      <c r="Q15" s="246"/>
      <c r="R15" s="246"/>
      <c r="S15" s="248">
        <f>SUM((D15+F15+H15+J15+L15+N15+P15+R15)-(E15+G15+I15+K15+M15+O15+Q15))</f>
        <v>94288</v>
      </c>
      <c r="T15" s="18">
        <f>S15-J15</f>
        <v>94288</v>
      </c>
    </row>
    <row r="16" spans="1:20" x14ac:dyDescent="0.2">
      <c r="A16" s="1" t="s">
        <v>429</v>
      </c>
      <c r="B16" s="2">
        <v>-1602.83</v>
      </c>
      <c r="C16" s="78"/>
      <c r="D16" s="7"/>
      <c r="E16" s="7"/>
      <c r="F16" s="7"/>
      <c r="G16" s="7"/>
      <c r="H16" s="7"/>
      <c r="I16" s="7"/>
      <c r="J16" s="7"/>
      <c r="K16" s="7"/>
      <c r="L16" s="7"/>
      <c r="M16" s="7">
        <v>213711</v>
      </c>
      <c r="N16" s="7"/>
      <c r="O16" s="7"/>
      <c r="P16" s="7"/>
      <c r="Q16" s="7"/>
      <c r="R16" s="7"/>
      <c r="S16" s="60">
        <f>SUM((D16+F16+H16+J16+L16+N16+P16+R16)-(E16+G16+I16+K16+M16+O16+Q16))</f>
        <v>-213711</v>
      </c>
      <c r="T16" s="1">
        <f>S16-J16</f>
        <v>-213711</v>
      </c>
    </row>
    <row r="17" spans="1:20" x14ac:dyDescent="0.2">
      <c r="A17" s="1" t="s">
        <v>343</v>
      </c>
      <c r="B17" s="2">
        <v>109529.17</v>
      </c>
      <c r="C17" s="78">
        <v>3353.63</v>
      </c>
      <c r="D17" s="7">
        <v>6033727</v>
      </c>
      <c r="E17" s="7"/>
      <c r="F17" s="7"/>
      <c r="G17" s="7"/>
      <c r="H17" s="7"/>
      <c r="I17" s="7"/>
      <c r="J17" s="7">
        <v>63785</v>
      </c>
      <c r="K17" s="7"/>
      <c r="L17" s="7">
        <v>8550655</v>
      </c>
      <c r="M17" s="7">
        <v>67927</v>
      </c>
      <c r="N17" s="7"/>
      <c r="O17" s="7"/>
      <c r="P17" s="7">
        <v>87434</v>
      </c>
      <c r="Q17" s="7"/>
      <c r="R17" s="7"/>
      <c r="S17" s="60">
        <f t="shared" si="0"/>
        <v>14667674</v>
      </c>
      <c r="T17" s="1">
        <f t="shared" si="1"/>
        <v>14603889</v>
      </c>
    </row>
    <row r="18" spans="1:20" x14ac:dyDescent="0.2">
      <c r="A18" s="1" t="s">
        <v>449</v>
      </c>
      <c r="B18" s="2">
        <v>104102.83</v>
      </c>
      <c r="C18" s="78">
        <v>7606.99</v>
      </c>
      <c r="D18" s="7"/>
      <c r="E18" s="7"/>
      <c r="F18" s="7">
        <v>13830894</v>
      </c>
      <c r="G18" s="7">
        <v>1226618</v>
      </c>
      <c r="H18" s="7"/>
      <c r="I18" s="7"/>
      <c r="J18" s="7"/>
      <c r="K18" s="7"/>
      <c r="L18" s="7">
        <v>1276667</v>
      </c>
      <c r="M18" s="7">
        <v>17912</v>
      </c>
      <c r="N18" s="7"/>
      <c r="O18" s="7"/>
      <c r="P18" s="7">
        <v>17346</v>
      </c>
      <c r="Q18" s="7"/>
      <c r="R18" s="7"/>
      <c r="S18" s="60">
        <f t="shared" si="0"/>
        <v>13880377</v>
      </c>
      <c r="T18" s="1">
        <f t="shared" si="1"/>
        <v>13880377</v>
      </c>
    </row>
    <row r="19" spans="1:20" x14ac:dyDescent="0.2">
      <c r="A19" s="1" t="s">
        <v>450</v>
      </c>
      <c r="B19" s="2">
        <v>192.61</v>
      </c>
      <c r="C19" s="78">
        <v>14.67</v>
      </c>
      <c r="D19" s="7">
        <v>26669</v>
      </c>
      <c r="E19" s="7">
        <v>74189</v>
      </c>
      <c r="F19" s="7"/>
      <c r="G19" s="7"/>
      <c r="H19" s="7"/>
      <c r="I19" s="7"/>
      <c r="J19" s="7"/>
      <c r="K19" s="7"/>
      <c r="L19" s="7">
        <v>73201</v>
      </c>
      <c r="M19" s="7"/>
      <c r="N19" s="7"/>
      <c r="O19" s="7"/>
      <c r="P19" s="7"/>
      <c r="Q19" s="7"/>
      <c r="R19" s="7"/>
      <c r="S19" s="60">
        <f t="shared" si="0"/>
        <v>25681</v>
      </c>
      <c r="T19" s="1">
        <f t="shared" si="1"/>
        <v>25681</v>
      </c>
    </row>
    <row r="20" spans="1:20" x14ac:dyDescent="0.2">
      <c r="A20" s="1" t="s">
        <v>90</v>
      </c>
      <c r="B20" s="2">
        <v>595.64</v>
      </c>
      <c r="C20" s="78">
        <v>36.29</v>
      </c>
      <c r="D20" s="7">
        <v>65988</v>
      </c>
      <c r="E20" s="7"/>
      <c r="F20" s="7"/>
      <c r="G20" s="7"/>
      <c r="H20" s="7"/>
      <c r="I20" s="7"/>
      <c r="J20" s="7"/>
      <c r="K20" s="7"/>
      <c r="L20" s="7">
        <v>13431</v>
      </c>
      <c r="M20" s="7"/>
      <c r="N20" s="7"/>
      <c r="O20" s="7"/>
      <c r="P20" s="7"/>
      <c r="Q20" s="7"/>
      <c r="R20" s="7"/>
      <c r="S20" s="60">
        <f t="shared" si="0"/>
        <v>79419</v>
      </c>
      <c r="T20" s="1">
        <f t="shared" si="1"/>
        <v>79419</v>
      </c>
    </row>
    <row r="21" spans="1:20" x14ac:dyDescent="0.2">
      <c r="A21" s="1" t="s">
        <v>293</v>
      </c>
      <c r="B21" s="2">
        <v>-1179.3499999999999</v>
      </c>
      <c r="C21" s="78">
        <v>50.59</v>
      </c>
      <c r="D21" s="7"/>
      <c r="E21" s="7"/>
      <c r="F21" s="7"/>
      <c r="G21" s="7"/>
      <c r="H21" s="7"/>
      <c r="I21" s="7"/>
      <c r="J21" s="7">
        <v>91982</v>
      </c>
      <c r="K21" s="7"/>
      <c r="L21" s="7"/>
      <c r="M21" s="7">
        <v>157247</v>
      </c>
      <c r="N21" s="7"/>
      <c r="O21" s="7"/>
      <c r="P21" s="7"/>
      <c r="Q21" s="7"/>
      <c r="R21" s="7"/>
      <c r="S21" s="60">
        <f t="shared" ref="S21:S34" si="2">SUM((D21+F21+H21+J21+L21+N21+P21+R21)-(E21+G21+I21+K21+M21+O21+Q21))</f>
        <v>-65265</v>
      </c>
      <c r="T21" s="1">
        <f t="shared" ref="T21:T34" si="3">S21-J21</f>
        <v>-157247</v>
      </c>
    </row>
    <row r="22" spans="1:20" x14ac:dyDescent="0.2">
      <c r="A22" s="1" t="s">
        <v>639</v>
      </c>
      <c r="B22" s="2">
        <v>9.14</v>
      </c>
      <c r="C22" s="78">
        <v>0.67</v>
      </c>
      <c r="D22" s="7">
        <v>1219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60">
        <f>SUM((D22+F22+H22+J22+L22+N22+P22+R22)-(E22+G22+I22+K22+M22+O22+Q22))</f>
        <v>1219</v>
      </c>
      <c r="T22" s="1">
        <f>S22-J22</f>
        <v>1219</v>
      </c>
    </row>
    <row r="23" spans="1:20" x14ac:dyDescent="0.2">
      <c r="A23" s="1" t="s">
        <v>701</v>
      </c>
      <c r="B23" s="2"/>
      <c r="C23" s="78">
        <v>2.56</v>
      </c>
      <c r="D23" s="7"/>
      <c r="E23" s="7"/>
      <c r="F23" s="7"/>
      <c r="G23" s="7"/>
      <c r="H23" s="7"/>
      <c r="I23" s="7"/>
      <c r="J23" s="7">
        <v>4661</v>
      </c>
      <c r="K23" s="7"/>
      <c r="L23" s="7"/>
      <c r="M23" s="7"/>
      <c r="N23" s="7"/>
      <c r="O23" s="7"/>
      <c r="P23" s="7"/>
      <c r="Q23" s="7"/>
      <c r="R23" s="7"/>
      <c r="S23" s="60">
        <f>SUM((D23+F23+H23+J23+L23+N23+P23+R23)-(E23+G23+I23+K23+M23+O23+Q23))</f>
        <v>4661</v>
      </c>
      <c r="T23" s="1">
        <f>S23-J23</f>
        <v>0</v>
      </c>
    </row>
    <row r="24" spans="1:20" x14ac:dyDescent="0.2">
      <c r="A24" s="1" t="s">
        <v>563</v>
      </c>
      <c r="B24" s="2">
        <v>217.29</v>
      </c>
      <c r="C24" s="78">
        <v>15.93</v>
      </c>
      <c r="D24" s="7">
        <v>28972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60">
        <f t="shared" si="2"/>
        <v>28972</v>
      </c>
      <c r="T24" s="1">
        <f t="shared" si="3"/>
        <v>28972</v>
      </c>
    </row>
    <row r="25" spans="1:20" x14ac:dyDescent="0.2">
      <c r="A25" s="1" t="s">
        <v>294</v>
      </c>
      <c r="B25" s="2">
        <v>168748.82</v>
      </c>
      <c r="C25" s="78">
        <v>10875.69</v>
      </c>
      <c r="D25" s="7">
        <v>19556586</v>
      </c>
      <c r="E25" s="7">
        <v>59351</v>
      </c>
      <c r="F25" s="7"/>
      <c r="G25" s="7"/>
      <c r="H25" s="7">
        <v>201505</v>
      </c>
      <c r="I25" s="7"/>
      <c r="J25" s="7">
        <v>15886</v>
      </c>
      <c r="K25" s="7"/>
      <c r="L25" s="7">
        <v>2831705</v>
      </c>
      <c r="M25" s="7">
        <v>37564</v>
      </c>
      <c r="N25" s="7"/>
      <c r="O25" s="7"/>
      <c r="P25" s="7">
        <v>6962</v>
      </c>
      <c r="Q25" s="7"/>
      <c r="R25" s="7"/>
      <c r="S25" s="60">
        <f>SUM((D25+F25+H25+J25+L25+N25+P25+R25)-(E25+G25+I25+K25+M25+O25+Q25))</f>
        <v>22515729</v>
      </c>
      <c r="T25" s="1">
        <f>S25-J25</f>
        <v>22499843</v>
      </c>
    </row>
    <row r="26" spans="1:20" x14ac:dyDescent="0.2">
      <c r="A26" s="18" t="s">
        <v>91</v>
      </c>
      <c r="B26" s="2">
        <v>297.11</v>
      </c>
      <c r="C26" s="78">
        <v>15.01</v>
      </c>
      <c r="D26" s="7">
        <v>27285</v>
      </c>
      <c r="E26" s="7"/>
      <c r="F26" s="7"/>
      <c r="G26" s="7"/>
      <c r="H26" s="7"/>
      <c r="I26" s="7"/>
      <c r="J26" s="7"/>
      <c r="K26" s="7"/>
      <c r="L26" s="7">
        <v>12329</v>
      </c>
      <c r="M26" s="7"/>
      <c r="N26" s="7"/>
      <c r="O26" s="7"/>
      <c r="P26" s="7"/>
      <c r="Q26" s="7"/>
      <c r="R26" s="7"/>
      <c r="S26" s="60">
        <f t="shared" si="2"/>
        <v>39614</v>
      </c>
      <c r="T26" s="1">
        <f t="shared" si="3"/>
        <v>39614</v>
      </c>
    </row>
    <row r="27" spans="1:20" x14ac:dyDescent="0.2">
      <c r="A27" s="18" t="s">
        <v>92</v>
      </c>
      <c r="B27" s="2">
        <v>-2940.14</v>
      </c>
      <c r="C27" s="78"/>
      <c r="D27" s="7"/>
      <c r="E27" s="7">
        <v>367996</v>
      </c>
      <c r="F27" s="7"/>
      <c r="G27" s="7"/>
      <c r="H27" s="7"/>
      <c r="I27" s="7"/>
      <c r="J27" s="7"/>
      <c r="K27" s="7"/>
      <c r="L27" s="7"/>
      <c r="M27" s="7">
        <v>24023</v>
      </c>
      <c r="N27" s="7"/>
      <c r="O27" s="7"/>
      <c r="P27" s="7"/>
      <c r="Q27" s="7"/>
      <c r="R27" s="7"/>
      <c r="S27" s="60">
        <f t="shared" si="2"/>
        <v>-392019</v>
      </c>
      <c r="T27" s="1">
        <f t="shared" si="3"/>
        <v>-392019</v>
      </c>
    </row>
    <row r="28" spans="1:20" x14ac:dyDescent="0.2">
      <c r="A28" s="18" t="s">
        <v>614</v>
      </c>
      <c r="B28" s="2">
        <v>0</v>
      </c>
      <c r="C28" s="78">
        <v>13.65</v>
      </c>
      <c r="D28" s="7"/>
      <c r="E28" s="7"/>
      <c r="F28" s="7"/>
      <c r="G28" s="7"/>
      <c r="H28" s="7"/>
      <c r="I28" s="7"/>
      <c r="J28" s="7">
        <v>24818</v>
      </c>
      <c r="K28" s="7"/>
      <c r="L28" s="7"/>
      <c r="M28" s="7"/>
      <c r="N28" s="7"/>
      <c r="O28" s="7"/>
      <c r="P28" s="7"/>
      <c r="Q28" s="7"/>
      <c r="R28" s="7"/>
      <c r="S28" s="60">
        <f>SUM((D28+F28+H28+J28+L28+N28+P28+R28)-(E28+G28+I28+K28+M28+O28+Q28))</f>
        <v>24818</v>
      </c>
      <c r="T28" s="1">
        <f>S28-J28</f>
        <v>0</v>
      </c>
    </row>
    <row r="29" spans="1:20" x14ac:dyDescent="0.2">
      <c r="A29" s="18" t="s">
        <v>615</v>
      </c>
      <c r="B29" s="2">
        <v>89.75</v>
      </c>
      <c r="C29" s="78">
        <v>8.44</v>
      </c>
      <c r="D29" s="7">
        <v>12012</v>
      </c>
      <c r="E29" s="7">
        <v>210</v>
      </c>
      <c r="F29" s="7"/>
      <c r="G29" s="7"/>
      <c r="H29" s="7"/>
      <c r="I29" s="7"/>
      <c r="J29" s="7">
        <v>3336</v>
      </c>
      <c r="K29" s="7"/>
      <c r="L29" s="7">
        <v>165</v>
      </c>
      <c r="M29" s="7"/>
      <c r="N29" s="7"/>
      <c r="O29" s="7"/>
      <c r="P29" s="7"/>
      <c r="Q29" s="7"/>
      <c r="R29" s="7"/>
      <c r="S29" s="60">
        <f>SUM((D29+F29+H29+J29+L29+N29+P29+R29)-(E29+G29+I29+K29+M29+O29+Q29))</f>
        <v>15303</v>
      </c>
      <c r="T29" s="1">
        <f>S29-J29</f>
        <v>11967</v>
      </c>
    </row>
    <row r="30" spans="1:20" x14ac:dyDescent="0.2">
      <c r="A30" s="1" t="s">
        <v>616</v>
      </c>
      <c r="B30" s="2">
        <v>114654.16</v>
      </c>
      <c r="C30" s="78">
        <v>6456.64</v>
      </c>
      <c r="D30" s="7">
        <v>11739348</v>
      </c>
      <c r="E30" s="7">
        <v>1549476</v>
      </c>
      <c r="F30" s="7"/>
      <c r="G30" s="7"/>
      <c r="H30" s="7"/>
      <c r="I30" s="7"/>
      <c r="J30" s="7"/>
      <c r="K30" s="7"/>
      <c r="L30" s="7">
        <v>6145898</v>
      </c>
      <c r="M30" s="7">
        <v>1048549</v>
      </c>
      <c r="N30" s="7"/>
      <c r="O30" s="7"/>
      <c r="P30" s="7"/>
      <c r="Q30" s="7"/>
      <c r="R30" s="7"/>
      <c r="S30" s="60">
        <f t="shared" si="2"/>
        <v>15287221</v>
      </c>
      <c r="T30" s="1">
        <f t="shared" si="3"/>
        <v>15287221</v>
      </c>
    </row>
    <row r="31" spans="1:20" x14ac:dyDescent="0.2">
      <c r="A31" s="1" t="s">
        <v>295</v>
      </c>
      <c r="B31" s="2">
        <v>1157.19</v>
      </c>
      <c r="C31" s="78">
        <v>69.89</v>
      </c>
      <c r="D31" s="7">
        <v>127081</v>
      </c>
      <c r="E31" s="7"/>
      <c r="F31" s="7"/>
      <c r="G31" s="7"/>
      <c r="H31" s="7"/>
      <c r="I31" s="7"/>
      <c r="J31" s="7"/>
      <c r="K31" s="7"/>
      <c r="L31" s="7">
        <v>27211</v>
      </c>
      <c r="M31" s="7"/>
      <c r="N31" s="7"/>
      <c r="O31" s="7"/>
      <c r="P31" s="7"/>
      <c r="Q31" s="7"/>
      <c r="R31" s="7"/>
      <c r="S31" s="60">
        <f t="shared" si="2"/>
        <v>154292</v>
      </c>
      <c r="T31" s="1">
        <f t="shared" si="3"/>
        <v>154292</v>
      </c>
    </row>
    <row r="32" spans="1:20" x14ac:dyDescent="0.2">
      <c r="A32" s="1" t="s">
        <v>756</v>
      </c>
      <c r="B32" s="2">
        <v>-55.68</v>
      </c>
      <c r="C32" s="78"/>
      <c r="D32" s="7"/>
      <c r="E32" s="7">
        <v>5890</v>
      </c>
      <c r="F32" s="7"/>
      <c r="G32" s="7"/>
      <c r="H32" s="7"/>
      <c r="I32" s="7"/>
      <c r="J32" s="7"/>
      <c r="K32" s="7"/>
      <c r="L32" s="7"/>
      <c r="M32" s="7">
        <v>1534</v>
      </c>
      <c r="N32" s="7"/>
      <c r="O32" s="7"/>
      <c r="P32" s="7"/>
      <c r="Q32" s="7"/>
      <c r="R32" s="7"/>
      <c r="S32" s="60">
        <f>SUM((D32+F32+H32+J32+L32+N32+P32+R32)-(E32+G32+I32+K32+M32+O32+Q32))</f>
        <v>-7424</v>
      </c>
      <c r="T32" s="1">
        <f>S32-J32</f>
        <v>-7424</v>
      </c>
    </row>
    <row r="33" spans="1:22" x14ac:dyDescent="0.2">
      <c r="A33" s="1" t="s">
        <v>453</v>
      </c>
      <c r="B33" s="2">
        <v>-777.71</v>
      </c>
      <c r="C33" s="78"/>
      <c r="D33" s="7"/>
      <c r="E33" s="7"/>
      <c r="F33" s="7"/>
      <c r="G33" s="7">
        <v>15839</v>
      </c>
      <c r="H33" s="7"/>
      <c r="I33" s="7"/>
      <c r="J33" s="7"/>
      <c r="K33" s="7"/>
      <c r="L33" s="7"/>
      <c r="M33" s="7">
        <v>87856</v>
      </c>
      <c r="N33" s="7"/>
      <c r="O33" s="7"/>
      <c r="P33" s="7"/>
      <c r="Q33" s="7"/>
      <c r="R33" s="7"/>
      <c r="S33" s="60">
        <f>SUM((D33+F33+H33+J33+L33+N33+P33+R33)-(E33+G33+I33+K33+M33+O33+Q33))</f>
        <v>-103695</v>
      </c>
      <c r="T33" s="1">
        <f>S33-J33</f>
        <v>-103695</v>
      </c>
    </row>
    <row r="34" spans="1:22" x14ac:dyDescent="0.2">
      <c r="A34" s="1" t="s">
        <v>451</v>
      </c>
      <c r="B34" s="2">
        <v>-14490.98</v>
      </c>
      <c r="C34" s="78">
        <v>122.92</v>
      </c>
      <c r="D34" s="7">
        <v>223492</v>
      </c>
      <c r="E34" s="7">
        <v>1184265</v>
      </c>
      <c r="F34" s="7"/>
      <c r="G34" s="7"/>
      <c r="H34" s="7"/>
      <c r="I34" s="7"/>
      <c r="J34" s="7"/>
      <c r="K34" s="7"/>
      <c r="L34" s="7">
        <v>47174</v>
      </c>
      <c r="M34" s="7">
        <v>1018531</v>
      </c>
      <c r="N34" s="7"/>
      <c r="O34" s="7"/>
      <c r="P34" s="7"/>
      <c r="Q34" s="7"/>
      <c r="R34" s="7"/>
      <c r="S34" s="60">
        <f t="shared" si="2"/>
        <v>-1932130</v>
      </c>
      <c r="T34" s="1">
        <f t="shared" si="3"/>
        <v>-1932130</v>
      </c>
    </row>
    <row r="35" spans="1:22" x14ac:dyDescent="0.2">
      <c r="A35" s="1" t="s">
        <v>735</v>
      </c>
      <c r="B35" s="2">
        <v>3339.32</v>
      </c>
      <c r="C35" s="78"/>
      <c r="D35" s="7"/>
      <c r="E35" s="7"/>
      <c r="F35" s="7"/>
      <c r="G35" s="7"/>
      <c r="H35" s="7"/>
      <c r="I35" s="7"/>
      <c r="J35" s="7"/>
      <c r="K35" s="7"/>
      <c r="L35" s="7">
        <v>445242</v>
      </c>
      <c r="M35" s="7"/>
      <c r="N35" s="7"/>
      <c r="O35" s="7"/>
      <c r="P35" s="7"/>
      <c r="Q35" s="7"/>
      <c r="R35" s="7"/>
      <c r="S35" s="60">
        <f t="shared" ref="S35:S42" si="4">SUM((D35+F35+H35+J35+L35+N35+P35+R35)-(E35+G35+I35+K35+M35+O35+Q35))</f>
        <v>445242</v>
      </c>
      <c r="T35" s="1">
        <f t="shared" ref="T35:T42" si="5">S35-J35</f>
        <v>445242</v>
      </c>
    </row>
    <row r="36" spans="1:22" x14ac:dyDescent="0.2">
      <c r="A36" s="1" t="s">
        <v>463</v>
      </c>
      <c r="B36" s="2">
        <v>-2567</v>
      </c>
      <c r="C36" s="78">
        <v>0.83</v>
      </c>
      <c r="D36" s="7">
        <v>1502</v>
      </c>
      <c r="E36" s="7">
        <v>38037</v>
      </c>
      <c r="F36" s="7"/>
      <c r="G36" s="7"/>
      <c r="H36" s="7"/>
      <c r="I36" s="7"/>
      <c r="J36" s="7"/>
      <c r="K36" s="7"/>
      <c r="L36" s="7">
        <v>6514</v>
      </c>
      <c r="M36" s="7">
        <v>312246</v>
      </c>
      <c r="N36" s="7"/>
      <c r="O36" s="7"/>
      <c r="P36" s="7"/>
      <c r="Q36" s="7"/>
      <c r="R36" s="7"/>
      <c r="S36" s="60">
        <f t="shared" si="4"/>
        <v>-342267</v>
      </c>
      <c r="T36" s="1">
        <f t="shared" si="5"/>
        <v>-342267</v>
      </c>
    </row>
    <row r="37" spans="1:22" x14ac:dyDescent="0.2">
      <c r="A37" s="1" t="s">
        <v>704</v>
      </c>
      <c r="B37" s="2">
        <v>276.45</v>
      </c>
      <c r="C37" s="7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>
        <v>36861</v>
      </c>
      <c r="S37" s="60">
        <f t="shared" si="4"/>
        <v>36861</v>
      </c>
      <c r="T37" s="1">
        <f t="shared" si="5"/>
        <v>36861</v>
      </c>
      <c r="U37" s="1"/>
      <c r="V37" s="1"/>
    </row>
    <row r="38" spans="1:22" x14ac:dyDescent="0.2">
      <c r="A38" s="1" t="s">
        <v>752</v>
      </c>
      <c r="B38" s="2">
        <v>0.01</v>
      </c>
      <c r="C38" s="7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60">
        <f t="shared" si="4"/>
        <v>0</v>
      </c>
      <c r="T38" s="1">
        <f t="shared" si="5"/>
        <v>0</v>
      </c>
    </row>
    <row r="39" spans="1:22" x14ac:dyDescent="0.2">
      <c r="A39" s="1" t="s">
        <v>589</v>
      </c>
      <c r="B39" s="2">
        <v>208.45</v>
      </c>
      <c r="C39" s="78">
        <v>10.57</v>
      </c>
      <c r="D39" s="7"/>
      <c r="E39" s="7"/>
      <c r="F39" s="7"/>
      <c r="G39" s="7"/>
      <c r="H39" s="7">
        <v>19212</v>
      </c>
      <c r="I39" s="7"/>
      <c r="J39" s="7"/>
      <c r="K39" s="7"/>
      <c r="L39" s="7">
        <v>8582</v>
      </c>
      <c r="M39" s="7"/>
      <c r="N39" s="7"/>
      <c r="O39" s="7"/>
      <c r="P39" s="7"/>
      <c r="Q39" s="7"/>
      <c r="R39" s="7"/>
      <c r="S39" s="60">
        <f t="shared" si="4"/>
        <v>27794</v>
      </c>
      <c r="T39" s="1">
        <f t="shared" si="5"/>
        <v>27794</v>
      </c>
      <c r="U39" s="1"/>
      <c r="V39" s="1"/>
    </row>
    <row r="40" spans="1:22" x14ac:dyDescent="0.2">
      <c r="A40" s="1" t="s">
        <v>753</v>
      </c>
      <c r="B40" s="2">
        <v>0.01</v>
      </c>
      <c r="C40" s="7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60">
        <f t="shared" si="4"/>
        <v>0</v>
      </c>
      <c r="T40" s="1">
        <f t="shared" si="5"/>
        <v>0</v>
      </c>
    </row>
    <row r="41" spans="1:22" x14ac:dyDescent="0.2">
      <c r="A41" s="1" t="s">
        <v>344</v>
      </c>
      <c r="B41" s="2">
        <v>84031.29</v>
      </c>
      <c r="C41" s="78">
        <v>4502.91</v>
      </c>
      <c r="D41" s="7">
        <v>8187102</v>
      </c>
      <c r="E41" s="7"/>
      <c r="F41" s="7"/>
      <c r="G41" s="7"/>
      <c r="H41" s="7"/>
      <c r="I41" s="7"/>
      <c r="J41" s="7"/>
      <c r="K41" s="7"/>
      <c r="L41" s="7">
        <v>3017070</v>
      </c>
      <c r="M41" s="7"/>
      <c r="N41" s="7"/>
      <c r="O41" s="7"/>
      <c r="P41" s="7"/>
      <c r="Q41" s="7"/>
      <c r="R41" s="7"/>
      <c r="S41" s="248">
        <f t="shared" si="4"/>
        <v>11204172</v>
      </c>
      <c r="T41" s="18">
        <f t="shared" si="5"/>
        <v>11204172</v>
      </c>
    </row>
    <row r="42" spans="1:22" x14ac:dyDescent="0.2">
      <c r="A42" s="1" t="s">
        <v>464</v>
      </c>
      <c r="B42" s="2">
        <v>60493.31</v>
      </c>
      <c r="C42" s="78">
        <v>3414.02</v>
      </c>
      <c r="D42" s="7">
        <v>6198360</v>
      </c>
      <c r="E42" s="7">
        <v>460129</v>
      </c>
      <c r="F42" s="7"/>
      <c r="G42" s="7"/>
      <c r="H42" s="7">
        <v>8957</v>
      </c>
      <c r="I42" s="7"/>
      <c r="J42" s="7"/>
      <c r="K42" s="7"/>
      <c r="L42" s="7">
        <v>3058944</v>
      </c>
      <c r="M42" s="7">
        <v>740358</v>
      </c>
      <c r="N42" s="7"/>
      <c r="O42" s="7"/>
      <c r="P42" s="7"/>
      <c r="Q42" s="7"/>
      <c r="R42" s="7"/>
      <c r="S42" s="60">
        <f t="shared" si="4"/>
        <v>8065774</v>
      </c>
      <c r="T42" s="1">
        <f t="shared" si="5"/>
        <v>8065774</v>
      </c>
    </row>
    <row r="43" spans="1:22" x14ac:dyDescent="0.2">
      <c r="A43" s="1" t="s">
        <v>93</v>
      </c>
      <c r="B43" s="2">
        <v>27888.25</v>
      </c>
      <c r="C43" s="78">
        <v>635.29</v>
      </c>
      <c r="D43" s="7">
        <v>1155075</v>
      </c>
      <c r="E43" s="7">
        <v>289062</v>
      </c>
      <c r="F43" s="7"/>
      <c r="G43" s="7"/>
      <c r="H43" s="7"/>
      <c r="I43" s="7"/>
      <c r="J43" s="7"/>
      <c r="K43" s="7"/>
      <c r="L43" s="7">
        <v>4815611</v>
      </c>
      <c r="M43" s="7">
        <v>1963191</v>
      </c>
      <c r="N43" s="7"/>
      <c r="O43" s="7"/>
      <c r="P43" s="7"/>
      <c r="Q43" s="7"/>
      <c r="R43" s="7"/>
      <c r="S43" s="60">
        <f t="shared" ref="S43:S54" si="6">SUM((D43+F43+H43+J43+L43+N43+P43+R43)-(E43+G43+I43+K43+M43+O43+Q43))</f>
        <v>3718433</v>
      </c>
      <c r="T43" s="1">
        <f t="shared" ref="T43:T54" si="7">S43-J43</f>
        <v>3718433</v>
      </c>
      <c r="U43" s="1"/>
      <c r="V43" s="1"/>
    </row>
    <row r="44" spans="1:22" x14ac:dyDescent="0.2">
      <c r="A44" s="1" t="s">
        <v>354</v>
      </c>
      <c r="B44" s="2">
        <v>9145.18</v>
      </c>
      <c r="C44" s="78">
        <v>56.3</v>
      </c>
      <c r="D44" s="7">
        <v>102363</v>
      </c>
      <c r="E44" s="7"/>
      <c r="F44" s="7"/>
      <c r="G44" s="7"/>
      <c r="H44" s="7"/>
      <c r="I44" s="7"/>
      <c r="J44" s="7"/>
      <c r="K44" s="7"/>
      <c r="L44" s="7">
        <v>1129559</v>
      </c>
      <c r="M44" s="7">
        <v>23813</v>
      </c>
      <c r="N44" s="7"/>
      <c r="O44" s="7"/>
      <c r="P44" s="7">
        <v>11248</v>
      </c>
      <c r="Q44" s="7"/>
      <c r="R44" s="7"/>
      <c r="S44" s="60">
        <f t="shared" si="6"/>
        <v>1219357</v>
      </c>
      <c r="T44" s="1">
        <f t="shared" si="7"/>
        <v>1219357</v>
      </c>
      <c r="U44" s="1"/>
      <c r="V44" s="1"/>
    </row>
    <row r="45" spans="1:22" x14ac:dyDescent="0.2">
      <c r="A45" s="1" t="s">
        <v>363</v>
      </c>
      <c r="B45" s="2">
        <v>-3551.36</v>
      </c>
      <c r="C45" s="78"/>
      <c r="D45" s="7"/>
      <c r="E45" s="7">
        <v>118728</v>
      </c>
      <c r="F45" s="7"/>
      <c r="G45" s="7"/>
      <c r="H45" s="7"/>
      <c r="I45" s="7"/>
      <c r="J45" s="7"/>
      <c r="K45" s="7"/>
      <c r="L45" s="7"/>
      <c r="M45" s="7">
        <v>354786</v>
      </c>
      <c r="N45" s="7"/>
      <c r="O45" s="7"/>
      <c r="P45" s="7"/>
      <c r="Q45" s="7"/>
      <c r="R45" s="7"/>
      <c r="S45" s="60">
        <f t="shared" si="6"/>
        <v>-473514</v>
      </c>
      <c r="T45" s="1">
        <f t="shared" si="7"/>
        <v>-473514</v>
      </c>
      <c r="U45" s="1"/>
      <c r="V45" s="1"/>
    </row>
    <row r="46" spans="1:22" s="20" customFormat="1" x14ac:dyDescent="0.2">
      <c r="A46" s="18" t="s">
        <v>757</v>
      </c>
      <c r="B46" s="78">
        <v>-284.77999999999997</v>
      </c>
      <c r="C46" s="78"/>
      <c r="D46" s="246"/>
      <c r="E46" s="246"/>
      <c r="F46" s="246"/>
      <c r="G46" s="246"/>
      <c r="H46" s="246"/>
      <c r="I46" s="246"/>
      <c r="J46" s="246"/>
      <c r="K46" s="246"/>
      <c r="L46" s="246"/>
      <c r="M46" s="246">
        <v>37971</v>
      </c>
      <c r="N46" s="246"/>
      <c r="O46" s="246"/>
      <c r="P46" s="246"/>
      <c r="Q46" s="246"/>
      <c r="R46" s="246"/>
      <c r="S46" s="248">
        <f>SUM((D46+F46+H46+J46+L46+N46+P46+R46)-(E46+G46+I46+K46+M46+O46+Q46))</f>
        <v>-37971</v>
      </c>
      <c r="T46" s="18">
        <f>S46-J46</f>
        <v>-37971</v>
      </c>
    </row>
    <row r="47" spans="1:22" x14ac:dyDescent="0.2">
      <c r="A47" s="1" t="s">
        <v>432</v>
      </c>
      <c r="B47" s="2">
        <v>223.47</v>
      </c>
      <c r="C47" s="78">
        <v>13.47</v>
      </c>
      <c r="D47" s="7">
        <v>24496</v>
      </c>
      <c r="E47" s="7"/>
      <c r="F47" s="7"/>
      <c r="G47" s="7"/>
      <c r="H47" s="7"/>
      <c r="I47" s="7"/>
      <c r="J47" s="7"/>
      <c r="K47" s="7"/>
      <c r="L47" s="7">
        <v>5300</v>
      </c>
      <c r="M47" s="7"/>
      <c r="N47" s="7"/>
      <c r="O47" s="7"/>
      <c r="P47" s="7"/>
      <c r="Q47" s="7"/>
      <c r="R47" s="7"/>
      <c r="S47" s="60">
        <f t="shared" si="6"/>
        <v>29796</v>
      </c>
      <c r="T47" s="1">
        <f t="shared" si="7"/>
        <v>29796</v>
      </c>
      <c r="U47" s="1"/>
      <c r="V47" s="1"/>
    </row>
    <row r="48" spans="1:22" x14ac:dyDescent="0.2">
      <c r="A48" s="1" t="s">
        <v>45</v>
      </c>
      <c r="B48" s="2">
        <v>931.67</v>
      </c>
      <c r="C48" s="78">
        <v>50.74</v>
      </c>
      <c r="D48" s="7">
        <v>92258</v>
      </c>
      <c r="E48" s="7"/>
      <c r="F48" s="7"/>
      <c r="G48" s="7"/>
      <c r="H48" s="7"/>
      <c r="I48" s="7"/>
      <c r="J48" s="7"/>
      <c r="K48" s="7"/>
      <c r="L48" s="7">
        <v>41993</v>
      </c>
      <c r="M48" s="7">
        <v>10028</v>
      </c>
      <c r="N48" s="7"/>
      <c r="O48" s="7"/>
      <c r="P48" s="7"/>
      <c r="Q48" s="7"/>
      <c r="R48" s="7"/>
      <c r="S48" s="60">
        <f t="shared" si="6"/>
        <v>124223</v>
      </c>
      <c r="T48" s="1">
        <f t="shared" si="7"/>
        <v>124223</v>
      </c>
      <c r="U48" s="1"/>
      <c r="V48" s="1"/>
    </row>
    <row r="49" spans="1:22" s="20" customFormat="1" x14ac:dyDescent="0.2">
      <c r="A49" s="18" t="s">
        <v>94</v>
      </c>
      <c r="B49" s="78">
        <v>26.68</v>
      </c>
      <c r="C49" s="78">
        <v>1.96</v>
      </c>
      <c r="D49" s="246">
        <v>3557</v>
      </c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8">
        <f t="shared" si="6"/>
        <v>3557</v>
      </c>
      <c r="T49" s="18">
        <f t="shared" si="7"/>
        <v>3557</v>
      </c>
      <c r="U49" s="18"/>
      <c r="V49" s="18"/>
    </row>
    <row r="50" spans="1:22" x14ac:dyDescent="0.2">
      <c r="A50" s="1" t="s">
        <v>95</v>
      </c>
      <c r="B50" s="2">
        <v>-7582.38</v>
      </c>
      <c r="C50" s="78">
        <v>8.59</v>
      </c>
      <c r="D50" s="7">
        <v>15627</v>
      </c>
      <c r="E50" s="7">
        <v>981574</v>
      </c>
      <c r="F50" s="7"/>
      <c r="G50" s="7"/>
      <c r="H50" s="7"/>
      <c r="I50" s="7"/>
      <c r="J50" s="7"/>
      <c r="K50" s="7"/>
      <c r="L50" s="7"/>
      <c r="M50" s="7">
        <v>45037</v>
      </c>
      <c r="N50" s="7"/>
      <c r="O50" s="7"/>
      <c r="P50" s="7"/>
      <c r="Q50" s="7"/>
      <c r="R50" s="7"/>
      <c r="S50" s="60">
        <f t="shared" si="6"/>
        <v>-1010984</v>
      </c>
      <c r="T50" s="1">
        <f t="shared" si="7"/>
        <v>-1010984</v>
      </c>
      <c r="U50" s="1"/>
      <c r="V50" s="1"/>
    </row>
    <row r="51" spans="1:22" s="20" customFormat="1" x14ac:dyDescent="0.2">
      <c r="A51" s="18" t="s">
        <v>355</v>
      </c>
      <c r="B51" s="78">
        <v>-5814.05</v>
      </c>
      <c r="C51" s="78">
        <v>18.920000000000002</v>
      </c>
      <c r="D51" s="246">
        <v>34395</v>
      </c>
      <c r="E51" s="246">
        <v>289257</v>
      </c>
      <c r="F51" s="246"/>
      <c r="G51" s="246"/>
      <c r="H51" s="246"/>
      <c r="I51" s="246"/>
      <c r="J51" s="246"/>
      <c r="K51" s="246"/>
      <c r="L51" s="246"/>
      <c r="M51" s="246">
        <v>520344</v>
      </c>
      <c r="N51" s="246"/>
      <c r="O51" s="246"/>
      <c r="P51" s="246"/>
      <c r="Q51" s="246"/>
      <c r="R51" s="246"/>
      <c r="S51" s="248">
        <f t="shared" si="6"/>
        <v>-775206</v>
      </c>
      <c r="T51" s="18">
        <f t="shared" si="7"/>
        <v>-775206</v>
      </c>
      <c r="U51" s="18"/>
      <c r="V51" s="18"/>
    </row>
    <row r="52" spans="1:22" s="20" customFormat="1" x14ac:dyDescent="0.2">
      <c r="A52" s="18" t="s">
        <v>296</v>
      </c>
      <c r="B52" s="78">
        <v>-56.25</v>
      </c>
      <c r="C52" s="78">
        <v>17.93</v>
      </c>
      <c r="D52" s="246"/>
      <c r="E52" s="246"/>
      <c r="F52" s="246"/>
      <c r="G52" s="246"/>
      <c r="H52" s="246"/>
      <c r="I52" s="246"/>
      <c r="J52" s="246">
        <v>32603</v>
      </c>
      <c r="K52" s="246"/>
      <c r="L52" s="246"/>
      <c r="M52" s="246">
        <v>7500</v>
      </c>
      <c r="N52" s="246"/>
      <c r="O52" s="246"/>
      <c r="P52" s="246"/>
      <c r="Q52" s="246"/>
      <c r="R52" s="18"/>
      <c r="S52" s="248">
        <f t="shared" si="6"/>
        <v>25103</v>
      </c>
      <c r="T52" s="18">
        <f t="shared" si="7"/>
        <v>-7500</v>
      </c>
      <c r="U52" s="246"/>
      <c r="V52" s="246"/>
    </row>
    <row r="53" spans="1:22" s="20" customFormat="1" x14ac:dyDescent="0.2">
      <c r="A53" s="18" t="s">
        <v>364</v>
      </c>
      <c r="B53" s="78">
        <v>884.93</v>
      </c>
      <c r="C53" s="78">
        <v>271.61</v>
      </c>
      <c r="D53" s="246">
        <v>493838</v>
      </c>
      <c r="E53" s="246">
        <v>409497</v>
      </c>
      <c r="F53" s="246"/>
      <c r="G53" s="246"/>
      <c r="H53" s="246"/>
      <c r="I53" s="246"/>
      <c r="J53" s="246"/>
      <c r="K53" s="246"/>
      <c r="L53" s="246">
        <v>60345</v>
      </c>
      <c r="M53" s="246">
        <v>26695</v>
      </c>
      <c r="N53" s="246"/>
      <c r="O53" s="246"/>
      <c r="P53" s="246"/>
      <c r="Q53" s="246"/>
      <c r="R53" s="18"/>
      <c r="S53" s="248">
        <f t="shared" si="6"/>
        <v>117991</v>
      </c>
      <c r="T53" s="18">
        <f t="shared" si="7"/>
        <v>117991</v>
      </c>
      <c r="U53" s="246"/>
      <c r="V53" s="246"/>
    </row>
    <row r="54" spans="1:22" x14ac:dyDescent="0.2">
      <c r="A54" s="1" t="s">
        <v>297</v>
      </c>
      <c r="B54" s="2">
        <v>865.8</v>
      </c>
      <c r="C54" s="78">
        <v>277.58999999999997</v>
      </c>
      <c r="D54" s="7">
        <v>504714</v>
      </c>
      <c r="E54" s="7">
        <v>364956</v>
      </c>
      <c r="F54" s="7"/>
      <c r="G54" s="7"/>
      <c r="H54" s="7"/>
      <c r="I54" s="7"/>
      <c r="J54" s="7"/>
      <c r="K54" s="7"/>
      <c r="L54" s="7"/>
      <c r="M54" s="7">
        <v>24318</v>
      </c>
      <c r="N54" s="7"/>
      <c r="O54" s="7"/>
      <c r="P54" s="7"/>
      <c r="Q54" s="7"/>
      <c r="R54" s="1"/>
      <c r="S54" s="60">
        <f t="shared" si="6"/>
        <v>115440</v>
      </c>
      <c r="T54" s="1">
        <f t="shared" si="7"/>
        <v>115440</v>
      </c>
      <c r="U54" s="7"/>
      <c r="V54" s="7"/>
    </row>
    <row r="55" spans="1:22" s="20" customFormat="1" x14ac:dyDescent="0.2">
      <c r="A55" s="18" t="s">
        <v>298</v>
      </c>
      <c r="B55" s="78">
        <v>-4204.8599999999997</v>
      </c>
      <c r="C55" s="78">
        <v>15.44</v>
      </c>
      <c r="D55" s="246">
        <v>28071</v>
      </c>
      <c r="E55" s="246">
        <v>93860</v>
      </c>
      <c r="F55" s="246"/>
      <c r="G55" s="246"/>
      <c r="H55" s="246"/>
      <c r="I55" s="246"/>
      <c r="J55" s="246"/>
      <c r="K55" s="246"/>
      <c r="L55" s="246">
        <v>11473</v>
      </c>
      <c r="M55" s="246">
        <v>506332</v>
      </c>
      <c r="N55" s="246"/>
      <c r="O55" s="246"/>
      <c r="P55" s="246"/>
      <c r="Q55" s="246"/>
      <c r="R55" s="246"/>
      <c r="S55" s="248">
        <f t="shared" ref="S55:S80" si="8">SUM((D55+F55+H55+J55+L55+N55+P55+R55)-(E55+G55+I55+K55+M55+O55+Q55))</f>
        <v>-560648</v>
      </c>
      <c r="T55" s="18">
        <f t="shared" ref="T55:T74" si="9">S55-J55</f>
        <v>-560648</v>
      </c>
      <c r="U55" s="18"/>
      <c r="V55" s="18"/>
    </row>
    <row r="56" spans="1:22" s="20" customFormat="1" x14ac:dyDescent="0.2">
      <c r="A56" s="18" t="s">
        <v>474</v>
      </c>
      <c r="B56" s="78">
        <v>-4883.1499999999996</v>
      </c>
      <c r="C56" s="78"/>
      <c r="D56" s="246"/>
      <c r="E56" s="246">
        <v>139765</v>
      </c>
      <c r="F56" s="246"/>
      <c r="G56" s="246"/>
      <c r="H56" s="246"/>
      <c r="I56" s="246"/>
      <c r="J56" s="246"/>
      <c r="K56" s="246"/>
      <c r="L56" s="246"/>
      <c r="M56" s="246">
        <v>511322</v>
      </c>
      <c r="N56" s="246"/>
      <c r="O56" s="246"/>
      <c r="P56" s="246"/>
      <c r="Q56" s="246"/>
      <c r="R56" s="246"/>
      <c r="S56" s="248">
        <f t="shared" si="8"/>
        <v>-651087</v>
      </c>
      <c r="T56" s="18">
        <f t="shared" si="9"/>
        <v>-651087</v>
      </c>
      <c r="U56" s="18"/>
      <c r="V56" s="18"/>
    </row>
    <row r="57" spans="1:22" ht="13.5" customHeight="1" x14ac:dyDescent="0.2">
      <c r="A57" s="1" t="s">
        <v>51</v>
      </c>
      <c r="B57" s="2">
        <v>7.31</v>
      </c>
      <c r="C57" s="78">
        <v>0.54</v>
      </c>
      <c r="D57" s="7">
        <v>975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60">
        <f>SUM((D57+F57+H57+J57+L57+N57+P57+R57)-(E57+G57+I57+K57+M57+O57+Q57))</f>
        <v>975</v>
      </c>
      <c r="T57" s="1">
        <f>S57-J57</f>
        <v>975</v>
      </c>
      <c r="U57" s="1"/>
      <c r="V57" s="1"/>
    </row>
    <row r="58" spans="1:22" x14ac:dyDescent="0.2">
      <c r="A58" s="1" t="s">
        <v>52</v>
      </c>
      <c r="B58" s="2">
        <v>-6279.41</v>
      </c>
      <c r="C58" s="78">
        <v>170.44</v>
      </c>
      <c r="D58" s="7">
        <v>309896</v>
      </c>
      <c r="E58" s="7">
        <v>1169591</v>
      </c>
      <c r="F58" s="7"/>
      <c r="G58" s="7"/>
      <c r="H58" s="7"/>
      <c r="I58" s="7"/>
      <c r="J58" s="7"/>
      <c r="K58" s="7"/>
      <c r="L58" s="7">
        <v>22440</v>
      </c>
      <c r="M58" s="7"/>
      <c r="N58" s="7"/>
      <c r="O58" s="7"/>
      <c r="P58" s="7"/>
      <c r="Q58" s="7"/>
      <c r="R58" s="7"/>
      <c r="S58" s="60">
        <f t="shared" si="8"/>
        <v>-837255</v>
      </c>
      <c r="T58" s="1">
        <f t="shared" si="9"/>
        <v>-837255</v>
      </c>
      <c r="U58" s="1"/>
      <c r="V58" s="1"/>
    </row>
    <row r="59" spans="1:22" x14ac:dyDescent="0.2">
      <c r="A59" s="1" t="s">
        <v>617</v>
      </c>
      <c r="B59" s="2">
        <v>56.35</v>
      </c>
      <c r="C59" s="7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7513</v>
      </c>
      <c r="S59" s="60">
        <f>SUM((D59+F59+H59+J59+L59+N59+P59+R59)-(E59+G59+I59+K59+M59+O59+Q59))</f>
        <v>7513</v>
      </c>
      <c r="T59" s="1">
        <f>S59-J59</f>
        <v>7513</v>
      </c>
      <c r="U59" s="1"/>
      <c r="V59" s="1"/>
    </row>
    <row r="60" spans="1:22" ht="13.5" customHeight="1" x14ac:dyDescent="0.2">
      <c r="A60" s="1" t="s">
        <v>710</v>
      </c>
      <c r="B60" s="2">
        <v>-434.35</v>
      </c>
      <c r="C60" s="78"/>
      <c r="D60" s="7"/>
      <c r="E60" s="7">
        <v>50109</v>
      </c>
      <c r="F60" s="7"/>
      <c r="G60" s="7"/>
      <c r="H60" s="7"/>
      <c r="I60" s="7"/>
      <c r="J60" s="7"/>
      <c r="K60" s="7"/>
      <c r="L60" s="7"/>
      <c r="M60" s="7">
        <v>7804</v>
      </c>
      <c r="N60" s="7"/>
      <c r="O60" s="7"/>
      <c r="P60" s="7"/>
      <c r="Q60" s="7"/>
      <c r="R60" s="7"/>
      <c r="S60" s="60">
        <f>SUM((D60+F60+H60+J60+L60+N60+P60+R60)-(E60+G60+I60+K60+M60+O60+Q60))</f>
        <v>-57913</v>
      </c>
      <c r="T60" s="1">
        <f>S60-J60</f>
        <v>-57913</v>
      </c>
      <c r="U60" s="1"/>
      <c r="V60" s="1"/>
    </row>
    <row r="61" spans="1:22" ht="13.5" customHeight="1" x14ac:dyDescent="0.2">
      <c r="A61" s="1" t="s">
        <v>299</v>
      </c>
      <c r="B61" s="2">
        <v>-34.18</v>
      </c>
      <c r="C61" s="78"/>
      <c r="D61" s="7"/>
      <c r="E61" s="7">
        <v>1826</v>
      </c>
      <c r="F61" s="7"/>
      <c r="G61" s="7"/>
      <c r="H61" s="7"/>
      <c r="I61" s="7"/>
      <c r="J61" s="7"/>
      <c r="K61" s="7"/>
      <c r="L61" s="7"/>
      <c r="M61" s="7">
        <v>2731</v>
      </c>
      <c r="N61" s="7"/>
      <c r="O61" s="7"/>
      <c r="P61" s="7"/>
      <c r="Q61" s="7"/>
      <c r="R61" s="7"/>
      <c r="S61" s="60">
        <f t="shared" si="8"/>
        <v>-4557</v>
      </c>
      <c r="T61" s="1">
        <f t="shared" si="9"/>
        <v>-4557</v>
      </c>
      <c r="U61" s="1"/>
      <c r="V61" s="1"/>
    </row>
    <row r="62" spans="1:22" s="20" customFormat="1" x14ac:dyDescent="0.2">
      <c r="A62" s="18" t="s">
        <v>54</v>
      </c>
      <c r="B62" s="78">
        <v>87295.32</v>
      </c>
      <c r="C62" s="78">
        <v>3160.31</v>
      </c>
      <c r="D62" s="246">
        <v>5746020</v>
      </c>
      <c r="E62" s="246"/>
      <c r="F62" s="246"/>
      <c r="G62" s="246"/>
      <c r="H62" s="246"/>
      <c r="I62" s="246"/>
      <c r="J62" s="246"/>
      <c r="K62" s="246"/>
      <c r="L62" s="246">
        <v>5893356</v>
      </c>
      <c r="M62" s="246"/>
      <c r="N62" s="246"/>
      <c r="O62" s="246"/>
      <c r="P62" s="246"/>
      <c r="Q62" s="246"/>
      <c r="R62" s="246"/>
      <c r="S62" s="248">
        <f t="shared" si="8"/>
        <v>11639376</v>
      </c>
      <c r="T62" s="18">
        <f t="shared" si="9"/>
        <v>11639376</v>
      </c>
      <c r="U62" s="18"/>
      <c r="V62" s="18"/>
    </row>
    <row r="63" spans="1:22" s="20" customFormat="1" x14ac:dyDescent="0.2">
      <c r="A63" s="18" t="s">
        <v>55</v>
      </c>
      <c r="B63" s="78">
        <v>358.45</v>
      </c>
      <c r="C63" s="78">
        <v>22.32</v>
      </c>
      <c r="D63" s="246">
        <v>40577</v>
      </c>
      <c r="E63" s="246"/>
      <c r="F63" s="246"/>
      <c r="G63" s="246"/>
      <c r="H63" s="246"/>
      <c r="I63" s="246"/>
      <c r="J63" s="246"/>
      <c r="K63" s="246"/>
      <c r="L63" s="246">
        <v>7216</v>
      </c>
      <c r="M63" s="246"/>
      <c r="N63" s="246"/>
      <c r="O63" s="246"/>
      <c r="P63" s="246"/>
      <c r="Q63" s="246"/>
      <c r="R63" s="246"/>
      <c r="S63" s="248">
        <f t="shared" si="8"/>
        <v>47793</v>
      </c>
      <c r="T63" s="18">
        <f t="shared" si="9"/>
        <v>47793</v>
      </c>
      <c r="U63" s="18"/>
      <c r="V63" s="18"/>
    </row>
    <row r="64" spans="1:22" s="20" customFormat="1" x14ac:dyDescent="0.2">
      <c r="A64" s="18" t="s">
        <v>489</v>
      </c>
      <c r="B64" s="78">
        <v>8.2100000000000009</v>
      </c>
      <c r="C64" s="78">
        <v>0.6</v>
      </c>
      <c r="D64" s="246">
        <v>1095</v>
      </c>
      <c r="E64" s="246"/>
      <c r="F64" s="246"/>
      <c r="G64" s="246"/>
      <c r="H64" s="246"/>
      <c r="I64" s="246"/>
      <c r="J64" s="246"/>
      <c r="K64" s="246"/>
      <c r="L64" s="246"/>
      <c r="M64" s="246"/>
      <c r="N64" s="246"/>
      <c r="O64" s="246"/>
      <c r="P64" s="246"/>
      <c r="Q64" s="246"/>
      <c r="R64" s="246"/>
      <c r="S64" s="248">
        <f t="shared" si="8"/>
        <v>1095</v>
      </c>
      <c r="T64" s="18">
        <f t="shared" si="9"/>
        <v>1095</v>
      </c>
      <c r="U64" s="18"/>
      <c r="V64" s="18"/>
    </row>
    <row r="65" spans="1:49" x14ac:dyDescent="0.2">
      <c r="A65" s="1" t="s">
        <v>703</v>
      </c>
      <c r="B65" s="2">
        <v>4726.8900000000003</v>
      </c>
      <c r="C65" s="78">
        <v>0</v>
      </c>
      <c r="D65" s="7"/>
      <c r="E65" s="7"/>
      <c r="F65" s="7"/>
      <c r="G65" s="7"/>
      <c r="H65" s="7"/>
      <c r="I65" s="7"/>
      <c r="J65" s="7"/>
      <c r="K65" s="7"/>
      <c r="L65" s="7">
        <v>630252</v>
      </c>
      <c r="M65" s="7"/>
      <c r="N65" s="7"/>
      <c r="O65" s="7"/>
      <c r="P65" s="7"/>
      <c r="Q65" s="7"/>
      <c r="R65" s="7"/>
      <c r="S65" s="60">
        <f>SUM((D65+F65+H65+J65+L65+N65+P65+R65)-(E65+G65+I65+K65+M65+O65+Q65))</f>
        <v>630252</v>
      </c>
      <c r="T65" s="1">
        <f>S65-J65</f>
        <v>630252</v>
      </c>
      <c r="U65" s="1"/>
      <c r="V65" s="1"/>
    </row>
    <row r="66" spans="1:49" x14ac:dyDescent="0.2">
      <c r="A66" s="1" t="s">
        <v>456</v>
      </c>
      <c r="B66" s="2">
        <v>0</v>
      </c>
      <c r="C66" s="78">
        <v>58.66</v>
      </c>
      <c r="D66" s="7"/>
      <c r="E66" s="7"/>
      <c r="F66" s="7"/>
      <c r="G66" s="7"/>
      <c r="H66" s="7"/>
      <c r="I66" s="7"/>
      <c r="J66" s="7">
        <v>106660</v>
      </c>
      <c r="K66" s="7"/>
      <c r="L66" s="7"/>
      <c r="M66" s="7"/>
      <c r="N66" s="7"/>
      <c r="O66" s="7"/>
      <c r="P66" s="7"/>
      <c r="Q66" s="7"/>
      <c r="R66" s="7"/>
      <c r="S66" s="60">
        <f t="shared" si="8"/>
        <v>106660</v>
      </c>
      <c r="T66" s="1">
        <f t="shared" si="9"/>
        <v>0</v>
      </c>
      <c r="U66" s="1"/>
      <c r="V66" s="1"/>
    </row>
    <row r="67" spans="1:49" x14ac:dyDescent="0.2">
      <c r="A67" s="1" t="s">
        <v>577</v>
      </c>
      <c r="B67" s="2">
        <v>-56.43</v>
      </c>
      <c r="C67" s="78"/>
      <c r="D67" s="7"/>
      <c r="E67" s="7">
        <v>7524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60">
        <f>SUM((D67+F67+H67+J67+L67+N67+P67+R67)-(E67+G67+I67+K67+M67+O67+Q67))</f>
        <v>-7524</v>
      </c>
      <c r="T67" s="1">
        <f>S67-J67</f>
        <v>-7524</v>
      </c>
      <c r="U67" s="1"/>
      <c r="V67" s="1"/>
    </row>
    <row r="68" spans="1:49" x14ac:dyDescent="0.2">
      <c r="A68" s="1" t="s">
        <v>717</v>
      </c>
      <c r="B68" s="2">
        <v>-3145.41</v>
      </c>
      <c r="C68" s="78">
        <v>0</v>
      </c>
      <c r="D68" s="7"/>
      <c r="E68" s="7">
        <v>158785</v>
      </c>
      <c r="F68" s="7"/>
      <c r="G68" s="7"/>
      <c r="H68" s="7"/>
      <c r="I68" s="7"/>
      <c r="J68" s="7"/>
      <c r="K68" s="7"/>
      <c r="L68" s="7"/>
      <c r="M68" s="7">
        <v>260603</v>
      </c>
      <c r="N68" s="7"/>
      <c r="O68" s="7"/>
      <c r="P68" s="7"/>
      <c r="Q68" s="7"/>
      <c r="R68" s="7"/>
      <c r="S68" s="60">
        <f>SUM((D68+F68+H68+J68+L68+N68+P68+R68)-(E68+G68+I68+K68+M68+O68+Q68))</f>
        <v>-419388</v>
      </c>
      <c r="T68" s="1">
        <f>S68-J68</f>
        <v>-419388</v>
      </c>
      <c r="U68" s="1"/>
      <c r="V68" s="1"/>
    </row>
    <row r="69" spans="1:49" s="20" customFormat="1" x14ac:dyDescent="0.2">
      <c r="A69" s="18" t="s">
        <v>787</v>
      </c>
      <c r="B69" s="78">
        <v>-3215.65</v>
      </c>
      <c r="C69" s="78">
        <v>11.02</v>
      </c>
      <c r="D69" s="246">
        <v>20041</v>
      </c>
      <c r="E69" s="246">
        <v>213362</v>
      </c>
      <c r="F69" s="246"/>
      <c r="G69" s="246"/>
      <c r="H69" s="246"/>
      <c r="I69" s="246"/>
      <c r="J69" s="246"/>
      <c r="K69" s="246"/>
      <c r="L69" s="246"/>
      <c r="M69" s="246">
        <v>235432</v>
      </c>
      <c r="N69" s="246"/>
      <c r="O69" s="246"/>
      <c r="P69" s="246"/>
      <c r="Q69" s="246"/>
      <c r="R69" s="246"/>
      <c r="S69" s="248">
        <f>SUM((D69+F69+H69+J69+L69+N69+P69+R69)-(E69+G69+I69+K69+M69+O69+Q69))</f>
        <v>-428753</v>
      </c>
      <c r="T69" s="18">
        <f>S69-J69</f>
        <v>-428753</v>
      </c>
      <c r="U69" s="78"/>
      <c r="V69" s="18"/>
      <c r="W69" s="18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18"/>
      <c r="AU69" s="246"/>
      <c r="AV69" s="18"/>
      <c r="AW69" s="18"/>
    </row>
    <row r="70" spans="1:49" x14ac:dyDescent="0.2">
      <c r="A70" s="1" t="s">
        <v>96</v>
      </c>
      <c r="B70" s="2">
        <v>-1982.1</v>
      </c>
      <c r="C70" s="78"/>
      <c r="D70" s="7"/>
      <c r="E70" s="7"/>
      <c r="F70" s="7"/>
      <c r="G70" s="7"/>
      <c r="H70" s="7"/>
      <c r="I70" s="7"/>
      <c r="J70" s="7"/>
      <c r="K70" s="7"/>
      <c r="L70" s="7"/>
      <c r="M70" s="7">
        <v>264280</v>
      </c>
      <c r="N70" s="7"/>
      <c r="O70" s="7"/>
      <c r="P70" s="7"/>
      <c r="Q70" s="7"/>
      <c r="R70" s="7"/>
      <c r="S70" s="60">
        <f>SUM((D70+F70+H70+J70+L70+N70+P70+R70)-(E70+G70+I70+K70+M70+O70+Q70))</f>
        <v>-264280</v>
      </c>
      <c r="T70" s="1">
        <f>S70-J70</f>
        <v>-264280</v>
      </c>
      <c r="U70" s="1"/>
      <c r="V70" s="1"/>
    </row>
    <row r="71" spans="1:49" s="20" customFormat="1" x14ac:dyDescent="0.2">
      <c r="A71" s="18" t="s">
        <v>435</v>
      </c>
      <c r="B71" s="78">
        <v>-850.98</v>
      </c>
      <c r="C71" s="78">
        <v>121.65</v>
      </c>
      <c r="D71" s="246">
        <v>221178</v>
      </c>
      <c r="E71" s="246">
        <v>177956</v>
      </c>
      <c r="F71" s="246"/>
      <c r="G71" s="246"/>
      <c r="H71" s="246"/>
      <c r="I71" s="246"/>
      <c r="J71" s="246"/>
      <c r="K71" s="246"/>
      <c r="L71" s="246">
        <v>5868</v>
      </c>
      <c r="M71" s="246">
        <v>743424</v>
      </c>
      <c r="N71" s="246"/>
      <c r="O71" s="246"/>
      <c r="P71" s="246"/>
      <c r="Q71" s="246"/>
      <c r="R71" s="246"/>
      <c r="S71" s="248">
        <f t="shared" si="8"/>
        <v>-694334</v>
      </c>
      <c r="T71" s="18">
        <f t="shared" si="9"/>
        <v>-694334</v>
      </c>
    </row>
    <row r="72" spans="1:49" s="20" customFormat="1" x14ac:dyDescent="0.2">
      <c r="A72" s="18" t="s">
        <v>300</v>
      </c>
      <c r="B72" s="78">
        <v>-1187.08</v>
      </c>
      <c r="C72" s="78"/>
      <c r="D72" s="246"/>
      <c r="E72" s="246">
        <v>98562</v>
      </c>
      <c r="F72" s="246"/>
      <c r="G72" s="246"/>
      <c r="H72" s="246"/>
      <c r="I72" s="246"/>
      <c r="J72" s="246"/>
      <c r="K72" s="246"/>
      <c r="L72" s="246"/>
      <c r="M72" s="246">
        <v>59715</v>
      </c>
      <c r="N72" s="246"/>
      <c r="O72" s="246"/>
      <c r="P72" s="246"/>
      <c r="Q72" s="246"/>
      <c r="R72" s="246"/>
      <c r="S72" s="248">
        <f t="shared" si="8"/>
        <v>-158277</v>
      </c>
      <c r="T72" s="18">
        <f t="shared" si="9"/>
        <v>-158277</v>
      </c>
    </row>
    <row r="73" spans="1:49" s="20" customFormat="1" x14ac:dyDescent="0.2">
      <c r="A73" s="18" t="s">
        <v>356</v>
      </c>
      <c r="B73" s="78">
        <v>18977.189999999999</v>
      </c>
      <c r="C73" s="78">
        <v>885.52</v>
      </c>
      <c r="D73" s="246">
        <v>1610029</v>
      </c>
      <c r="E73" s="246">
        <v>2651</v>
      </c>
      <c r="F73" s="246"/>
      <c r="G73" s="246"/>
      <c r="H73" s="246"/>
      <c r="I73" s="246"/>
      <c r="J73" s="246"/>
      <c r="K73" s="246"/>
      <c r="L73" s="246">
        <v>1285957</v>
      </c>
      <c r="M73" s="246">
        <v>363043</v>
      </c>
      <c r="N73" s="246"/>
      <c r="O73" s="246"/>
      <c r="P73" s="246"/>
      <c r="Q73" s="246"/>
      <c r="R73" s="246"/>
      <c r="S73" s="248">
        <f t="shared" si="8"/>
        <v>2530292</v>
      </c>
      <c r="T73" s="18">
        <f t="shared" si="9"/>
        <v>2530292</v>
      </c>
    </row>
    <row r="74" spans="1:49" s="20" customFormat="1" x14ac:dyDescent="0.2">
      <c r="A74" s="18" t="s">
        <v>101</v>
      </c>
      <c r="B74" s="78">
        <v>-4950.5</v>
      </c>
      <c r="C74" s="78">
        <v>55.8</v>
      </c>
      <c r="D74" s="246">
        <v>28964</v>
      </c>
      <c r="E74" s="246">
        <v>71022</v>
      </c>
      <c r="F74" s="246">
        <v>16708</v>
      </c>
      <c r="G74" s="246">
        <v>319528</v>
      </c>
      <c r="H74" s="246"/>
      <c r="I74" s="246"/>
      <c r="J74" s="246">
        <v>55777</v>
      </c>
      <c r="K74" s="246"/>
      <c r="L74" s="246">
        <v>7638</v>
      </c>
      <c r="M74" s="246">
        <v>640888</v>
      </c>
      <c r="N74" s="246"/>
      <c r="O74" s="246"/>
      <c r="P74" s="246">
        <v>318062</v>
      </c>
      <c r="Q74" s="246"/>
      <c r="R74" s="246"/>
      <c r="S74" s="248">
        <f t="shared" si="8"/>
        <v>-604289</v>
      </c>
      <c r="T74" s="18">
        <f t="shared" si="9"/>
        <v>-660066</v>
      </c>
    </row>
    <row r="75" spans="1:49" x14ac:dyDescent="0.2">
      <c r="A75" s="1" t="s">
        <v>97</v>
      </c>
      <c r="B75" s="2">
        <v>3767.73</v>
      </c>
      <c r="C75" s="78">
        <v>228.39</v>
      </c>
      <c r="D75" s="7">
        <v>415251</v>
      </c>
      <c r="E75" s="7"/>
      <c r="F75" s="7"/>
      <c r="G75" s="7"/>
      <c r="H75" s="7"/>
      <c r="I75" s="7"/>
      <c r="J75" s="7"/>
      <c r="K75" s="7"/>
      <c r="L75" s="7">
        <v>87113</v>
      </c>
      <c r="M75" s="7"/>
      <c r="N75" s="7"/>
      <c r="O75" s="7"/>
      <c r="P75" s="7"/>
      <c r="Q75" s="7"/>
      <c r="R75" s="7"/>
      <c r="S75" s="60">
        <f t="shared" si="8"/>
        <v>502364</v>
      </c>
      <c r="T75" s="1">
        <f t="shared" ref="T75:T80" si="10">S75-J75</f>
        <v>502364</v>
      </c>
    </row>
    <row r="76" spans="1:49" s="20" customFormat="1" x14ac:dyDescent="0.2">
      <c r="A76" s="18" t="s">
        <v>496</v>
      </c>
      <c r="B76" s="78">
        <v>587.80999999999995</v>
      </c>
      <c r="C76" s="78">
        <v>1.1599999999999999</v>
      </c>
      <c r="D76" s="246"/>
      <c r="E76" s="246"/>
      <c r="F76" s="246"/>
      <c r="G76" s="246"/>
      <c r="H76" s="246"/>
      <c r="I76" s="246"/>
      <c r="J76" s="246">
        <v>2100</v>
      </c>
      <c r="K76" s="246"/>
      <c r="L76" s="246">
        <v>78374</v>
      </c>
      <c r="M76" s="246"/>
      <c r="N76" s="246"/>
      <c r="O76" s="246"/>
      <c r="P76" s="246"/>
      <c r="Q76" s="246"/>
      <c r="R76" s="246"/>
      <c r="S76" s="248">
        <f t="shared" si="8"/>
        <v>80474</v>
      </c>
      <c r="T76" s="18">
        <f t="shared" si="10"/>
        <v>78374</v>
      </c>
    </row>
    <row r="77" spans="1:49" s="20" customFormat="1" x14ac:dyDescent="0.2">
      <c r="A77" s="18" t="s">
        <v>102</v>
      </c>
      <c r="B77" s="78">
        <v>74296.06</v>
      </c>
      <c r="C77" s="78">
        <v>2110.4299999999998</v>
      </c>
      <c r="D77" s="246">
        <v>3746267</v>
      </c>
      <c r="E77" s="246">
        <v>12405</v>
      </c>
      <c r="F77" s="246">
        <v>90882</v>
      </c>
      <c r="G77" s="246"/>
      <c r="H77" s="246"/>
      <c r="I77" s="246"/>
      <c r="J77" s="246"/>
      <c r="K77" s="246"/>
      <c r="L77" s="246">
        <v>6160341</v>
      </c>
      <c r="M77" s="246">
        <v>78944</v>
      </c>
      <c r="N77" s="246"/>
      <c r="O77" s="246"/>
      <c r="P77" s="246"/>
      <c r="Q77" s="246"/>
      <c r="R77" s="246"/>
      <c r="S77" s="248">
        <f t="shared" si="8"/>
        <v>9906141</v>
      </c>
      <c r="T77" s="18">
        <f t="shared" si="10"/>
        <v>9906141</v>
      </c>
    </row>
    <row r="78" spans="1:49" x14ac:dyDescent="0.2">
      <c r="A78" s="1" t="s">
        <v>458</v>
      </c>
      <c r="B78" s="2">
        <v>48.8</v>
      </c>
      <c r="C78" s="78">
        <v>5.32</v>
      </c>
      <c r="D78" s="7">
        <v>9677</v>
      </c>
      <c r="E78" s="7">
        <v>8055</v>
      </c>
      <c r="F78" s="7"/>
      <c r="G78" s="7"/>
      <c r="H78" s="7"/>
      <c r="I78" s="7"/>
      <c r="J78" s="7"/>
      <c r="K78" s="7"/>
      <c r="L78" s="7">
        <v>14481</v>
      </c>
      <c r="M78" s="7">
        <v>9597</v>
      </c>
      <c r="N78" s="7"/>
      <c r="O78" s="7"/>
      <c r="P78" s="7"/>
      <c r="Q78" s="7"/>
      <c r="R78" s="7"/>
      <c r="S78" s="60">
        <f t="shared" si="8"/>
        <v>6506</v>
      </c>
      <c r="T78" s="1">
        <f t="shared" si="10"/>
        <v>6506</v>
      </c>
    </row>
    <row r="79" spans="1:49" x14ac:dyDescent="0.2">
      <c r="A79" s="1" t="s">
        <v>103</v>
      </c>
      <c r="B79" s="2">
        <v>-532.64</v>
      </c>
      <c r="C79" s="78"/>
      <c r="D79" s="7"/>
      <c r="E79" s="7">
        <v>54488</v>
      </c>
      <c r="F79" s="7"/>
      <c r="G79" s="7"/>
      <c r="H79" s="7"/>
      <c r="I79" s="7"/>
      <c r="J79" s="7"/>
      <c r="K79" s="7"/>
      <c r="L79" s="7">
        <v>10083</v>
      </c>
      <c r="M79" s="7">
        <v>26614</v>
      </c>
      <c r="N79" s="7"/>
      <c r="O79" s="7"/>
      <c r="P79" s="7"/>
      <c r="Q79" s="7"/>
      <c r="R79" s="7"/>
      <c r="S79" s="60">
        <f t="shared" si="8"/>
        <v>-71019</v>
      </c>
      <c r="T79" s="1">
        <f t="shared" si="10"/>
        <v>-71019</v>
      </c>
    </row>
    <row r="80" spans="1:49" s="20" customFormat="1" x14ac:dyDescent="0.2">
      <c r="A80" s="18" t="s">
        <v>712</v>
      </c>
      <c r="B80" s="78">
        <v>-1740.95</v>
      </c>
      <c r="C80" s="78"/>
      <c r="D80" s="246"/>
      <c r="E80" s="246"/>
      <c r="F80" s="246"/>
      <c r="G80" s="246"/>
      <c r="H80" s="246"/>
      <c r="I80" s="246"/>
      <c r="J80" s="246"/>
      <c r="K80" s="246"/>
      <c r="L80" s="246"/>
      <c r="M80" s="246">
        <v>232127</v>
      </c>
      <c r="N80" s="246"/>
      <c r="O80" s="246"/>
      <c r="P80" s="246"/>
      <c r="Q80" s="246"/>
      <c r="R80" s="246"/>
      <c r="S80" s="248">
        <f t="shared" si="8"/>
        <v>-232127</v>
      </c>
      <c r="T80" s="18">
        <f t="shared" si="10"/>
        <v>-232127</v>
      </c>
    </row>
    <row r="81" spans="1:49" s="20" customFormat="1" x14ac:dyDescent="0.2">
      <c r="A81" s="18" t="s">
        <v>301</v>
      </c>
      <c r="B81" s="78">
        <v>25849.01</v>
      </c>
      <c r="C81" s="78">
        <v>595.4</v>
      </c>
      <c r="D81" s="246">
        <v>1082537</v>
      </c>
      <c r="E81" s="246"/>
      <c r="F81" s="246"/>
      <c r="G81" s="246"/>
      <c r="H81" s="246"/>
      <c r="I81" s="246"/>
      <c r="J81" s="246"/>
      <c r="K81" s="246"/>
      <c r="L81" s="246">
        <v>2363998</v>
      </c>
      <c r="M81" s="246"/>
      <c r="N81" s="246"/>
      <c r="O81" s="246"/>
      <c r="P81" s="246"/>
      <c r="Q81" s="246"/>
      <c r="R81" s="246"/>
      <c r="S81" s="248">
        <f t="shared" ref="S81:S91" si="11">SUM((D81+F81+H81+J81+L81+N81+P81+R81)-(E81+G81+I81+K81+M81+O81+Q81))</f>
        <v>3446535</v>
      </c>
      <c r="T81" s="18">
        <f t="shared" ref="T81:T91" si="12">S81-J81</f>
        <v>3446535</v>
      </c>
    </row>
    <row r="82" spans="1:49" s="20" customFormat="1" x14ac:dyDescent="0.2">
      <c r="A82" s="18" t="s">
        <v>438</v>
      </c>
      <c r="B82" s="78">
        <v>1779.32</v>
      </c>
      <c r="C82" s="78">
        <v>227.99</v>
      </c>
      <c r="D82" s="246">
        <v>414527</v>
      </c>
      <c r="E82" s="246">
        <v>194846</v>
      </c>
      <c r="F82" s="246"/>
      <c r="G82" s="246"/>
      <c r="H82" s="246"/>
      <c r="I82" s="246"/>
      <c r="J82" s="246"/>
      <c r="K82" s="246"/>
      <c r="L82" s="246">
        <v>31060</v>
      </c>
      <c r="M82" s="246">
        <v>13499</v>
      </c>
      <c r="N82" s="246"/>
      <c r="O82" s="246"/>
      <c r="P82" s="246"/>
      <c r="Q82" s="246"/>
      <c r="R82" s="246"/>
      <c r="S82" s="248">
        <f t="shared" si="11"/>
        <v>237242</v>
      </c>
      <c r="T82" s="18">
        <f t="shared" si="12"/>
        <v>237242</v>
      </c>
    </row>
    <row r="83" spans="1:49" s="20" customFormat="1" x14ac:dyDescent="0.2">
      <c r="A83" s="18" t="s">
        <v>475</v>
      </c>
      <c r="B83" s="78">
        <v>19232.54</v>
      </c>
      <c r="C83" s="78">
        <v>1173.3499999999999</v>
      </c>
      <c r="D83" s="246">
        <v>2133364</v>
      </c>
      <c r="E83" s="246">
        <v>9527</v>
      </c>
      <c r="F83" s="246"/>
      <c r="G83" s="246"/>
      <c r="H83" s="246"/>
      <c r="I83" s="246"/>
      <c r="J83" s="246"/>
      <c r="K83" s="246"/>
      <c r="L83" s="246">
        <v>447311</v>
      </c>
      <c r="M83" s="246">
        <v>6809</v>
      </c>
      <c r="N83" s="246"/>
      <c r="O83" s="246"/>
      <c r="P83" s="246"/>
      <c r="Q83" s="246"/>
      <c r="R83" s="246"/>
      <c r="S83" s="248">
        <f>SUM((D83+F83+H83+J83+L83+N83+P83+R83)-(E83+G83+I83+K83+M83+O83+Q83))</f>
        <v>2564339</v>
      </c>
      <c r="T83" s="18">
        <f>S83-J83</f>
        <v>2564339</v>
      </c>
    </row>
    <row r="84" spans="1:49" s="20" customFormat="1" x14ac:dyDescent="0.2">
      <c r="A84" s="18" t="s">
        <v>302</v>
      </c>
      <c r="B84" s="78">
        <v>123.5</v>
      </c>
      <c r="C84" s="78">
        <v>9.06</v>
      </c>
      <c r="D84" s="246">
        <v>16466</v>
      </c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8">
        <f t="shared" si="11"/>
        <v>16466</v>
      </c>
      <c r="T84" s="18">
        <f t="shared" si="12"/>
        <v>16466</v>
      </c>
    </row>
    <row r="85" spans="1:49" s="20" customFormat="1" x14ac:dyDescent="0.2">
      <c r="A85" s="18" t="s">
        <v>708</v>
      </c>
      <c r="B85" s="78">
        <v>62.32</v>
      </c>
      <c r="C85" s="78">
        <v>4.57</v>
      </c>
      <c r="D85" s="246">
        <v>8309</v>
      </c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8">
        <f>SUM((D85+F85+H85+J85+L85+N85+P85+R85)-(E85+G85+I85+K85+M85+O85+Q85))</f>
        <v>8309</v>
      </c>
      <c r="T85" s="18">
        <f>S85-J85</f>
        <v>8309</v>
      </c>
    </row>
    <row r="86" spans="1:49" s="20" customFormat="1" x14ac:dyDescent="0.2">
      <c r="A86" s="18" t="s">
        <v>357</v>
      </c>
      <c r="B86" s="78">
        <v>3719.32</v>
      </c>
      <c r="C86" s="78"/>
      <c r="D86" s="246"/>
      <c r="E86" s="246">
        <v>188375</v>
      </c>
      <c r="F86" s="246"/>
      <c r="G86" s="246"/>
      <c r="H86" s="246"/>
      <c r="I86" s="246"/>
      <c r="J86" s="246"/>
      <c r="K86" s="246"/>
      <c r="L86" s="246">
        <v>1087505</v>
      </c>
      <c r="M86" s="246">
        <v>403221</v>
      </c>
      <c r="N86" s="246"/>
      <c r="O86" s="246"/>
      <c r="P86" s="246"/>
      <c r="Q86" s="246"/>
      <c r="R86" s="246"/>
      <c r="S86" s="248">
        <f>SUM((D86+F86+H86+J86+L86+N86+P86+R86)-(E86+G86+I86+K86+M86+O86+Q86))</f>
        <v>495909</v>
      </c>
      <c r="T86" s="18">
        <f>S86-J86</f>
        <v>495909</v>
      </c>
    </row>
    <row r="87" spans="1:49" s="20" customFormat="1" x14ac:dyDescent="0.2">
      <c r="A87" s="18" t="s">
        <v>618</v>
      </c>
      <c r="B87" s="78">
        <v>-941.72</v>
      </c>
      <c r="C87" s="78"/>
      <c r="D87" s="246"/>
      <c r="E87" s="246">
        <v>20592</v>
      </c>
      <c r="F87" s="246"/>
      <c r="G87" s="246"/>
      <c r="H87" s="246"/>
      <c r="I87" s="246"/>
      <c r="J87" s="246"/>
      <c r="K87" s="246"/>
      <c r="L87" s="246"/>
      <c r="M87" s="246">
        <v>104971</v>
      </c>
      <c r="N87" s="246"/>
      <c r="O87" s="246"/>
      <c r="P87" s="246"/>
      <c r="Q87" s="246"/>
      <c r="R87" s="246"/>
      <c r="S87" s="248">
        <f>SUM((D87+F87+H87+J87+L87+N87+P87+R87)-(E87+G87+I87+K87+M87+O87+Q87))</f>
        <v>-125563</v>
      </c>
      <c r="T87" s="18">
        <f>S87-J87</f>
        <v>-125563</v>
      </c>
    </row>
    <row r="88" spans="1:49" s="20" customFormat="1" x14ac:dyDescent="0.2">
      <c r="A88" s="18" t="s">
        <v>362</v>
      </c>
      <c r="B88" s="78">
        <v>23362.79</v>
      </c>
      <c r="C88" s="78">
        <v>1121.08</v>
      </c>
      <c r="D88" s="246">
        <v>2038323</v>
      </c>
      <c r="E88" s="246"/>
      <c r="F88" s="246"/>
      <c r="G88" s="246"/>
      <c r="H88" s="246"/>
      <c r="I88" s="246"/>
      <c r="J88" s="246"/>
      <c r="K88" s="246"/>
      <c r="L88" s="246">
        <v>1076715</v>
      </c>
      <c r="M88" s="246"/>
      <c r="N88" s="246"/>
      <c r="O88" s="246"/>
      <c r="P88" s="246"/>
      <c r="Q88" s="246"/>
      <c r="R88" s="246"/>
      <c r="S88" s="248">
        <f>SUM((D88+F88+H88+J88+L88+N88+P88+R88)-(E88+G88+I88+K88+M88+O88+Q88))</f>
        <v>3115038</v>
      </c>
      <c r="T88" s="18">
        <f>S88-J88</f>
        <v>3115038</v>
      </c>
    </row>
    <row r="89" spans="1:49" x14ac:dyDescent="0.2">
      <c r="A89" s="1" t="s">
        <v>303</v>
      </c>
      <c r="B89" s="2">
        <v>-5539.35</v>
      </c>
      <c r="C89" s="78">
        <v>7.78</v>
      </c>
      <c r="D89" s="7">
        <v>14141</v>
      </c>
      <c r="E89" s="7">
        <v>140913</v>
      </c>
      <c r="F89" s="7"/>
      <c r="G89" s="7"/>
      <c r="H89" s="7"/>
      <c r="I89" s="7"/>
      <c r="J89" s="7"/>
      <c r="K89" s="7"/>
      <c r="L89" s="7">
        <v>4976</v>
      </c>
      <c r="M89" s="7">
        <v>616784</v>
      </c>
      <c r="N89" s="7"/>
      <c r="O89" s="7"/>
      <c r="P89" s="7"/>
      <c r="Q89" s="7"/>
      <c r="R89" s="7"/>
      <c r="S89" s="60">
        <f>SUM((D89+F89+H89+J89+L89+N89+P89+R89)-(E89+G89+I89+K89+M89+O89+Q89))</f>
        <v>-738580</v>
      </c>
      <c r="T89" s="1">
        <f>S89-J89</f>
        <v>-738580</v>
      </c>
    </row>
    <row r="90" spans="1:49" x14ac:dyDescent="0.2">
      <c r="A90" s="1" t="s">
        <v>304</v>
      </c>
      <c r="B90" s="2">
        <v>78877.89</v>
      </c>
      <c r="C90" s="78">
        <v>4404.2700000000004</v>
      </c>
      <c r="D90" s="7">
        <v>8007762</v>
      </c>
      <c r="E90" s="7"/>
      <c r="F90" s="7"/>
      <c r="G90" s="7"/>
      <c r="H90" s="7"/>
      <c r="I90" s="7"/>
      <c r="J90" s="7"/>
      <c r="K90" s="7"/>
      <c r="L90" s="7">
        <v>2509290</v>
      </c>
      <c r="M90" s="7"/>
      <c r="N90" s="7"/>
      <c r="O90" s="7"/>
      <c r="P90" s="7"/>
      <c r="Q90" s="7"/>
      <c r="R90" s="7"/>
      <c r="S90" s="60">
        <f t="shared" si="11"/>
        <v>10517052</v>
      </c>
      <c r="T90" s="1">
        <f t="shared" si="12"/>
        <v>10517052</v>
      </c>
    </row>
    <row r="91" spans="1:49" x14ac:dyDescent="0.2">
      <c r="A91" s="1" t="s">
        <v>709</v>
      </c>
      <c r="B91" s="2">
        <v>431.24</v>
      </c>
      <c r="C91" s="78">
        <v>36.43</v>
      </c>
      <c r="D91" s="7">
        <v>66232</v>
      </c>
      <c r="E91" s="7">
        <v>16239</v>
      </c>
      <c r="F91" s="7"/>
      <c r="G91" s="7"/>
      <c r="H91" s="7"/>
      <c r="I91" s="7"/>
      <c r="J91" s="7"/>
      <c r="K91" s="7"/>
      <c r="L91" s="7">
        <v>7506</v>
      </c>
      <c r="M91" s="7"/>
      <c r="N91" s="7"/>
      <c r="O91" s="7"/>
      <c r="P91" s="7"/>
      <c r="Q91" s="7"/>
      <c r="R91" s="7"/>
      <c r="S91" s="60">
        <f t="shared" si="11"/>
        <v>57499</v>
      </c>
      <c r="T91" s="1">
        <f t="shared" si="12"/>
        <v>57499</v>
      </c>
    </row>
    <row r="92" spans="1:49" x14ac:dyDescent="0.2">
      <c r="A92" s="1" t="s">
        <v>83</v>
      </c>
      <c r="B92" s="2">
        <v>197.42</v>
      </c>
      <c r="C92" s="78">
        <v>13.66</v>
      </c>
      <c r="D92" s="7">
        <v>2842</v>
      </c>
      <c r="E92" s="7"/>
      <c r="F92" s="7">
        <v>22000</v>
      </c>
      <c r="G92" s="7"/>
      <c r="H92" s="7"/>
      <c r="I92" s="7"/>
      <c r="J92" s="7"/>
      <c r="K92" s="7"/>
      <c r="L92" s="7">
        <v>1481</v>
      </c>
      <c r="M92" s="7"/>
      <c r="N92" s="7"/>
      <c r="O92" s="7"/>
      <c r="P92" s="7"/>
      <c r="Q92" s="7"/>
      <c r="R92" s="7"/>
      <c r="S92" s="60">
        <f>SUM((D92+F92+H92+J92+L92+N92+P92+R92)-(E92+G92+I92+K92+M92+O92+Q92))</f>
        <v>26323</v>
      </c>
      <c r="T92" s="1">
        <f>S92-J92</f>
        <v>26323</v>
      </c>
    </row>
    <row r="93" spans="1:49" x14ac:dyDescent="0.2">
      <c r="A93" s="1" t="s">
        <v>575</v>
      </c>
      <c r="B93" s="2">
        <v>88477.2</v>
      </c>
      <c r="C93" s="78">
        <v>3616.19</v>
      </c>
      <c r="D93" s="7">
        <v>6574890</v>
      </c>
      <c r="E93" s="7"/>
      <c r="F93" s="7"/>
      <c r="G93" s="7"/>
      <c r="H93" s="7"/>
      <c r="I93" s="7"/>
      <c r="J93" s="7"/>
      <c r="K93" s="7"/>
      <c r="L93" s="7">
        <v>5222070</v>
      </c>
      <c r="M93" s="7"/>
      <c r="N93" s="7"/>
      <c r="O93" s="7"/>
      <c r="P93" s="7"/>
      <c r="Q93" s="7"/>
      <c r="R93" s="7"/>
      <c r="S93" s="60">
        <f>SUM((D93+F93+H93+J93+L93+N93+P93+R93)-(E93+G93+I93+K93+M93+O93+Q93))</f>
        <v>11796960</v>
      </c>
      <c r="T93" s="1">
        <f>S93-J93</f>
        <v>11796960</v>
      </c>
      <c r="U93" s="1"/>
      <c r="V93" s="1"/>
    </row>
    <row r="94" spans="1:49" s="20" customFormat="1" x14ac:dyDescent="0.2">
      <c r="A94" s="18" t="s">
        <v>305</v>
      </c>
      <c r="B94" s="78">
        <v>4782.1099999999997</v>
      </c>
      <c r="C94" s="78">
        <v>2.2799999999999998</v>
      </c>
      <c r="D94" s="246"/>
      <c r="E94" s="246"/>
      <c r="F94" s="246"/>
      <c r="G94" s="246"/>
      <c r="H94" s="246"/>
      <c r="I94" s="246"/>
      <c r="J94" s="246">
        <v>4148</v>
      </c>
      <c r="K94" s="246"/>
      <c r="L94" s="246">
        <v>696808</v>
      </c>
      <c r="M94" s="246">
        <v>59194</v>
      </c>
      <c r="N94" s="246"/>
      <c r="O94" s="246"/>
      <c r="P94" s="246"/>
      <c r="Q94" s="246"/>
      <c r="R94" s="246"/>
      <c r="S94" s="248">
        <f>SUM((D94+F94+H94+J94+L94+N94+P94+R94)-(E94+G94+I94+K94+M94+O94+Q94))</f>
        <v>641762</v>
      </c>
      <c r="T94" s="18">
        <f>S94-J94</f>
        <v>637614</v>
      </c>
      <c r="U94" s="78"/>
      <c r="V94" s="18"/>
      <c r="W94" s="18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18"/>
      <c r="AU94" s="246"/>
      <c r="AV94" s="18"/>
      <c r="AW94" s="18"/>
    </row>
    <row r="95" spans="1:49" s="20" customFormat="1" x14ac:dyDescent="0.2">
      <c r="A95" s="18" t="s">
        <v>494</v>
      </c>
      <c r="B95" s="78">
        <v>-232.31</v>
      </c>
      <c r="C95" s="78">
        <v>33.96</v>
      </c>
      <c r="D95" s="246">
        <v>61752</v>
      </c>
      <c r="E95" s="246">
        <v>92727</v>
      </c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8">
        <f>SUM((D95+F95+H95+J95+L95+N95+P95+R95)-(E95+G95+I95+K95+M95+O95+Q95))</f>
        <v>-30975</v>
      </c>
      <c r="T95" s="18">
        <f>S95-J95</f>
        <v>-30975</v>
      </c>
      <c r="U95" s="78"/>
      <c r="V95" s="18"/>
      <c r="W95" s="18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18"/>
      <c r="AU95" s="246"/>
      <c r="AV95" s="18"/>
      <c r="AW95" s="18"/>
    </row>
    <row r="96" spans="1:49" x14ac:dyDescent="0.2">
      <c r="T96" s="1"/>
      <c r="U96" s="1"/>
      <c r="V96" s="1"/>
    </row>
    <row r="97" spans="1:22" ht="21.75" customHeight="1" thickBot="1" x14ac:dyDescent="0.25">
      <c r="A97" s="1" t="s">
        <v>243</v>
      </c>
      <c r="B97" s="132">
        <f t="shared" ref="B97:T97" si="13">SUM(B12:B96)</f>
        <v>1044532.94</v>
      </c>
      <c r="C97" s="132">
        <f t="shared" si="13"/>
        <v>56050.81</v>
      </c>
      <c r="D97" s="34">
        <f t="shared" si="13"/>
        <v>87254852</v>
      </c>
      <c r="E97" s="34">
        <f t="shared" si="13"/>
        <v>9121486</v>
      </c>
      <c r="F97" s="34">
        <f t="shared" si="13"/>
        <v>13960484</v>
      </c>
      <c r="G97" s="34">
        <f t="shared" si="13"/>
        <v>1561985</v>
      </c>
      <c r="H97" s="34">
        <f t="shared" si="13"/>
        <v>289460</v>
      </c>
      <c r="I97" s="34">
        <f t="shared" si="13"/>
        <v>0</v>
      </c>
      <c r="J97" s="34">
        <f t="shared" si="13"/>
        <v>405756</v>
      </c>
      <c r="K97" s="34">
        <f t="shared" si="13"/>
        <v>0</v>
      </c>
      <c r="L97" s="34">
        <f t="shared" si="13"/>
        <v>59272893</v>
      </c>
      <c r="M97" s="34">
        <f t="shared" si="13"/>
        <v>11889462</v>
      </c>
      <c r="N97" s="34">
        <f t="shared" si="13"/>
        <v>0</v>
      </c>
      <c r="O97" s="34">
        <f t="shared" si="13"/>
        <v>0</v>
      </c>
      <c r="P97" s="34">
        <f t="shared" si="13"/>
        <v>441052</v>
      </c>
      <c r="Q97" s="34">
        <f t="shared" si="13"/>
        <v>0</v>
      </c>
      <c r="R97" s="34">
        <f t="shared" si="13"/>
        <v>44374</v>
      </c>
      <c r="S97" s="34">
        <f t="shared" si="13"/>
        <v>139095938</v>
      </c>
      <c r="T97" s="34">
        <f t="shared" si="13"/>
        <v>138690182</v>
      </c>
      <c r="U97" s="7"/>
      <c r="V97" s="7">
        <f>D97-E97+F97-G97+H97-I97+J97-K97+L97-M97+N97-O97+P97-Q97+R97</f>
        <v>139095938</v>
      </c>
    </row>
    <row r="98" spans="1:22" hidden="1" x14ac:dyDescent="0.2">
      <c r="A98" s="1"/>
      <c r="B98" s="1"/>
      <c r="C98" s="1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23.25" hidden="1" customHeight="1" x14ac:dyDescent="0.2">
      <c r="A99" s="1"/>
      <c r="B99" s="1"/>
      <c r="C99" s="1"/>
      <c r="D99" s="7"/>
      <c r="E99" s="7"/>
      <c r="F99" s="7"/>
      <c r="G99" s="7"/>
      <c r="H99" s="7"/>
      <c r="I99" s="7"/>
      <c r="J99" s="7"/>
      <c r="K99" s="7"/>
      <c r="L99" s="7"/>
      <c r="M99" s="7"/>
      <c r="N99" s="7" t="s">
        <v>306</v>
      </c>
      <c r="O99" s="7"/>
      <c r="P99" s="7"/>
      <c r="Q99" s="7"/>
      <c r="R99" s="7"/>
      <c r="S99" s="7"/>
      <c r="T99" s="7"/>
      <c r="U99" s="7"/>
      <c r="V99" s="7"/>
    </row>
    <row r="100" spans="1:22" ht="21" hidden="1" customHeight="1" x14ac:dyDescent="0.2">
      <c r="A100" s="1" t="s">
        <v>307</v>
      </c>
      <c r="B100" s="2">
        <v>1051022.9099999999</v>
      </c>
      <c r="C100" s="2">
        <v>56050.81</v>
      </c>
      <c r="D100" s="7"/>
      <c r="E100" s="7"/>
      <c r="F100" s="2"/>
      <c r="G100" s="2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"/>
      <c r="V100" s="1"/>
    </row>
    <row r="101" spans="1:22" hidden="1" x14ac:dyDescent="0.2">
      <c r="A101" s="1" t="s">
        <v>308</v>
      </c>
      <c r="B101" s="2">
        <f>B100-B97</f>
        <v>6489.97</v>
      </c>
      <c r="C101" s="2">
        <f>C100-C97</f>
        <v>0</v>
      </c>
      <c r="D101" s="9"/>
      <c r="E101" s="1"/>
      <c r="F101" s="9"/>
      <c r="G101" s="9"/>
      <c r="H101" s="9"/>
      <c r="I101" s="9"/>
      <c r="J101" s="1"/>
      <c r="K101" s="7"/>
      <c r="L101" s="1"/>
      <c r="M101" s="1"/>
      <c r="N101" s="1"/>
      <c r="O101" s="1"/>
      <c r="P101" s="1"/>
      <c r="Q101" s="1"/>
      <c r="R101" s="1"/>
      <c r="S101" s="7"/>
      <c r="T101" s="1"/>
      <c r="U101" s="1"/>
      <c r="V101" s="1"/>
    </row>
    <row r="102" spans="1:22" hidden="1" x14ac:dyDescent="0.2">
      <c r="A102" s="5"/>
      <c r="B102" s="256"/>
      <c r="C102" s="1"/>
      <c r="D102" s="385" t="s">
        <v>780</v>
      </c>
      <c r="E102" s="263"/>
      <c r="F102" s="9"/>
      <c r="G102" s="9"/>
      <c r="H102" s="9"/>
      <c r="I102" s="9"/>
      <c r="J102" s="1"/>
      <c r="K102" s="7"/>
    </row>
    <row r="103" spans="1:22" hidden="1" x14ac:dyDescent="0.2">
      <c r="A103" s="24"/>
      <c r="B103" s="2">
        <f>B101+B102</f>
        <v>6489.97</v>
      </c>
      <c r="C103" s="2">
        <f>C101+C102</f>
        <v>0</v>
      </c>
      <c r="D103" s="263" t="s">
        <v>781</v>
      </c>
      <c r="E103" s="263"/>
      <c r="F103" s="1"/>
      <c r="G103" s="1"/>
      <c r="H103" s="1"/>
      <c r="I103" s="1"/>
      <c r="J103" s="1"/>
      <c r="K103" s="7"/>
    </row>
    <row r="104" spans="1:22" hidden="1" x14ac:dyDescent="0.2">
      <c r="B104" t="s">
        <v>636</v>
      </c>
      <c r="C104" s="1" t="s">
        <v>637</v>
      </c>
      <c r="D104" s="1"/>
      <c r="E104" s="1"/>
      <c r="F104" s="1"/>
      <c r="G104" s="1"/>
      <c r="H104" s="1"/>
      <c r="I104" s="1"/>
      <c r="J104" s="1"/>
      <c r="K104" s="7"/>
    </row>
    <row r="105" spans="1:22" hidden="1" x14ac:dyDescent="0.2">
      <c r="A105" t="s">
        <v>635</v>
      </c>
      <c r="B105" s="297">
        <f>(+D97-E97+F97-G97+H97-I97+L97-M97+N97-O97+P97-Q97)*0.0075</f>
        <v>1039843.56</v>
      </c>
      <c r="C105" s="297">
        <f>+B105-CUFEE</f>
        <v>-4689.38</v>
      </c>
      <c r="D105" s="1"/>
      <c r="E105" s="1"/>
      <c r="F105" s="1"/>
      <c r="G105" s="1"/>
      <c r="H105" s="1"/>
      <c r="I105" s="1"/>
      <c r="J105" s="1"/>
      <c r="K105" s="7"/>
    </row>
    <row r="106" spans="1:22" hidden="1" x14ac:dyDescent="0.2"/>
    <row r="107" spans="1:22" hidden="1" x14ac:dyDescent="0.2">
      <c r="A107" t="s">
        <v>634</v>
      </c>
      <c r="B107" s="297">
        <f>(+D97+F97+H97+J97)*0.00055</f>
        <v>56050.8</v>
      </c>
      <c r="C107" s="297">
        <f>+B107-INSFEE</f>
        <v>-0.01</v>
      </c>
    </row>
    <row r="108" spans="1:22" hidden="1" x14ac:dyDescent="0.2"/>
    <row r="109" spans="1:22" hidden="1" x14ac:dyDescent="0.2"/>
    <row r="110" spans="1:22" hidden="1" x14ac:dyDescent="0.2"/>
    <row r="111" spans="1:22" hidden="1" x14ac:dyDescent="0.2"/>
    <row r="112" spans="1:2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</sheetData>
  <phoneticPr fontId="0" type="noConversion"/>
  <printOptions horizontalCentered="1"/>
  <pageMargins left="0.2" right="0.2" top="0.42" bottom="0.61" header="0.3" footer="0.31"/>
  <pageSetup scale="55" fitToHeight="2" orientation="landscape" r:id="rId1"/>
  <headerFooter alignWithMargins="0"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61"/>
  <sheetViews>
    <sheetView topLeftCell="A10" workbookViewId="0">
      <selection activeCell="A17" sqref="A17"/>
    </sheetView>
  </sheetViews>
  <sheetFormatPr defaultRowHeight="12.75" x14ac:dyDescent="0.2"/>
  <cols>
    <col min="1" max="1" width="46.5703125" customWidth="1"/>
    <col min="2" max="2" width="13.85546875" customWidth="1"/>
    <col min="3" max="3" width="20" customWidth="1"/>
    <col min="4" max="4" width="9.7109375" customWidth="1"/>
    <col min="5" max="5" width="15.5703125" customWidth="1"/>
  </cols>
  <sheetData>
    <row r="1" spans="1:5" ht="26.25" customHeight="1" x14ac:dyDescent="0.2">
      <c r="A1" s="70" t="s">
        <v>309</v>
      </c>
      <c r="B1" s="71"/>
      <c r="C1" s="71"/>
    </row>
    <row r="2" spans="1:5" ht="27.75" customHeight="1" x14ac:dyDescent="0.2">
      <c r="A2" s="70" t="s">
        <v>789</v>
      </c>
      <c r="B2" s="72"/>
      <c r="C2" s="72"/>
    </row>
    <row r="3" spans="1:5" ht="50.25" customHeight="1" x14ac:dyDescent="0.25">
      <c r="A3" s="127" t="str">
        <f>CONCATENATE("MOTOR  FUEL  TAX  COLLECTED  IN  THE  MONTH  OF  ",ReportMonth)</f>
        <v>MOTOR  FUEL  TAX  COLLECTED  IN  THE  MONTH  OF  JUNE 2004</v>
      </c>
      <c r="B3" s="73"/>
      <c r="C3" s="74"/>
    </row>
    <row r="4" spans="1:5" ht="57.75" customHeight="1" x14ac:dyDescent="0.2">
      <c r="A4" s="62" t="s">
        <v>310</v>
      </c>
      <c r="B4" s="62" t="s">
        <v>81</v>
      </c>
      <c r="C4" s="75">
        <f>ST12.65</f>
        <v>11319525.27</v>
      </c>
    </row>
    <row r="5" spans="1:5" ht="31.5" customHeight="1" x14ac:dyDescent="0.2">
      <c r="A5" s="62" t="s">
        <v>311</v>
      </c>
      <c r="B5" s="62" t="s">
        <v>81</v>
      </c>
      <c r="C5" s="75">
        <f>_ST5</f>
        <v>4473050.68</v>
      </c>
    </row>
    <row r="6" spans="1:5" ht="31.5" customHeight="1" x14ac:dyDescent="0.2">
      <c r="A6" s="62" t="s">
        <v>312</v>
      </c>
      <c r="B6" s="62" t="s">
        <v>313</v>
      </c>
      <c r="C6" s="75">
        <f>ST5.35</f>
        <v>4783432.29</v>
      </c>
    </row>
    <row r="7" spans="1:5" ht="31.5" customHeight="1" x14ac:dyDescent="0.2">
      <c r="A7" s="62" t="s">
        <v>314</v>
      </c>
      <c r="B7" s="62"/>
      <c r="C7" s="62"/>
    </row>
    <row r="8" spans="1:5" ht="31.5" customHeight="1" x14ac:dyDescent="0.2">
      <c r="A8" s="62" t="s">
        <v>315</v>
      </c>
      <c r="B8" s="62"/>
      <c r="C8" s="75">
        <f>COUNTYOPTION</f>
        <v>7719338.3099999996</v>
      </c>
    </row>
    <row r="9" spans="1:5" ht="31.5" customHeight="1" x14ac:dyDescent="0.2">
      <c r="A9" s="62" t="s">
        <v>316</v>
      </c>
      <c r="B9" s="62"/>
      <c r="C9" s="75"/>
    </row>
    <row r="10" spans="1:5" ht="31.5" customHeight="1" x14ac:dyDescent="0.2">
      <c r="A10" s="62" t="s">
        <v>315</v>
      </c>
      <c r="B10" s="62"/>
      <c r="C10" s="75">
        <f>COUNTY1</f>
        <v>894404.45</v>
      </c>
    </row>
    <row r="11" spans="1:5" ht="31.5" customHeight="1" x14ac:dyDescent="0.2">
      <c r="A11" s="76" t="s">
        <v>317</v>
      </c>
      <c r="B11" s="62"/>
      <c r="C11" s="75">
        <f>AVGAS10.5</f>
        <v>5570.32</v>
      </c>
    </row>
    <row r="12" spans="1:5" ht="31.5" customHeight="1" x14ac:dyDescent="0.2">
      <c r="A12" s="76" t="s">
        <v>341</v>
      </c>
      <c r="B12" s="62"/>
      <c r="C12" s="75">
        <f>AV_OPT</f>
        <v>2570.88</v>
      </c>
    </row>
    <row r="13" spans="1:5" ht="31.5" customHeight="1" x14ac:dyDescent="0.2">
      <c r="A13" s="62" t="s">
        <v>318</v>
      </c>
      <c r="B13" s="62"/>
      <c r="C13" s="75">
        <f>JETTOTAL</f>
        <v>1083719.3700000001</v>
      </c>
    </row>
    <row r="14" spans="1:5" ht="31.5" customHeight="1" x14ac:dyDescent="0.2">
      <c r="A14" s="62" t="s">
        <v>319</v>
      </c>
      <c r="B14" s="62"/>
      <c r="C14" s="75">
        <f>CUFEE</f>
        <v>1044532.94</v>
      </c>
      <c r="E14" s="11"/>
    </row>
    <row r="15" spans="1:5" ht="31.5" customHeight="1" x14ac:dyDescent="0.2">
      <c r="A15" s="62" t="s">
        <v>320</v>
      </c>
      <c r="B15" s="62"/>
      <c r="C15" s="75">
        <f>INSFEE</f>
        <v>56050.81</v>
      </c>
      <c r="E15" s="11"/>
    </row>
    <row r="16" spans="1:5" ht="31.5" customHeight="1" x14ac:dyDescent="0.2">
      <c r="A16" s="62" t="s">
        <v>671</v>
      </c>
      <c r="B16" s="62"/>
      <c r="C16" s="75">
        <f>LICFEE+'s1'!I122</f>
        <v>64540.24</v>
      </c>
    </row>
    <row r="17" spans="1:5" ht="52.5" customHeight="1" thickBot="1" x14ac:dyDescent="0.3">
      <c r="A17" s="77" t="s">
        <v>321</v>
      </c>
      <c r="B17" s="62"/>
      <c r="C17" s="137">
        <f>SUM(C4:C16)</f>
        <v>31446735.559999999</v>
      </c>
    </row>
    <row r="18" spans="1:5" x14ac:dyDescent="0.2">
      <c r="A18" s="20"/>
      <c r="B18" s="20"/>
      <c r="C18" s="20"/>
    </row>
    <row r="21" spans="1:5" x14ac:dyDescent="0.2">
      <c r="B21" t="s">
        <v>568</v>
      </c>
      <c r="C21" s="255">
        <v>40142734.32</v>
      </c>
    </row>
    <row r="22" spans="1:5" x14ac:dyDescent="0.2">
      <c r="B22" t="s">
        <v>569</v>
      </c>
      <c r="C22" s="255">
        <v>4382.88</v>
      </c>
    </row>
    <row r="24" spans="1:5" x14ac:dyDescent="0.2">
      <c r="B24" t="s">
        <v>570</v>
      </c>
      <c r="C24" s="255">
        <f>8655453.35-38741.41</f>
        <v>8616711.9399999995</v>
      </c>
      <c r="E24" s="255">
        <f>C23+C24+C25</f>
        <v>8655453.3499999996</v>
      </c>
    </row>
    <row r="25" spans="1:5" x14ac:dyDescent="0.2">
      <c r="A25" t="s">
        <v>755</v>
      </c>
      <c r="C25" s="255">
        <v>38741.410000000003</v>
      </c>
      <c r="E25" s="255"/>
    </row>
    <row r="26" spans="1:5" x14ac:dyDescent="0.2">
      <c r="A26" s="255"/>
    </row>
    <row r="27" spans="1:5" x14ac:dyDescent="0.2">
      <c r="B27" t="s">
        <v>110</v>
      </c>
      <c r="C27" s="255">
        <f>C21-C22-C23-C24-C25</f>
        <v>31482898.09</v>
      </c>
      <c r="E27" s="255"/>
    </row>
    <row r="29" spans="1:5" x14ac:dyDescent="0.2">
      <c r="C29" s="255">
        <f>C17-C27</f>
        <v>-36162.53</v>
      </c>
    </row>
    <row r="31" spans="1:5" x14ac:dyDescent="0.2">
      <c r="A31" s="142" t="s">
        <v>788</v>
      </c>
      <c r="C31" s="255">
        <f>C27+C29</f>
        <v>31446735.559999999</v>
      </c>
    </row>
    <row r="32" spans="1:5" x14ac:dyDescent="0.2">
      <c r="A32" t="s">
        <v>756</v>
      </c>
      <c r="B32" s="17">
        <v>55.68</v>
      </c>
      <c r="E32" s="255">
        <f>C29+E29</f>
        <v>-36162.53</v>
      </c>
    </row>
    <row r="33" spans="1:2" x14ac:dyDescent="0.2">
      <c r="A33" t="s">
        <v>453</v>
      </c>
      <c r="B33" s="17">
        <v>777.71</v>
      </c>
    </row>
    <row r="34" spans="1:2" x14ac:dyDescent="0.2">
      <c r="A34" t="s">
        <v>778</v>
      </c>
      <c r="B34" s="17">
        <v>1679.95</v>
      </c>
    </row>
    <row r="35" spans="1:2" x14ac:dyDescent="0.2">
      <c r="A35" t="s">
        <v>757</v>
      </c>
      <c r="B35" s="17">
        <v>284.77999999999997</v>
      </c>
    </row>
    <row r="36" spans="1:2" x14ac:dyDescent="0.2">
      <c r="A36" t="s">
        <v>474</v>
      </c>
      <c r="B36" s="17">
        <v>1506.62</v>
      </c>
    </row>
    <row r="37" spans="1:2" x14ac:dyDescent="0.2">
      <c r="A37" t="s">
        <v>758</v>
      </c>
      <c r="B37" s="17">
        <v>56.43</v>
      </c>
    </row>
    <row r="38" spans="1:2" x14ac:dyDescent="0.2">
      <c r="A38" t="s">
        <v>759</v>
      </c>
      <c r="B38" s="17">
        <v>1187.08</v>
      </c>
    </row>
    <row r="39" spans="1:2" x14ac:dyDescent="0.2">
      <c r="A39" t="s">
        <v>618</v>
      </c>
      <c r="B39" s="17">
        <v>941.72</v>
      </c>
    </row>
    <row r="40" spans="1:2" x14ac:dyDescent="0.2">
      <c r="B40" s="17"/>
    </row>
    <row r="41" spans="1:2" x14ac:dyDescent="0.2">
      <c r="A41" t="s">
        <v>110</v>
      </c>
      <c r="B41" s="17">
        <f>SUM(B32:B40)</f>
        <v>6489.97</v>
      </c>
    </row>
    <row r="42" spans="1:2" x14ac:dyDescent="0.2">
      <c r="B42" s="17"/>
    </row>
    <row r="43" spans="1:2" x14ac:dyDescent="0.2">
      <c r="A43" s="142" t="s">
        <v>791</v>
      </c>
      <c r="B43" s="17"/>
    </row>
    <row r="44" spans="1:2" x14ac:dyDescent="0.2">
      <c r="A44" t="s">
        <v>792</v>
      </c>
      <c r="B44" s="17">
        <v>2555.4899999999998</v>
      </c>
    </row>
    <row r="45" spans="1:2" x14ac:dyDescent="0.2">
      <c r="A45" t="s">
        <v>793</v>
      </c>
      <c r="B45" s="17">
        <v>-970.3</v>
      </c>
    </row>
    <row r="46" spans="1:2" x14ac:dyDescent="0.2">
      <c r="A46" t="s">
        <v>794</v>
      </c>
      <c r="B46" s="17">
        <v>-191.35</v>
      </c>
    </row>
    <row r="47" spans="1:2" x14ac:dyDescent="0.2">
      <c r="B47" s="17"/>
    </row>
    <row r="48" spans="1:2" x14ac:dyDescent="0.2">
      <c r="A48" t="s">
        <v>110</v>
      </c>
      <c r="B48" s="17">
        <f>SUM(B44:B47)</f>
        <v>1393.84</v>
      </c>
    </row>
    <row r="50" spans="1:2" x14ac:dyDescent="0.2">
      <c r="A50" s="142" t="s">
        <v>782</v>
      </c>
    </row>
    <row r="51" spans="1:2" x14ac:dyDescent="0.2">
      <c r="A51" t="s">
        <v>773</v>
      </c>
      <c r="B51" s="17">
        <v>-23352.78</v>
      </c>
    </row>
    <row r="52" spans="1:2" x14ac:dyDescent="0.2">
      <c r="A52" t="s">
        <v>783</v>
      </c>
      <c r="B52" s="17">
        <v>-3019.63</v>
      </c>
    </row>
    <row r="53" spans="1:2" x14ac:dyDescent="0.2">
      <c r="A53" t="s">
        <v>784</v>
      </c>
      <c r="B53" s="17">
        <v>45.86</v>
      </c>
    </row>
    <row r="54" spans="1:2" x14ac:dyDescent="0.2">
      <c r="A54" t="s">
        <v>785</v>
      </c>
      <c r="B54" s="17">
        <v>-2035.24</v>
      </c>
    </row>
    <row r="55" spans="1:2" x14ac:dyDescent="0.2">
      <c r="A55" t="s">
        <v>493</v>
      </c>
      <c r="B55" s="17">
        <v>83.07</v>
      </c>
    </row>
    <row r="56" spans="1:2" x14ac:dyDescent="0.2">
      <c r="B56" s="17"/>
    </row>
    <row r="57" spans="1:2" x14ac:dyDescent="0.2">
      <c r="A57" t="s">
        <v>786</v>
      </c>
      <c r="B57" s="17">
        <f>SUM(B51:B56)</f>
        <v>-28278.720000000001</v>
      </c>
    </row>
    <row r="58" spans="1:2" x14ac:dyDescent="0.2">
      <c r="B58" s="255"/>
    </row>
    <row r="59" spans="1:2" x14ac:dyDescent="0.2">
      <c r="B59" s="255">
        <f>B57-B48-B41</f>
        <v>-36162.53</v>
      </c>
    </row>
    <row r="61" spans="1:2" x14ac:dyDescent="0.2">
      <c r="B61" s="255">
        <f>C29-B59</f>
        <v>0</v>
      </c>
    </row>
  </sheetData>
  <phoneticPr fontId="0" type="noConversion"/>
  <printOptions horizontalCentered="1"/>
  <pageMargins left="0.75" right="0.75" top="0.53" bottom="0.26" header="0.5" footer="0.5"/>
  <pageSetup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0"/>
  <sheetViews>
    <sheetView topLeftCell="A16" workbookViewId="0">
      <selection activeCell="A18" sqref="A18"/>
    </sheetView>
  </sheetViews>
  <sheetFormatPr defaultRowHeight="12.75" x14ac:dyDescent="0.2"/>
  <cols>
    <col min="1" max="1" width="43.140625" customWidth="1"/>
    <col min="2" max="2" width="11" customWidth="1"/>
    <col min="3" max="3" width="23.85546875" customWidth="1"/>
  </cols>
  <sheetData>
    <row r="1" spans="1:3" ht="26.25" customHeight="1" x14ac:dyDescent="0.2">
      <c r="A1" s="70" t="s">
        <v>3</v>
      </c>
      <c r="B1" s="65"/>
      <c r="C1" s="65"/>
    </row>
    <row r="2" spans="1:3" ht="23.25" customHeight="1" x14ac:dyDescent="0.2">
      <c r="A2" s="70" t="s">
        <v>789</v>
      </c>
      <c r="B2" s="65"/>
      <c r="C2" s="65"/>
    </row>
    <row r="3" spans="1:3" ht="43.5" customHeight="1" x14ac:dyDescent="0.25">
      <c r="A3" s="127" t="str">
        <f>CONCATENATE("MOTOR  FUEL  TAX  DISTRIBUTED  IN  THE  MONTH  OF  ",ReportMonth)</f>
        <v>MOTOR  FUEL  TAX  DISTRIBUTED  IN  THE  MONTH  OF  JUNE 2004</v>
      </c>
      <c r="B3" s="65"/>
      <c r="C3" s="65"/>
    </row>
    <row r="4" spans="1:3" ht="54" customHeight="1" x14ac:dyDescent="0.2">
      <c r="A4" s="62" t="s">
        <v>322</v>
      </c>
      <c r="B4" s="62"/>
      <c r="C4" s="75">
        <f>COUNTYTOTAL</f>
        <v>13202768.619999999</v>
      </c>
    </row>
    <row r="5" spans="1:3" ht="31.5" customHeight="1" x14ac:dyDescent="0.2">
      <c r="A5" s="62" t="s">
        <v>323</v>
      </c>
      <c r="B5" s="62"/>
      <c r="C5" s="75">
        <f>NETAV</f>
        <v>2570.88</v>
      </c>
    </row>
    <row r="6" spans="1:3" ht="31.5" customHeight="1" x14ac:dyDescent="0.2">
      <c r="A6" s="62" t="s">
        <v>324</v>
      </c>
      <c r="B6" s="62"/>
      <c r="C6" s="20"/>
    </row>
    <row r="7" spans="1:3" ht="31.5" customHeight="1" x14ac:dyDescent="0.2">
      <c r="A7" s="69" t="s">
        <v>325</v>
      </c>
      <c r="B7" s="62"/>
      <c r="C7" s="75">
        <f>NET12.65</f>
        <v>11110182</v>
      </c>
    </row>
    <row r="8" spans="1:3" ht="31.5" customHeight="1" x14ac:dyDescent="0.2">
      <c r="A8" s="62" t="s">
        <v>326</v>
      </c>
      <c r="B8" s="62"/>
      <c r="C8" s="75">
        <f>_NET5</f>
        <v>4390319.9800000004</v>
      </c>
    </row>
    <row r="9" spans="1:3" ht="31.5" customHeight="1" x14ac:dyDescent="0.2">
      <c r="A9" s="62" t="s">
        <v>327</v>
      </c>
      <c r="B9" s="62"/>
      <c r="C9" s="75"/>
    </row>
    <row r="10" spans="1:3" ht="31.5" customHeight="1" x14ac:dyDescent="0.2">
      <c r="A10" s="62" t="s">
        <v>328</v>
      </c>
      <c r="B10" s="62"/>
      <c r="C10" s="75">
        <f>_JET1</f>
        <v>382756.01</v>
      </c>
    </row>
    <row r="11" spans="1:3" ht="31.5" customHeight="1" x14ac:dyDescent="0.2">
      <c r="A11" s="62" t="s">
        <v>329</v>
      </c>
      <c r="B11" s="62"/>
      <c r="C11" s="75">
        <f>_JET2</f>
        <v>700963.36</v>
      </c>
    </row>
    <row r="12" spans="1:3" ht="31.5" customHeight="1" x14ac:dyDescent="0.2">
      <c r="A12" s="62" t="s">
        <v>330</v>
      </c>
      <c r="B12" s="62"/>
      <c r="C12" s="75">
        <f>ADMINFEES</f>
        <v>54402.51</v>
      </c>
    </row>
    <row r="13" spans="1:3" ht="31.5" customHeight="1" x14ac:dyDescent="0.2">
      <c r="A13" s="62" t="s">
        <v>331</v>
      </c>
      <c r="B13" s="62"/>
      <c r="C13" s="75">
        <f>CIVILA</f>
        <v>5570.32</v>
      </c>
    </row>
    <row r="14" spans="1:3" ht="31.5" customHeight="1" x14ac:dyDescent="0.2">
      <c r="A14" s="62" t="s">
        <v>332</v>
      </c>
      <c r="B14" s="62"/>
      <c r="C14" s="75">
        <f>REFUNDS</f>
        <v>173510.45</v>
      </c>
    </row>
    <row r="15" spans="1:3" ht="31.5" customHeight="1" x14ac:dyDescent="0.2">
      <c r="A15" s="62" t="s">
        <v>333</v>
      </c>
      <c r="B15" s="62"/>
      <c r="C15" s="75">
        <f>PARKWILD</f>
        <v>258567.44</v>
      </c>
    </row>
    <row r="16" spans="1:3" ht="31.5" customHeight="1" x14ac:dyDescent="0.2">
      <c r="A16" s="62" t="s">
        <v>319</v>
      </c>
      <c r="B16" s="62"/>
      <c r="C16" s="75">
        <f>CUFEE</f>
        <v>1044532.94</v>
      </c>
    </row>
    <row r="17" spans="1:3" ht="31.5" customHeight="1" x14ac:dyDescent="0.2">
      <c r="A17" s="62" t="s">
        <v>320</v>
      </c>
      <c r="B17" s="62"/>
      <c r="C17" s="75">
        <f>INSFEE</f>
        <v>56050.81</v>
      </c>
    </row>
    <row r="18" spans="1:3" ht="42.75" customHeight="1" x14ac:dyDescent="0.2">
      <c r="A18" s="62" t="s">
        <v>671</v>
      </c>
      <c r="B18" s="62"/>
      <c r="C18" s="75">
        <f>LICFEE+'s1'!I122</f>
        <v>64540.24</v>
      </c>
    </row>
    <row r="19" spans="1:3" ht="42.75" customHeight="1" thickBot="1" x14ac:dyDescent="0.3">
      <c r="A19" s="98" t="s">
        <v>334</v>
      </c>
      <c r="B19" s="20"/>
      <c r="C19" s="137">
        <f>SUM(C4:C18)</f>
        <v>31446735.559999999</v>
      </c>
    </row>
    <row r="20" spans="1:3" x14ac:dyDescent="0.2">
      <c r="A20" s="18"/>
      <c r="B20" s="18"/>
      <c r="C20" s="78"/>
    </row>
  </sheetData>
  <phoneticPr fontId="0" type="noConversion"/>
  <printOptions horizontalCentered="1"/>
  <pageMargins left="0.71" right="0.75" top="0.53" bottom="0.25" header="0.5" footer="0.5"/>
  <pageSetup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4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10" sqref="A10"/>
    </sheetView>
  </sheetViews>
  <sheetFormatPr defaultRowHeight="12.75" x14ac:dyDescent="0.2"/>
  <cols>
    <col min="1" max="1" width="25.7109375" customWidth="1"/>
    <col min="2" max="2" width="14.7109375" customWidth="1"/>
    <col min="3" max="7" width="14" customWidth="1"/>
    <col min="8" max="9" width="16.85546875" customWidth="1"/>
    <col min="10" max="11" width="16.5703125" customWidth="1"/>
    <col min="12" max="12" width="17" customWidth="1"/>
    <col min="13" max="13" width="10.28515625" customWidth="1"/>
    <col min="14" max="14" width="10.7109375" customWidth="1"/>
    <col min="15" max="15" width="13.42578125" customWidth="1"/>
    <col min="16" max="16" width="11.140625" customWidth="1"/>
    <col min="17" max="17" width="11.7109375" customWidth="1"/>
    <col min="18" max="18" width="10" customWidth="1"/>
    <col min="19" max="19" width="9.7109375" customWidth="1"/>
    <col min="20" max="20" width="12.5703125" customWidth="1"/>
    <col min="21" max="21" width="8.42578125" customWidth="1"/>
    <col min="22" max="22" width="11.140625" customWidth="1"/>
    <col min="23" max="23" width="9" customWidth="1"/>
    <col min="24" max="24" width="8.7109375" customWidth="1"/>
    <col min="25" max="25" width="9.7109375" customWidth="1"/>
    <col min="27" max="27" width="9.7109375" customWidth="1"/>
    <col min="28" max="28" width="10.5703125" customWidth="1"/>
    <col min="29" max="29" width="10" customWidth="1"/>
    <col min="30" max="30" width="10.7109375" customWidth="1"/>
    <col min="31" max="31" width="11.7109375" customWidth="1"/>
    <col min="32" max="33" width="10.7109375" customWidth="1"/>
    <col min="42" max="42" width="12.85546875" customWidth="1"/>
    <col min="43" max="43" width="17.42578125" customWidth="1"/>
    <col min="44" max="44" width="12.42578125" customWidth="1"/>
  </cols>
  <sheetData>
    <row r="1" spans="1:44" ht="15.75" x14ac:dyDescent="0.25">
      <c r="A1" s="63" t="s">
        <v>633</v>
      </c>
      <c r="B1" s="62"/>
      <c r="C1" s="62"/>
      <c r="D1" s="62"/>
      <c r="E1" s="62"/>
      <c r="F1" s="62"/>
      <c r="G1" s="62"/>
      <c r="J1" s="62"/>
      <c r="K1" s="62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P1" t="s">
        <v>1</v>
      </c>
      <c r="AQ1" s="83" t="s">
        <v>562</v>
      </c>
      <c r="AR1" s="82"/>
    </row>
    <row r="2" spans="1:44" ht="15.75" x14ac:dyDescent="0.25">
      <c r="A2" s="112" t="str">
        <f>ReportMonth</f>
        <v>JUNE 2004</v>
      </c>
      <c r="H2" s="62"/>
      <c r="I2" s="62"/>
      <c r="J2" s="62"/>
      <c r="K2" s="6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P2" t="s">
        <v>2</v>
      </c>
      <c r="AQ2" s="83" t="s">
        <v>562</v>
      </c>
    </row>
    <row r="3" spans="1:44" ht="15" x14ac:dyDescent="0.2">
      <c r="A3" s="87" t="s">
        <v>3</v>
      </c>
      <c r="B3" s="87"/>
      <c r="C3" s="43"/>
      <c r="D3" s="43"/>
      <c r="E3" s="43"/>
      <c r="F3" s="43"/>
      <c r="G3" s="43"/>
      <c r="H3" s="87"/>
      <c r="I3" s="87"/>
      <c r="J3" s="87"/>
      <c r="K3" s="87"/>
      <c r="L3" s="4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Q3" s="83"/>
    </row>
    <row r="4" spans="1:44" ht="15" x14ac:dyDescent="0.2">
      <c r="A4" s="87" t="s">
        <v>441</v>
      </c>
      <c r="B4" s="87"/>
      <c r="C4" s="43"/>
      <c r="D4" s="43"/>
      <c r="E4" s="43"/>
      <c r="F4" s="43"/>
      <c r="G4" s="43"/>
      <c r="H4" s="87"/>
      <c r="I4" s="87"/>
      <c r="J4" s="87"/>
      <c r="K4" s="87"/>
      <c r="L4" s="4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Q4" s="83"/>
    </row>
    <row r="5" spans="1:44" ht="15" x14ac:dyDescent="0.2">
      <c r="A5" s="87" t="s">
        <v>4</v>
      </c>
      <c r="B5" s="43"/>
      <c r="C5" s="87"/>
      <c r="D5" s="87"/>
      <c r="E5" s="87"/>
      <c r="F5" s="87"/>
      <c r="G5" s="87"/>
      <c r="H5" s="87"/>
      <c r="I5" s="87"/>
      <c r="J5" s="87"/>
      <c r="K5" s="87"/>
      <c r="L5" s="42"/>
      <c r="M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7" spans="1:44" ht="15.75" x14ac:dyDescent="0.25">
      <c r="A7" s="113" t="str">
        <f>CONCATENATE("EXCISE TAX COLLECTED IN ",ReportMonth," FOR ",ActivityMonth," FUEL TRANSACTIONS")</f>
        <v>EXCISE TAX COLLECTED IN JUNE 2004 FOR JUNE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1"/>
    </row>
    <row r="8" spans="1:44" ht="18" customHeight="1" x14ac:dyDescent="0.2"/>
    <row r="9" spans="1:44" x14ac:dyDescent="0.2">
      <c r="A9" s="1"/>
      <c r="B9" s="5" t="s">
        <v>6</v>
      </c>
      <c r="C9" s="5" t="s">
        <v>6</v>
      </c>
      <c r="D9" s="5" t="s">
        <v>6</v>
      </c>
      <c r="E9" s="5" t="s">
        <v>6</v>
      </c>
      <c r="F9" s="5" t="s">
        <v>603</v>
      </c>
      <c r="G9" s="5" t="s">
        <v>604</v>
      </c>
      <c r="H9" s="5" t="s">
        <v>7</v>
      </c>
      <c r="I9" s="5" t="s">
        <v>7</v>
      </c>
      <c r="J9" s="5" t="s">
        <v>7</v>
      </c>
      <c r="K9" s="5" t="s">
        <v>7</v>
      </c>
      <c r="M9" s="1"/>
    </row>
    <row r="10" spans="1:44" x14ac:dyDescent="0.2">
      <c r="A10" s="1"/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593</v>
      </c>
      <c r="I10" s="5" t="s">
        <v>592</v>
      </c>
      <c r="J10" s="5" t="s">
        <v>591</v>
      </c>
      <c r="K10" s="5" t="s">
        <v>594</v>
      </c>
      <c r="L10" s="5" t="s">
        <v>11</v>
      </c>
      <c r="M10" s="1"/>
    </row>
    <row r="11" spans="1:44" s="20" customFormat="1" ht="15" customHeight="1" thickBot="1" x14ac:dyDescent="0.25">
      <c r="A11" s="80" t="s">
        <v>602</v>
      </c>
      <c r="B11" s="79" t="s">
        <v>593</v>
      </c>
      <c r="C11" s="79" t="s">
        <v>592</v>
      </c>
      <c r="D11" s="79" t="s">
        <v>591</v>
      </c>
      <c r="E11" s="79" t="s">
        <v>594</v>
      </c>
      <c r="F11" s="79" t="s">
        <v>595</v>
      </c>
      <c r="G11" s="79" t="s">
        <v>595</v>
      </c>
      <c r="H11" s="79" t="s">
        <v>596</v>
      </c>
      <c r="I11" s="79" t="s">
        <v>599</v>
      </c>
      <c r="J11" s="79" t="s">
        <v>597</v>
      </c>
      <c r="K11" s="79" t="s">
        <v>598</v>
      </c>
      <c r="L11" s="111" t="s">
        <v>20</v>
      </c>
      <c r="M11" s="18"/>
    </row>
    <row r="12" spans="1:44" s="20" customFormat="1" ht="15" customHeight="1" x14ac:dyDescent="0.2">
      <c r="A12" s="292" t="s">
        <v>601</v>
      </c>
      <c r="B12" s="291"/>
      <c r="C12" s="291"/>
      <c r="D12" s="291"/>
      <c r="E12" s="291"/>
      <c r="F12" s="291"/>
      <c r="G12" s="291"/>
      <c r="H12" s="290">
        <v>0.1862</v>
      </c>
      <c r="I12" s="290">
        <v>0.20580000000000001</v>
      </c>
      <c r="J12" s="290">
        <v>0.2646</v>
      </c>
      <c r="K12" s="290">
        <v>0.21560000000000001</v>
      </c>
      <c r="L12" s="291"/>
      <c r="M12" s="18"/>
    </row>
    <row r="13" spans="1:44" x14ac:dyDescent="0.2">
      <c r="A13" s="1" t="s">
        <v>342</v>
      </c>
      <c r="B13" s="7"/>
      <c r="C13" s="7"/>
      <c r="D13" s="7">
        <v>171062</v>
      </c>
      <c r="E13" s="7"/>
      <c r="F13" s="7">
        <v>0</v>
      </c>
      <c r="G13" s="7">
        <v>0</v>
      </c>
      <c r="H13" s="2">
        <f t="shared" ref="H13:H105" si="0">B13*0.1862</f>
        <v>0</v>
      </c>
      <c r="I13" s="2">
        <f t="shared" ref="I13:I105" si="1">C13*0.2058</f>
        <v>0</v>
      </c>
      <c r="J13" s="2">
        <f>D13*0.2646-980-0.01</f>
        <v>44283</v>
      </c>
      <c r="K13" s="2">
        <f t="shared" ref="K13:K105" si="2">E13*0.2156</f>
        <v>0</v>
      </c>
      <c r="L13" s="2">
        <f t="shared" ref="L13:L105" si="3">+H13+I13+J13+K13</f>
        <v>44283</v>
      </c>
      <c r="M13" s="1"/>
    </row>
    <row r="14" spans="1:44" x14ac:dyDescent="0.2">
      <c r="A14" s="1" t="s">
        <v>490</v>
      </c>
      <c r="B14" s="7"/>
      <c r="C14" s="7"/>
      <c r="D14" s="7">
        <v>451320</v>
      </c>
      <c r="E14" s="7"/>
      <c r="F14" s="7">
        <v>0</v>
      </c>
      <c r="G14" s="7">
        <v>0</v>
      </c>
      <c r="H14" s="2">
        <f t="shared" si="0"/>
        <v>0</v>
      </c>
      <c r="I14" s="2">
        <f t="shared" si="1"/>
        <v>0</v>
      </c>
      <c r="J14" s="2">
        <f>D14*0.2646-0.63</f>
        <v>119418.64</v>
      </c>
      <c r="K14" s="2">
        <f t="shared" si="2"/>
        <v>0</v>
      </c>
      <c r="L14" s="2">
        <f t="shared" si="3"/>
        <v>119418.64</v>
      </c>
      <c r="M14" s="1"/>
    </row>
    <row r="15" spans="1:44" ht="12.75" customHeight="1" x14ac:dyDescent="0.2">
      <c r="A15" s="1" t="s">
        <v>746</v>
      </c>
      <c r="B15" s="7"/>
      <c r="C15" s="7"/>
      <c r="D15" s="7">
        <v>0</v>
      </c>
      <c r="E15" s="7"/>
      <c r="F15" s="7">
        <v>0</v>
      </c>
      <c r="G15" s="7">
        <v>0</v>
      </c>
      <c r="H15" s="2">
        <f t="shared" si="0"/>
        <v>0</v>
      </c>
      <c r="I15" s="2">
        <f t="shared" si="1"/>
        <v>0</v>
      </c>
      <c r="J15" s="2">
        <f>D15*0.2646+0.63</f>
        <v>0.63</v>
      </c>
      <c r="K15" s="2">
        <f t="shared" si="2"/>
        <v>0</v>
      </c>
      <c r="L15" s="2">
        <f t="shared" si="3"/>
        <v>0.63</v>
      </c>
      <c r="M15" s="1"/>
    </row>
    <row r="16" spans="1:44" x14ac:dyDescent="0.2">
      <c r="A16" s="1" t="s">
        <v>619</v>
      </c>
      <c r="B16" s="7"/>
      <c r="C16" s="7"/>
      <c r="D16" s="7">
        <v>0</v>
      </c>
      <c r="E16" s="7"/>
      <c r="F16" s="7">
        <v>11512</v>
      </c>
      <c r="G16" s="7">
        <v>11512</v>
      </c>
      <c r="H16" s="2">
        <f>B16*0.1862</f>
        <v>0</v>
      </c>
      <c r="I16" s="2">
        <f>C16*0.2058</f>
        <v>0</v>
      </c>
      <c r="J16" s="2">
        <f>D16*0.2646</f>
        <v>0</v>
      </c>
      <c r="K16" s="2">
        <f>E16*0.2156</f>
        <v>0</v>
      </c>
      <c r="L16" s="2">
        <f>+H16+I16+J16+K16</f>
        <v>0</v>
      </c>
      <c r="M16" s="1"/>
    </row>
    <row r="17" spans="1:13" x14ac:dyDescent="0.2">
      <c r="A17" s="1" t="s">
        <v>620</v>
      </c>
      <c r="B17" s="7"/>
      <c r="C17" s="7"/>
      <c r="D17" s="7">
        <v>1677</v>
      </c>
      <c r="E17" s="7"/>
      <c r="F17" s="7">
        <v>0</v>
      </c>
      <c r="G17" s="7">
        <v>0</v>
      </c>
      <c r="H17" s="2">
        <f>B17*0.1862</f>
        <v>0</v>
      </c>
      <c r="I17" s="2">
        <f>C17*0.2058</f>
        <v>0</v>
      </c>
      <c r="J17" s="2">
        <f>D17*0.2646-36.22</f>
        <v>407.51</v>
      </c>
      <c r="K17" s="2">
        <f>E17*0.2156</f>
        <v>0</v>
      </c>
      <c r="L17" s="2">
        <f>+H17+I17+J17+K17</f>
        <v>407.51</v>
      </c>
      <c r="M17" s="1"/>
    </row>
    <row r="18" spans="1:13" x14ac:dyDescent="0.2">
      <c r="A18" s="1" t="s">
        <v>714</v>
      </c>
      <c r="B18" s="7"/>
      <c r="C18" s="7"/>
      <c r="D18" s="7">
        <v>27809</v>
      </c>
      <c r="E18" s="7"/>
      <c r="F18" s="7">
        <v>8486</v>
      </c>
      <c r="G18" s="7">
        <v>0</v>
      </c>
      <c r="H18" s="2">
        <f>B18*0.1862</f>
        <v>0</v>
      </c>
      <c r="I18" s="2">
        <f>C18*0.2058</f>
        <v>0</v>
      </c>
      <c r="J18" s="2">
        <f>D18*0.2646+0.01</f>
        <v>7358.27</v>
      </c>
      <c r="K18" s="2">
        <f>E18*0.2156</f>
        <v>0</v>
      </c>
      <c r="L18" s="2">
        <f>+H18+I18+J18+K18</f>
        <v>7358.27</v>
      </c>
      <c r="M18" s="1"/>
    </row>
    <row r="19" spans="1:13" x14ac:dyDescent="0.2">
      <c r="A19" s="1" t="s">
        <v>39</v>
      </c>
      <c r="B19" s="7"/>
      <c r="C19" s="7"/>
      <c r="D19" s="7">
        <v>1572</v>
      </c>
      <c r="E19" s="7"/>
      <c r="F19" s="7">
        <v>200</v>
      </c>
      <c r="G19" s="7">
        <v>200</v>
      </c>
      <c r="H19" s="2">
        <f t="shared" si="0"/>
        <v>0</v>
      </c>
      <c r="I19" s="2">
        <f t="shared" si="1"/>
        <v>0</v>
      </c>
      <c r="J19" s="2">
        <f>D19*0.2646</f>
        <v>415.95</v>
      </c>
      <c r="K19" s="2">
        <f t="shared" si="2"/>
        <v>0</v>
      </c>
      <c r="L19" s="2">
        <f t="shared" si="3"/>
        <v>415.95</v>
      </c>
      <c r="M19" s="1"/>
    </row>
    <row r="20" spans="1:13" x14ac:dyDescent="0.2">
      <c r="A20" s="1" t="s">
        <v>621</v>
      </c>
      <c r="B20" s="7"/>
      <c r="C20" s="7"/>
      <c r="D20" s="7">
        <v>23618</v>
      </c>
      <c r="E20" s="7"/>
      <c r="F20" s="7">
        <v>0</v>
      </c>
      <c r="G20" s="7">
        <v>0</v>
      </c>
      <c r="H20" s="2">
        <f>B20*0.1862</f>
        <v>0</v>
      </c>
      <c r="I20" s="2">
        <f>C20*0.2058</f>
        <v>0</v>
      </c>
      <c r="J20" s="2">
        <f>D20*0.2646</f>
        <v>6249.32</v>
      </c>
      <c r="K20" s="2">
        <f>E20*0.2156</f>
        <v>0</v>
      </c>
      <c r="L20" s="2">
        <f>+H20+I20+J20+K20</f>
        <v>6249.32</v>
      </c>
      <c r="M20" s="1"/>
    </row>
    <row r="21" spans="1:13" x14ac:dyDescent="0.2">
      <c r="A21" s="1" t="s">
        <v>444</v>
      </c>
      <c r="B21" s="7"/>
      <c r="C21" s="7">
        <v>-1034</v>
      </c>
      <c r="D21" s="7">
        <v>3820075</v>
      </c>
      <c r="E21" s="7"/>
      <c r="F21" s="7">
        <v>2318352</v>
      </c>
      <c r="G21" s="7">
        <v>2318352</v>
      </c>
      <c r="H21" s="2">
        <f>B21*0.1862</f>
        <v>0</v>
      </c>
      <c r="I21" s="2">
        <f>C21*0.2058</f>
        <v>-212.8</v>
      </c>
      <c r="J21" s="2">
        <f>D21*0.2646-0.01</f>
        <v>1010791.84</v>
      </c>
      <c r="K21" s="2">
        <f>E21*0.2156</f>
        <v>0</v>
      </c>
      <c r="L21" s="2">
        <f>+H21+I21+J21+K21</f>
        <v>1010579.04</v>
      </c>
      <c r="M21" s="1"/>
    </row>
    <row r="22" spans="1:13" x14ac:dyDescent="0.2">
      <c r="A22" s="1" t="s">
        <v>445</v>
      </c>
      <c r="B22" s="7"/>
      <c r="C22" s="7"/>
      <c r="D22" s="7">
        <v>85779</v>
      </c>
      <c r="E22" s="7"/>
      <c r="F22" s="7">
        <v>0</v>
      </c>
      <c r="G22" s="7">
        <v>0</v>
      </c>
      <c r="H22" s="2">
        <f t="shared" si="0"/>
        <v>0</v>
      </c>
      <c r="I22" s="2">
        <f t="shared" si="1"/>
        <v>0</v>
      </c>
      <c r="J22" s="2">
        <f t="shared" ref="J22:J28" si="4">D22*0.2646</f>
        <v>22697.119999999999</v>
      </c>
      <c r="K22" s="2">
        <f t="shared" si="2"/>
        <v>0</v>
      </c>
      <c r="L22" s="2">
        <f t="shared" si="3"/>
        <v>22697.119999999999</v>
      </c>
      <c r="M22" s="1"/>
    </row>
    <row r="23" spans="1:13" x14ac:dyDescent="0.2">
      <c r="A23" s="1" t="s">
        <v>346</v>
      </c>
      <c r="B23" s="7"/>
      <c r="C23" s="7"/>
      <c r="D23" s="7">
        <v>367478</v>
      </c>
      <c r="E23" s="7"/>
      <c r="F23" s="7">
        <v>883702</v>
      </c>
      <c r="G23" s="7">
        <v>883702</v>
      </c>
      <c r="H23" s="2">
        <f t="shared" si="0"/>
        <v>0</v>
      </c>
      <c r="I23" s="2">
        <f t="shared" si="1"/>
        <v>0</v>
      </c>
      <c r="J23" s="2">
        <f t="shared" si="4"/>
        <v>97234.68</v>
      </c>
      <c r="K23" s="2">
        <f t="shared" si="2"/>
        <v>0</v>
      </c>
      <c r="L23" s="2">
        <f t="shared" si="3"/>
        <v>97234.68</v>
      </c>
      <c r="M23" s="1"/>
    </row>
    <row r="24" spans="1:13" s="20" customFormat="1" x14ac:dyDescent="0.2">
      <c r="A24" s="18" t="s">
        <v>491</v>
      </c>
      <c r="B24" s="246"/>
      <c r="C24" s="246"/>
      <c r="D24" s="246">
        <v>11157</v>
      </c>
      <c r="E24" s="246"/>
      <c r="F24" s="246">
        <v>2274</v>
      </c>
      <c r="G24" s="246">
        <v>2274</v>
      </c>
      <c r="H24" s="2">
        <f t="shared" si="0"/>
        <v>0</v>
      </c>
      <c r="I24" s="2">
        <f t="shared" si="1"/>
        <v>0</v>
      </c>
      <c r="J24" s="2">
        <f t="shared" si="4"/>
        <v>2952.14</v>
      </c>
      <c r="K24" s="2">
        <f t="shared" si="2"/>
        <v>0</v>
      </c>
      <c r="L24" s="2">
        <f t="shared" si="3"/>
        <v>2952.14</v>
      </c>
      <c r="M24" s="18"/>
    </row>
    <row r="25" spans="1:13" s="20" customFormat="1" x14ac:dyDescent="0.2">
      <c r="A25" s="1" t="s">
        <v>293</v>
      </c>
      <c r="B25" s="246"/>
      <c r="C25" s="246"/>
      <c r="D25" s="246">
        <v>590978</v>
      </c>
      <c r="E25" s="246"/>
      <c r="F25" s="246">
        <v>367580</v>
      </c>
      <c r="G25" s="246">
        <v>372357</v>
      </c>
      <c r="H25" s="2">
        <f t="shared" si="0"/>
        <v>0</v>
      </c>
      <c r="I25" s="2">
        <f t="shared" si="1"/>
        <v>0</v>
      </c>
      <c r="J25" s="2">
        <f t="shared" si="4"/>
        <v>156372.78</v>
      </c>
      <c r="K25" s="2">
        <f t="shared" si="2"/>
        <v>0</v>
      </c>
      <c r="L25" s="2">
        <f t="shared" si="3"/>
        <v>156372.78</v>
      </c>
      <c r="M25" s="18"/>
    </row>
    <row r="26" spans="1:13" x14ac:dyDescent="0.2">
      <c r="A26" s="1" t="s">
        <v>40</v>
      </c>
      <c r="B26" s="7"/>
      <c r="C26" s="7"/>
      <c r="D26" s="7">
        <v>261076</v>
      </c>
      <c r="E26" s="7"/>
      <c r="F26" s="7">
        <v>243044</v>
      </c>
      <c r="G26" s="7">
        <v>236580</v>
      </c>
      <c r="H26" s="2">
        <f t="shared" si="0"/>
        <v>0</v>
      </c>
      <c r="I26" s="2">
        <f t="shared" si="1"/>
        <v>0</v>
      </c>
      <c r="J26" s="2">
        <f t="shared" si="4"/>
        <v>69080.710000000006</v>
      </c>
      <c r="K26" s="2">
        <f t="shared" si="2"/>
        <v>0</v>
      </c>
      <c r="L26" s="2">
        <f t="shared" si="3"/>
        <v>69080.710000000006</v>
      </c>
      <c r="M26" s="1"/>
    </row>
    <row r="27" spans="1:13" x14ac:dyDescent="0.2">
      <c r="A27" s="1" t="s">
        <v>446</v>
      </c>
      <c r="B27" s="7"/>
      <c r="C27" s="7"/>
      <c r="D27" s="7">
        <v>3185218</v>
      </c>
      <c r="E27" s="7">
        <v>43</v>
      </c>
      <c r="F27" s="7">
        <v>0</v>
      </c>
      <c r="G27" s="7">
        <v>0</v>
      </c>
      <c r="H27" s="2">
        <f t="shared" si="0"/>
        <v>0</v>
      </c>
      <c r="I27" s="2">
        <f t="shared" si="1"/>
        <v>0</v>
      </c>
      <c r="J27" s="2">
        <f t="shared" si="4"/>
        <v>842808.68</v>
      </c>
      <c r="K27" s="2">
        <f t="shared" si="2"/>
        <v>9.27</v>
      </c>
      <c r="L27" s="2">
        <f t="shared" si="3"/>
        <v>842817.95</v>
      </c>
      <c r="M27" s="1"/>
    </row>
    <row r="28" spans="1:13" x14ac:dyDescent="0.2">
      <c r="A28" s="1" t="s">
        <v>41</v>
      </c>
      <c r="B28" s="7"/>
      <c r="C28" s="7"/>
      <c r="D28" s="7">
        <v>1322392</v>
      </c>
      <c r="E28" s="7"/>
      <c r="F28" s="7">
        <v>288375</v>
      </c>
      <c r="G28" s="7">
        <v>0</v>
      </c>
      <c r="H28" s="2">
        <f t="shared" si="0"/>
        <v>0</v>
      </c>
      <c r="I28" s="2">
        <f t="shared" si="1"/>
        <v>0</v>
      </c>
      <c r="J28" s="2">
        <f t="shared" si="4"/>
        <v>349904.92</v>
      </c>
      <c r="K28" s="2">
        <f t="shared" si="2"/>
        <v>0</v>
      </c>
      <c r="L28" s="2">
        <f t="shared" si="3"/>
        <v>349904.92</v>
      </c>
      <c r="M28" s="1"/>
    </row>
    <row r="29" spans="1:13" x14ac:dyDescent="0.2">
      <c r="A29" s="1" t="s">
        <v>744</v>
      </c>
      <c r="B29" s="7"/>
      <c r="C29" s="7"/>
      <c r="D29" s="7">
        <v>0</v>
      </c>
      <c r="E29" s="7"/>
      <c r="F29" s="7">
        <v>0</v>
      </c>
      <c r="G29" s="7">
        <v>0</v>
      </c>
      <c r="H29" s="2">
        <f>B29*0.1862</f>
        <v>0</v>
      </c>
      <c r="I29" s="2">
        <f>C29*0.2058</f>
        <v>0</v>
      </c>
      <c r="J29" s="2">
        <f>D29*0.2646+154.84</f>
        <v>154.84</v>
      </c>
      <c r="K29" s="2">
        <f>E29*0.2156</f>
        <v>0</v>
      </c>
      <c r="L29" s="2">
        <f>+H29+I29+J29+K29</f>
        <v>154.84</v>
      </c>
      <c r="M29" s="1"/>
    </row>
    <row r="30" spans="1:13" x14ac:dyDescent="0.2">
      <c r="A30" s="1" t="s">
        <v>42</v>
      </c>
      <c r="B30" s="7"/>
      <c r="C30" s="7"/>
      <c r="D30" s="7">
        <v>18305</v>
      </c>
      <c r="E30" s="7"/>
      <c r="F30" s="7">
        <v>88759</v>
      </c>
      <c r="G30" s="7">
        <v>92622</v>
      </c>
      <c r="H30" s="2">
        <f t="shared" si="0"/>
        <v>0</v>
      </c>
      <c r="I30" s="2">
        <f t="shared" si="1"/>
        <v>0</v>
      </c>
      <c r="J30" s="2">
        <f>D30*0.2646</f>
        <v>4843.5</v>
      </c>
      <c r="K30" s="2">
        <f t="shared" si="2"/>
        <v>0</v>
      </c>
      <c r="L30" s="2">
        <f t="shared" si="3"/>
        <v>4843.5</v>
      </c>
      <c r="M30" s="1"/>
    </row>
    <row r="31" spans="1:13" x14ac:dyDescent="0.2">
      <c r="A31" s="1" t="s">
        <v>745</v>
      </c>
      <c r="B31" s="7"/>
      <c r="C31" s="7"/>
      <c r="D31" s="7">
        <v>0</v>
      </c>
      <c r="E31" s="7"/>
      <c r="F31" s="7">
        <v>0</v>
      </c>
      <c r="G31" s="7">
        <v>0</v>
      </c>
      <c r="H31" s="2">
        <f>B31*0.1862</f>
        <v>0</v>
      </c>
      <c r="I31" s="2">
        <f>C31*0.2058</f>
        <v>0</v>
      </c>
      <c r="J31" s="2">
        <f>D31*0.2646+0.01</f>
        <v>0.01</v>
      </c>
      <c r="K31" s="2">
        <f>E31*0.2156</f>
        <v>0</v>
      </c>
      <c r="L31" s="2">
        <f>+H31+I31+J31+K31</f>
        <v>0.01</v>
      </c>
      <c r="M31" s="1"/>
    </row>
    <row r="32" spans="1:13" x14ac:dyDescent="0.2">
      <c r="A32" s="18" t="s">
        <v>43</v>
      </c>
      <c r="B32" s="7"/>
      <c r="C32" s="7"/>
      <c r="D32" s="7">
        <v>47323</v>
      </c>
      <c r="E32" s="7"/>
      <c r="F32" s="7">
        <v>0</v>
      </c>
      <c r="G32" s="7">
        <v>0</v>
      </c>
      <c r="H32" s="2">
        <f t="shared" si="0"/>
        <v>0</v>
      </c>
      <c r="I32" s="2">
        <f t="shared" si="1"/>
        <v>0</v>
      </c>
      <c r="J32" s="2">
        <f>D32*0.2646-0.01</f>
        <v>12521.66</v>
      </c>
      <c r="K32" s="2">
        <f t="shared" si="2"/>
        <v>0</v>
      </c>
      <c r="L32" s="2">
        <f t="shared" si="3"/>
        <v>12521.66</v>
      </c>
      <c r="M32" s="1"/>
    </row>
    <row r="33" spans="1:13" x14ac:dyDescent="0.2">
      <c r="A33" s="1" t="s">
        <v>702</v>
      </c>
      <c r="B33" s="7"/>
      <c r="C33" s="7"/>
      <c r="D33" s="7">
        <v>0</v>
      </c>
      <c r="E33" s="7"/>
      <c r="F33" s="7">
        <v>165</v>
      </c>
      <c r="G33" s="7">
        <v>165</v>
      </c>
      <c r="H33" s="2">
        <f>B33*0.1862</f>
        <v>0</v>
      </c>
      <c r="I33" s="2">
        <f>C33*0.2058</f>
        <v>0</v>
      </c>
      <c r="J33" s="2">
        <f t="shared" ref="J33:J39" si="5">D33*0.2646</f>
        <v>0</v>
      </c>
      <c r="K33" s="2">
        <f>E33*0.2156</f>
        <v>0</v>
      </c>
      <c r="L33" s="2">
        <f>+H33+I33+J33+K33</f>
        <v>0</v>
      </c>
      <c r="M33" s="1"/>
    </row>
    <row r="34" spans="1:13" x14ac:dyDescent="0.2">
      <c r="A34" s="1" t="s">
        <v>725</v>
      </c>
      <c r="B34" s="7"/>
      <c r="C34" s="7"/>
      <c r="D34" s="7">
        <v>2001</v>
      </c>
      <c r="E34" s="7"/>
      <c r="F34" s="7">
        <v>0</v>
      </c>
      <c r="G34" s="7">
        <v>0</v>
      </c>
      <c r="H34" s="2">
        <f>B34*0.1862</f>
        <v>0</v>
      </c>
      <c r="I34" s="2">
        <f>C34*0.2058</f>
        <v>0</v>
      </c>
      <c r="J34" s="2">
        <f t="shared" si="5"/>
        <v>529.46</v>
      </c>
      <c r="K34" s="2">
        <f>E34*0.2156</f>
        <v>0</v>
      </c>
      <c r="L34" s="2">
        <f>+H34+I34+J34+K34</f>
        <v>529.46</v>
      </c>
      <c r="M34" s="1"/>
    </row>
    <row r="35" spans="1:13" x14ac:dyDescent="0.2">
      <c r="A35" s="1" t="s">
        <v>606</v>
      </c>
      <c r="B35" s="7"/>
      <c r="C35" s="7"/>
      <c r="D35" s="7">
        <v>0</v>
      </c>
      <c r="E35" s="7"/>
      <c r="F35" s="7">
        <v>0</v>
      </c>
      <c r="G35" s="7">
        <v>232763</v>
      </c>
      <c r="H35" s="2">
        <f>B35*0.1862</f>
        <v>0</v>
      </c>
      <c r="I35" s="2">
        <f>C35*0.2058</f>
        <v>0</v>
      </c>
      <c r="J35" s="2">
        <f t="shared" si="5"/>
        <v>0</v>
      </c>
      <c r="K35" s="2">
        <f>E35*0.2156</f>
        <v>0</v>
      </c>
      <c r="L35" s="2">
        <f>+H35+I35+J35+K35</f>
        <v>0</v>
      </c>
      <c r="M35" s="1"/>
    </row>
    <row r="36" spans="1:13" x14ac:dyDescent="0.2">
      <c r="A36" s="1" t="s">
        <v>44</v>
      </c>
      <c r="B36" s="7"/>
      <c r="C36" s="7"/>
      <c r="D36" s="7">
        <v>44311</v>
      </c>
      <c r="E36" s="7"/>
      <c r="F36" s="7">
        <v>0</v>
      </c>
      <c r="G36" s="7">
        <v>0</v>
      </c>
      <c r="H36" s="2">
        <f t="shared" si="0"/>
        <v>0</v>
      </c>
      <c r="I36" s="2">
        <f t="shared" si="1"/>
        <v>0</v>
      </c>
      <c r="J36" s="2">
        <f t="shared" si="5"/>
        <v>11724.69</v>
      </c>
      <c r="K36" s="2">
        <f t="shared" si="2"/>
        <v>0</v>
      </c>
      <c r="L36" s="2">
        <f t="shared" si="3"/>
        <v>11724.69</v>
      </c>
      <c r="M36" s="1"/>
    </row>
    <row r="37" spans="1:13" x14ac:dyDescent="0.2">
      <c r="A37" s="1" t="s">
        <v>447</v>
      </c>
      <c r="B37" s="7"/>
      <c r="C37" s="7"/>
      <c r="D37" s="7">
        <v>31505</v>
      </c>
      <c r="E37" s="7"/>
      <c r="F37" s="7">
        <v>2471</v>
      </c>
      <c r="G37" s="7">
        <v>2471</v>
      </c>
      <c r="H37" s="2">
        <f t="shared" si="0"/>
        <v>0</v>
      </c>
      <c r="I37" s="2">
        <f t="shared" si="1"/>
        <v>0</v>
      </c>
      <c r="J37" s="2">
        <f t="shared" si="5"/>
        <v>8336.2199999999993</v>
      </c>
      <c r="K37" s="2">
        <f t="shared" si="2"/>
        <v>0</v>
      </c>
      <c r="L37" s="2">
        <f t="shared" si="3"/>
        <v>8336.2199999999993</v>
      </c>
      <c r="M37" s="1"/>
    </row>
    <row r="38" spans="1:13" x14ac:dyDescent="0.2">
      <c r="A38" s="1" t="s">
        <v>430</v>
      </c>
      <c r="B38" s="7"/>
      <c r="C38" s="7"/>
      <c r="D38" s="7">
        <v>106267</v>
      </c>
      <c r="E38" s="7"/>
      <c r="F38" s="7">
        <v>0</v>
      </c>
      <c r="G38" s="7">
        <v>0</v>
      </c>
      <c r="H38" s="2">
        <f t="shared" si="0"/>
        <v>0</v>
      </c>
      <c r="I38" s="2">
        <f t="shared" si="1"/>
        <v>0</v>
      </c>
      <c r="J38" s="2">
        <f t="shared" si="5"/>
        <v>28118.25</v>
      </c>
      <c r="K38" s="2">
        <f t="shared" si="2"/>
        <v>0</v>
      </c>
      <c r="L38" s="2">
        <f t="shared" si="3"/>
        <v>28118.25</v>
      </c>
      <c r="M38" s="1"/>
    </row>
    <row r="39" spans="1:13" x14ac:dyDescent="0.2">
      <c r="A39" s="1" t="s">
        <v>448</v>
      </c>
      <c r="B39" s="7"/>
      <c r="C39" s="7"/>
      <c r="D39" s="7">
        <v>100390</v>
      </c>
      <c r="E39" s="7"/>
      <c r="F39" s="7">
        <v>111083</v>
      </c>
      <c r="G39" s="7">
        <v>111083</v>
      </c>
      <c r="H39" s="2">
        <f t="shared" si="0"/>
        <v>0</v>
      </c>
      <c r="I39" s="2">
        <f t="shared" si="1"/>
        <v>0</v>
      </c>
      <c r="J39" s="2">
        <f t="shared" si="5"/>
        <v>26563.19</v>
      </c>
      <c r="K39" s="2">
        <f t="shared" si="2"/>
        <v>0</v>
      </c>
      <c r="L39" s="2">
        <f t="shared" si="3"/>
        <v>26563.19</v>
      </c>
      <c r="M39" s="1"/>
    </row>
    <row r="40" spans="1:13" x14ac:dyDescent="0.2">
      <c r="A40" s="1" t="s">
        <v>715</v>
      </c>
      <c r="B40" s="7"/>
      <c r="C40" s="7"/>
      <c r="D40" s="7">
        <v>310</v>
      </c>
      <c r="E40" s="7"/>
      <c r="F40" s="7">
        <v>0</v>
      </c>
      <c r="G40" s="7">
        <v>0</v>
      </c>
      <c r="H40" s="2">
        <f>B40*0.1862</f>
        <v>0</v>
      </c>
      <c r="I40" s="2">
        <f>C40*0.2058</f>
        <v>0</v>
      </c>
      <c r="J40" s="2">
        <f>D40*0.2646-6.7</f>
        <v>75.33</v>
      </c>
      <c r="K40" s="2">
        <f>E40*0.2156</f>
        <v>0</v>
      </c>
      <c r="L40" s="2">
        <f>+H40+I40+J40+K40</f>
        <v>75.33</v>
      </c>
      <c r="M40" s="1"/>
    </row>
    <row r="41" spans="1:13" x14ac:dyDescent="0.2">
      <c r="A41" s="1" t="s">
        <v>735</v>
      </c>
      <c r="B41" s="7"/>
      <c r="C41" s="7"/>
      <c r="D41" s="7">
        <v>0</v>
      </c>
      <c r="E41" s="7"/>
      <c r="F41" s="7">
        <v>0</v>
      </c>
      <c r="G41" s="7">
        <v>46246</v>
      </c>
      <c r="H41" s="2">
        <f>B41*0.1862</f>
        <v>0</v>
      </c>
      <c r="I41" s="2">
        <f>C41*0.2058</f>
        <v>0</v>
      </c>
      <c r="J41" s="2">
        <f>D41*0.2646</f>
        <v>0</v>
      </c>
      <c r="K41" s="2">
        <f>E41*0.2156</f>
        <v>0</v>
      </c>
      <c r="L41" s="2">
        <f>+H41+I41+J41+K41</f>
        <v>0</v>
      </c>
      <c r="M41" s="1"/>
    </row>
    <row r="42" spans="1:13" x14ac:dyDescent="0.2">
      <c r="A42" s="1" t="s">
        <v>454</v>
      </c>
      <c r="B42" s="7"/>
      <c r="C42" s="7"/>
      <c r="D42" s="7">
        <v>1510</v>
      </c>
      <c r="E42" s="7"/>
      <c r="F42" s="7">
        <v>152577</v>
      </c>
      <c r="G42" s="7">
        <v>152577</v>
      </c>
      <c r="H42" s="2">
        <f t="shared" si="0"/>
        <v>0</v>
      </c>
      <c r="I42" s="2">
        <f t="shared" si="1"/>
        <v>0</v>
      </c>
      <c r="J42" s="2">
        <f>D42*0.2646-0.01</f>
        <v>399.54</v>
      </c>
      <c r="K42" s="2">
        <f t="shared" si="2"/>
        <v>0</v>
      </c>
      <c r="L42" s="2">
        <f t="shared" si="3"/>
        <v>399.54</v>
      </c>
      <c r="M42" s="1"/>
    </row>
    <row r="43" spans="1:13" x14ac:dyDescent="0.2">
      <c r="A43" s="1" t="s">
        <v>728</v>
      </c>
      <c r="B43" s="7"/>
      <c r="C43" s="7"/>
      <c r="D43" s="7">
        <v>30004</v>
      </c>
      <c r="E43" s="7"/>
      <c r="F43" s="7">
        <v>0</v>
      </c>
      <c r="G43" s="7">
        <v>0</v>
      </c>
      <c r="H43" s="2">
        <f>B43*0.1862</f>
        <v>0</v>
      </c>
      <c r="I43" s="2">
        <f>C43*0.2058</f>
        <v>0</v>
      </c>
      <c r="J43" s="2">
        <f>D43*0.2646-2525.97</f>
        <v>5413.09</v>
      </c>
      <c r="K43" s="2">
        <f>E43*0.2156</f>
        <v>0</v>
      </c>
      <c r="L43" s="2">
        <f>+H43+I43+J43+K43</f>
        <v>5413.09</v>
      </c>
      <c r="M43" s="1"/>
    </row>
    <row r="44" spans="1:13" ht="15" customHeight="1" x14ac:dyDescent="0.2">
      <c r="A44" s="7" t="s">
        <v>589</v>
      </c>
      <c r="B44" s="7"/>
      <c r="C44" s="7"/>
      <c r="D44" s="7">
        <v>0</v>
      </c>
      <c r="E44" s="7"/>
      <c r="F44" s="7">
        <v>8582</v>
      </c>
      <c r="G44" s="7">
        <v>8582</v>
      </c>
      <c r="H44" s="2">
        <f>B44*0.1862</f>
        <v>0</v>
      </c>
      <c r="I44" s="2">
        <f>C44*0.2058</f>
        <v>0</v>
      </c>
      <c r="J44" s="2">
        <f>D44*0.2646</f>
        <v>0</v>
      </c>
      <c r="K44" s="2">
        <f>E44*0.2156</f>
        <v>0</v>
      </c>
      <c r="L44" s="2">
        <f>+H44+I44+J44+K44</f>
        <v>0</v>
      </c>
      <c r="M44" s="1"/>
    </row>
    <row r="45" spans="1:13" s="20" customFormat="1" x14ac:dyDescent="0.2">
      <c r="A45" s="18" t="s">
        <v>497</v>
      </c>
      <c r="B45" s="246"/>
      <c r="C45" s="246"/>
      <c r="D45" s="246">
        <v>249521</v>
      </c>
      <c r="E45" s="246"/>
      <c r="F45" s="246">
        <v>2401845</v>
      </c>
      <c r="G45" s="246">
        <v>2401845</v>
      </c>
      <c r="H45" s="2">
        <f t="shared" si="0"/>
        <v>0</v>
      </c>
      <c r="I45" s="2">
        <f t="shared" si="1"/>
        <v>0</v>
      </c>
      <c r="J45" s="2">
        <f>D45*0.2646-673.95</f>
        <v>65349.31</v>
      </c>
      <c r="K45" s="2">
        <f t="shared" si="2"/>
        <v>0</v>
      </c>
      <c r="L45" s="2">
        <f t="shared" si="3"/>
        <v>65349.31</v>
      </c>
      <c r="M45" s="18"/>
    </row>
    <row r="46" spans="1:13" x14ac:dyDescent="0.2">
      <c r="A46" s="1" t="s">
        <v>431</v>
      </c>
      <c r="B46" s="7"/>
      <c r="C46" s="7"/>
      <c r="D46" s="7">
        <v>108228</v>
      </c>
      <c r="E46" s="7"/>
      <c r="F46" s="7">
        <v>0</v>
      </c>
      <c r="G46" s="7">
        <v>0</v>
      </c>
      <c r="H46" s="2">
        <f t="shared" si="0"/>
        <v>0</v>
      </c>
      <c r="I46" s="2">
        <f t="shared" si="1"/>
        <v>0</v>
      </c>
      <c r="J46" s="2">
        <f>D46*0.2646</f>
        <v>28637.13</v>
      </c>
      <c r="K46" s="2">
        <f t="shared" si="2"/>
        <v>0</v>
      </c>
      <c r="L46" s="2">
        <f t="shared" si="3"/>
        <v>28637.13</v>
      </c>
      <c r="M46" s="1"/>
    </row>
    <row r="47" spans="1:13" ht="15" customHeight="1" x14ac:dyDescent="0.2">
      <c r="A47" s="7" t="s">
        <v>722</v>
      </c>
      <c r="B47" s="7"/>
      <c r="C47" s="7"/>
      <c r="D47" s="7">
        <v>7400</v>
      </c>
      <c r="E47" s="7"/>
      <c r="F47" s="7">
        <v>0</v>
      </c>
      <c r="G47" s="7">
        <v>0</v>
      </c>
      <c r="H47" s="2">
        <f>B47*0.1862</f>
        <v>0</v>
      </c>
      <c r="I47" s="2">
        <f>C47*0.2058</f>
        <v>0</v>
      </c>
      <c r="J47" s="2">
        <f>D47*0.2646</f>
        <v>1958.04</v>
      </c>
      <c r="K47" s="2">
        <f>E47*0.2156</f>
        <v>0</v>
      </c>
      <c r="L47" s="2">
        <f>+H47+I47+J47+K47</f>
        <v>1958.04</v>
      </c>
      <c r="M47" s="1"/>
    </row>
    <row r="48" spans="1:13" s="20" customFormat="1" x14ac:dyDescent="0.2">
      <c r="A48" s="18" t="s">
        <v>500</v>
      </c>
      <c r="B48" s="246"/>
      <c r="C48" s="246"/>
      <c r="D48" s="246">
        <v>36486</v>
      </c>
      <c r="E48" s="246"/>
      <c r="F48" s="246">
        <v>0</v>
      </c>
      <c r="G48" s="246">
        <v>0</v>
      </c>
      <c r="H48" s="2">
        <f t="shared" si="0"/>
        <v>0</v>
      </c>
      <c r="I48" s="2">
        <f t="shared" si="1"/>
        <v>0</v>
      </c>
      <c r="J48" s="2">
        <f>D48*0.2646-0.01</f>
        <v>9654.19</v>
      </c>
      <c r="K48" s="2">
        <f t="shared" si="2"/>
        <v>0</v>
      </c>
      <c r="L48" s="2">
        <f t="shared" si="3"/>
        <v>9654.19</v>
      </c>
      <c r="M48" s="18"/>
    </row>
    <row r="49" spans="1:13" ht="15" customHeight="1" x14ac:dyDescent="0.2">
      <c r="A49" s="7" t="s">
        <v>622</v>
      </c>
      <c r="B49" s="7"/>
      <c r="C49" s="7"/>
      <c r="D49" s="7">
        <v>947393</v>
      </c>
      <c r="E49" s="7"/>
      <c r="F49" s="7">
        <v>0</v>
      </c>
      <c r="G49" s="7">
        <v>0</v>
      </c>
      <c r="H49" s="2">
        <f>B49*0.1862</f>
        <v>0</v>
      </c>
      <c r="I49" s="2">
        <f>C49*0.2058</f>
        <v>0</v>
      </c>
      <c r="J49" s="2">
        <f>D49*0.2646</f>
        <v>250680.19</v>
      </c>
      <c r="K49" s="2">
        <f>E49*0.2156</f>
        <v>0</v>
      </c>
      <c r="L49" s="2">
        <f>+H49+I49+J49+K49</f>
        <v>250680.19</v>
      </c>
      <c r="M49" s="1"/>
    </row>
    <row r="50" spans="1:13" s="20" customFormat="1" x14ac:dyDescent="0.2">
      <c r="A50" s="18" t="s">
        <v>773</v>
      </c>
      <c r="B50" s="246"/>
      <c r="C50" s="246"/>
      <c r="D50" s="246">
        <v>-74270</v>
      </c>
      <c r="E50" s="246"/>
      <c r="F50" s="246">
        <v>0</v>
      </c>
      <c r="G50" s="246">
        <v>0</v>
      </c>
      <c r="H50" s="2">
        <f>B50*0.1862</f>
        <v>0</v>
      </c>
      <c r="I50" s="2">
        <f>C50*0.2058</f>
        <v>0</v>
      </c>
      <c r="J50" s="2">
        <f>D50*0.2646-3700.94</f>
        <v>-23352.78</v>
      </c>
      <c r="K50" s="2">
        <f>E50*0.2156</f>
        <v>0</v>
      </c>
      <c r="L50" s="2">
        <f>+H50+I50+J50+K50</f>
        <v>-23352.78</v>
      </c>
      <c r="M50" s="18"/>
    </row>
    <row r="51" spans="1:13" ht="15" customHeight="1" x14ac:dyDescent="0.2">
      <c r="A51" s="7" t="s">
        <v>345</v>
      </c>
      <c r="B51" s="7"/>
      <c r="C51" s="7"/>
      <c r="D51" s="7">
        <v>106829</v>
      </c>
      <c r="E51" s="7"/>
      <c r="F51" s="7">
        <v>1107614</v>
      </c>
      <c r="G51" s="7">
        <v>1243320</v>
      </c>
      <c r="H51" s="2">
        <f t="shared" si="0"/>
        <v>0</v>
      </c>
      <c r="I51" s="2">
        <f t="shared" si="1"/>
        <v>0</v>
      </c>
      <c r="J51" s="2">
        <f>D51*0.2646-0.01</f>
        <v>28266.94</v>
      </c>
      <c r="K51" s="2">
        <f t="shared" si="2"/>
        <v>0</v>
      </c>
      <c r="L51" s="2">
        <f t="shared" si="3"/>
        <v>28266.94</v>
      </c>
      <c r="M51" s="1"/>
    </row>
    <row r="52" spans="1:13" s="20" customFormat="1" x14ac:dyDescent="0.2">
      <c r="A52" s="18" t="s">
        <v>747</v>
      </c>
      <c r="B52" s="246"/>
      <c r="C52" s="246"/>
      <c r="D52" s="246">
        <v>0</v>
      </c>
      <c r="E52" s="246"/>
      <c r="F52" s="246">
        <v>0</v>
      </c>
      <c r="G52" s="246">
        <v>0</v>
      </c>
      <c r="H52" s="2">
        <f>B52*0.1862</f>
        <v>0</v>
      </c>
      <c r="I52" s="2">
        <f>C52*0.2058</f>
        <v>0</v>
      </c>
      <c r="J52" s="2">
        <f>D52*0.2646+0.01</f>
        <v>0.01</v>
      </c>
      <c r="K52" s="2">
        <f>E52*0.2156</f>
        <v>0</v>
      </c>
      <c r="L52" s="2">
        <f>+H52+I52+J52+K52</f>
        <v>0.01</v>
      </c>
      <c r="M52" s="18"/>
    </row>
    <row r="53" spans="1:13" s="20" customFormat="1" x14ac:dyDescent="0.2">
      <c r="A53" s="246" t="s">
        <v>455</v>
      </c>
      <c r="B53" s="246"/>
      <c r="C53" s="246"/>
      <c r="D53" s="246">
        <v>185537</v>
      </c>
      <c r="E53" s="246"/>
      <c r="F53" s="246">
        <v>130325</v>
      </c>
      <c r="G53" s="246">
        <v>130325</v>
      </c>
      <c r="H53" s="2">
        <f t="shared" si="0"/>
        <v>0</v>
      </c>
      <c r="I53" s="2">
        <f t="shared" si="1"/>
        <v>0</v>
      </c>
      <c r="J53" s="2">
        <f>D53*0.2646</f>
        <v>49093.09</v>
      </c>
      <c r="K53" s="2">
        <f t="shared" si="2"/>
        <v>0</v>
      </c>
      <c r="L53" s="2">
        <f t="shared" si="3"/>
        <v>49093.09</v>
      </c>
      <c r="M53" s="18"/>
    </row>
    <row r="54" spans="1:13" x14ac:dyDescent="0.2">
      <c r="A54" s="7" t="s">
        <v>432</v>
      </c>
      <c r="B54" s="7"/>
      <c r="C54" s="7"/>
      <c r="D54" s="7">
        <v>5300</v>
      </c>
      <c r="E54" s="7"/>
      <c r="F54" s="7">
        <v>0</v>
      </c>
      <c r="G54" s="7">
        <v>0</v>
      </c>
      <c r="H54" s="2">
        <f t="shared" si="0"/>
        <v>0</v>
      </c>
      <c r="I54" s="2">
        <f t="shared" si="1"/>
        <v>0</v>
      </c>
      <c r="J54" s="2">
        <f>D54*0.2646-14.66</f>
        <v>1387.72</v>
      </c>
      <c r="K54" s="2">
        <f t="shared" si="2"/>
        <v>0</v>
      </c>
      <c r="L54" s="2">
        <f t="shared" si="3"/>
        <v>1387.72</v>
      </c>
      <c r="M54" s="1"/>
    </row>
    <row r="55" spans="1:13" x14ac:dyDescent="0.2">
      <c r="A55" s="1" t="s">
        <v>45</v>
      </c>
      <c r="B55" s="7"/>
      <c r="C55" s="7"/>
      <c r="D55" s="7">
        <v>42167</v>
      </c>
      <c r="E55" s="7"/>
      <c r="F55" s="7">
        <v>0</v>
      </c>
      <c r="G55" s="7">
        <v>0</v>
      </c>
      <c r="H55" s="2">
        <f t="shared" si="0"/>
        <v>0</v>
      </c>
      <c r="I55" s="2">
        <f t="shared" si="1"/>
        <v>0</v>
      </c>
      <c r="J55" s="2">
        <f>D55*0.2646-0.01</f>
        <v>11157.38</v>
      </c>
      <c r="K55" s="2">
        <f t="shared" si="2"/>
        <v>0</v>
      </c>
      <c r="L55" s="2">
        <f t="shared" si="3"/>
        <v>11157.38</v>
      </c>
      <c r="M55" s="1"/>
    </row>
    <row r="56" spans="1:13" s="20" customFormat="1" x14ac:dyDescent="0.2">
      <c r="A56" s="18" t="s">
        <v>46</v>
      </c>
      <c r="B56" s="246"/>
      <c r="C56" s="246"/>
      <c r="D56" s="246">
        <v>1286765</v>
      </c>
      <c r="E56" s="246"/>
      <c r="F56" s="246">
        <v>2048371</v>
      </c>
      <c r="G56" s="246">
        <v>1991146</v>
      </c>
      <c r="H56" s="2">
        <f t="shared" si="0"/>
        <v>0</v>
      </c>
      <c r="I56" s="2">
        <f t="shared" si="1"/>
        <v>0</v>
      </c>
      <c r="J56" s="2">
        <f>D56*0.2646-2010</f>
        <v>338468.02</v>
      </c>
      <c r="K56" s="2">
        <f t="shared" si="2"/>
        <v>0</v>
      </c>
      <c r="L56" s="2">
        <f t="shared" si="3"/>
        <v>338468.02</v>
      </c>
      <c r="M56" s="18"/>
    </row>
    <row r="57" spans="1:13" s="20" customFormat="1" x14ac:dyDescent="0.2">
      <c r="A57" s="18" t="s">
        <v>775</v>
      </c>
      <c r="B57" s="246"/>
      <c r="C57" s="246"/>
      <c r="D57" s="246">
        <v>-6147</v>
      </c>
      <c r="E57" s="246"/>
      <c r="F57" s="246">
        <v>0</v>
      </c>
      <c r="G57" s="246">
        <v>0</v>
      </c>
      <c r="H57" s="2">
        <f>B57*0.1862</f>
        <v>0</v>
      </c>
      <c r="I57" s="2">
        <f>C57*0.2058</f>
        <v>0</v>
      </c>
      <c r="J57" s="2">
        <f>D57*0.2646</f>
        <v>-1626.5</v>
      </c>
      <c r="K57" s="2">
        <f>E57*0.2156</f>
        <v>0</v>
      </c>
      <c r="L57" s="2">
        <f>+H57+I57+J57+K57</f>
        <v>-1626.5</v>
      </c>
      <c r="M57" s="18"/>
    </row>
    <row r="58" spans="1:13" x14ac:dyDescent="0.2">
      <c r="A58" s="1" t="s">
        <v>47</v>
      </c>
      <c r="B58" s="7"/>
      <c r="C58" s="7"/>
      <c r="D58" s="7">
        <v>158876</v>
      </c>
      <c r="E58" s="7"/>
      <c r="F58" s="7">
        <v>0</v>
      </c>
      <c r="G58" s="7">
        <v>0</v>
      </c>
      <c r="H58" s="2">
        <f t="shared" si="0"/>
        <v>0</v>
      </c>
      <c r="I58" s="2">
        <f t="shared" si="1"/>
        <v>0</v>
      </c>
      <c r="J58" s="2">
        <f>D58*0.2646-8.59</f>
        <v>42030</v>
      </c>
      <c r="K58" s="2">
        <f t="shared" si="2"/>
        <v>0</v>
      </c>
      <c r="L58" s="2">
        <f t="shared" si="3"/>
        <v>42030</v>
      </c>
      <c r="M58" s="1"/>
    </row>
    <row r="59" spans="1:13" x14ac:dyDescent="0.2">
      <c r="A59" s="1" t="s">
        <v>355</v>
      </c>
      <c r="B59" s="7"/>
      <c r="C59" s="7"/>
      <c r="D59" s="7">
        <v>44373</v>
      </c>
      <c r="E59" s="7"/>
      <c r="F59" s="7">
        <v>254901</v>
      </c>
      <c r="G59" s="7">
        <v>254901</v>
      </c>
      <c r="H59" s="2">
        <f t="shared" si="0"/>
        <v>0</v>
      </c>
      <c r="I59" s="2">
        <f t="shared" si="1"/>
        <v>0</v>
      </c>
      <c r="J59" s="2">
        <f>D59*0.2646</f>
        <v>11741.1</v>
      </c>
      <c r="K59" s="2">
        <f t="shared" si="2"/>
        <v>0</v>
      </c>
      <c r="L59" s="2">
        <f t="shared" si="3"/>
        <v>11741.1</v>
      </c>
      <c r="M59" s="1"/>
    </row>
    <row r="60" spans="1:13" x14ac:dyDescent="0.2">
      <c r="A60" s="1" t="s">
        <v>48</v>
      </c>
      <c r="B60" s="7"/>
      <c r="C60" s="7"/>
      <c r="D60" s="7">
        <v>10348</v>
      </c>
      <c r="E60" s="7"/>
      <c r="F60" s="7">
        <v>0</v>
      </c>
      <c r="G60" s="7">
        <v>0</v>
      </c>
      <c r="H60" s="2">
        <f t="shared" si="0"/>
        <v>0</v>
      </c>
      <c r="I60" s="2">
        <f t="shared" si="1"/>
        <v>0</v>
      </c>
      <c r="J60" s="2">
        <f>D60*0.2646</f>
        <v>2738.08</v>
      </c>
      <c r="K60" s="2">
        <f t="shared" si="2"/>
        <v>0</v>
      </c>
      <c r="L60" s="2">
        <f t="shared" si="3"/>
        <v>2738.08</v>
      </c>
      <c r="M60" s="1"/>
    </row>
    <row r="61" spans="1:13" x14ac:dyDescent="0.2">
      <c r="A61" s="1" t="s">
        <v>347</v>
      </c>
      <c r="B61" s="7"/>
      <c r="C61" s="7"/>
      <c r="D61" s="7">
        <v>421894</v>
      </c>
      <c r="E61" s="7"/>
      <c r="F61" s="7">
        <v>129037</v>
      </c>
      <c r="G61" s="7">
        <v>132253</v>
      </c>
      <c r="H61" s="2">
        <f t="shared" si="0"/>
        <v>0</v>
      </c>
      <c r="I61" s="2">
        <f t="shared" si="1"/>
        <v>0</v>
      </c>
      <c r="J61" s="2">
        <f>D61*0.2646-0.06</f>
        <v>111633.09</v>
      </c>
      <c r="K61" s="2">
        <f t="shared" si="2"/>
        <v>0</v>
      </c>
      <c r="L61" s="2">
        <f t="shared" si="3"/>
        <v>111633.09</v>
      </c>
      <c r="M61" s="1"/>
    </row>
    <row r="62" spans="1:13" s="20" customFormat="1" x14ac:dyDescent="0.2">
      <c r="A62" s="18" t="s">
        <v>748</v>
      </c>
      <c r="B62" s="246"/>
      <c r="C62" s="246"/>
      <c r="D62" s="246">
        <v>0</v>
      </c>
      <c r="E62" s="246"/>
      <c r="F62" s="246">
        <v>0</v>
      </c>
      <c r="G62" s="246">
        <v>0</v>
      </c>
      <c r="H62" s="2">
        <f>B62*0.1862</f>
        <v>0</v>
      </c>
      <c r="I62" s="2">
        <f>C62*0.2058</f>
        <v>0</v>
      </c>
      <c r="J62" s="2">
        <f>D62*0.2646+0.06</f>
        <v>0.06</v>
      </c>
      <c r="K62" s="2">
        <f>E62*0.2156</f>
        <v>0</v>
      </c>
      <c r="L62" s="2">
        <f>+H62+I62+J62+K62</f>
        <v>0.06</v>
      </c>
      <c r="M62" s="18"/>
    </row>
    <row r="63" spans="1:13" x14ac:dyDescent="0.2">
      <c r="A63" s="1" t="s">
        <v>49</v>
      </c>
      <c r="B63" s="7"/>
      <c r="C63" s="7"/>
      <c r="D63" s="7">
        <v>212111</v>
      </c>
      <c r="E63" s="7"/>
      <c r="F63" s="7">
        <v>0</v>
      </c>
      <c r="G63" s="7">
        <v>0</v>
      </c>
      <c r="H63" s="2">
        <f t="shared" si="0"/>
        <v>0</v>
      </c>
      <c r="I63" s="2">
        <f t="shared" si="1"/>
        <v>0</v>
      </c>
      <c r="J63" s="2">
        <f>D63*0.2646</f>
        <v>56124.57</v>
      </c>
      <c r="K63" s="2">
        <f t="shared" si="2"/>
        <v>0</v>
      </c>
      <c r="L63" s="2">
        <f t="shared" si="3"/>
        <v>56124.57</v>
      </c>
      <c r="M63" s="1"/>
    </row>
    <row r="64" spans="1:13" x14ac:dyDescent="0.2">
      <c r="A64" s="1" t="s">
        <v>50</v>
      </c>
      <c r="B64" s="7"/>
      <c r="C64" s="7"/>
      <c r="D64" s="7">
        <v>47947</v>
      </c>
      <c r="E64" s="7"/>
      <c r="F64" s="7">
        <v>77189</v>
      </c>
      <c r="G64" s="7">
        <v>77189</v>
      </c>
      <c r="H64" s="2">
        <f t="shared" si="0"/>
        <v>0</v>
      </c>
      <c r="I64" s="2">
        <f t="shared" si="1"/>
        <v>0</v>
      </c>
      <c r="J64" s="2">
        <f>D64*0.2646-0.01</f>
        <v>12686.77</v>
      </c>
      <c r="K64" s="2">
        <f t="shared" si="2"/>
        <v>0</v>
      </c>
      <c r="L64" s="2">
        <f t="shared" si="3"/>
        <v>12686.77</v>
      </c>
      <c r="M64" s="1"/>
    </row>
    <row r="65" spans="1:13" x14ac:dyDescent="0.2">
      <c r="A65" s="1" t="s">
        <v>474</v>
      </c>
      <c r="B65" s="7"/>
      <c r="C65" s="7"/>
      <c r="D65" s="7">
        <v>4946</v>
      </c>
      <c r="E65" s="7"/>
      <c r="F65" s="7">
        <v>134158</v>
      </c>
      <c r="G65" s="7">
        <v>134158</v>
      </c>
      <c r="H65" s="2">
        <f t="shared" si="0"/>
        <v>0</v>
      </c>
      <c r="I65" s="2">
        <f t="shared" si="1"/>
        <v>0</v>
      </c>
      <c r="J65" s="2">
        <f t="shared" ref="J65:J70" si="6">D65*0.2646</f>
        <v>1308.71</v>
      </c>
      <c r="K65" s="2">
        <f t="shared" si="2"/>
        <v>0</v>
      </c>
      <c r="L65" s="2">
        <f t="shared" si="3"/>
        <v>1308.71</v>
      </c>
      <c r="M65" s="1"/>
    </row>
    <row r="66" spans="1:13" x14ac:dyDescent="0.2">
      <c r="A66" s="1" t="s">
        <v>51</v>
      </c>
      <c r="B66" s="7"/>
      <c r="C66" s="7"/>
      <c r="D66" s="7">
        <v>132272</v>
      </c>
      <c r="E66" s="7"/>
      <c r="F66" s="7">
        <v>0</v>
      </c>
      <c r="G66" s="7">
        <v>0</v>
      </c>
      <c r="H66" s="2">
        <f t="shared" si="0"/>
        <v>0</v>
      </c>
      <c r="I66" s="2">
        <f t="shared" si="1"/>
        <v>0</v>
      </c>
      <c r="J66" s="2">
        <f t="shared" si="6"/>
        <v>34999.17</v>
      </c>
      <c r="K66" s="2">
        <f t="shared" si="2"/>
        <v>0</v>
      </c>
      <c r="L66" s="2">
        <f t="shared" si="3"/>
        <v>34999.17</v>
      </c>
      <c r="M66" s="1"/>
    </row>
    <row r="67" spans="1:13" x14ac:dyDescent="0.2">
      <c r="A67" s="1" t="s">
        <v>433</v>
      </c>
      <c r="B67" s="7"/>
      <c r="C67" s="7"/>
      <c r="D67" s="7">
        <v>149285</v>
      </c>
      <c r="E67" s="7"/>
      <c r="F67" s="7">
        <v>0</v>
      </c>
      <c r="G67" s="7">
        <v>0</v>
      </c>
      <c r="H67" s="2">
        <f t="shared" si="0"/>
        <v>0</v>
      </c>
      <c r="I67" s="2">
        <f t="shared" si="1"/>
        <v>0</v>
      </c>
      <c r="J67" s="2">
        <f t="shared" si="6"/>
        <v>39500.81</v>
      </c>
      <c r="K67" s="2">
        <f t="shared" si="2"/>
        <v>0</v>
      </c>
      <c r="L67" s="2">
        <f t="shared" si="3"/>
        <v>39500.81</v>
      </c>
      <c r="M67" s="1"/>
    </row>
    <row r="68" spans="1:13" x14ac:dyDescent="0.2">
      <c r="A68" s="1" t="s">
        <v>706</v>
      </c>
      <c r="B68" s="7"/>
      <c r="C68" s="7"/>
      <c r="D68" s="7">
        <v>17991</v>
      </c>
      <c r="E68" s="7"/>
      <c r="F68" s="7">
        <v>0</v>
      </c>
      <c r="G68" s="7">
        <v>0</v>
      </c>
      <c r="H68" s="2">
        <f t="shared" si="0"/>
        <v>0</v>
      </c>
      <c r="I68" s="2">
        <f t="shared" si="1"/>
        <v>0</v>
      </c>
      <c r="J68" s="2">
        <f t="shared" si="6"/>
        <v>4760.42</v>
      </c>
      <c r="K68" s="2">
        <f t="shared" si="2"/>
        <v>0</v>
      </c>
      <c r="L68" s="2">
        <f t="shared" si="3"/>
        <v>4760.42</v>
      </c>
      <c r="M68" s="1"/>
    </row>
    <row r="69" spans="1:13" x14ac:dyDescent="0.2">
      <c r="A69" s="1" t="s">
        <v>52</v>
      </c>
      <c r="B69" s="7"/>
      <c r="C69" s="7"/>
      <c r="D69" s="7">
        <v>64831</v>
      </c>
      <c r="E69" s="7"/>
      <c r="F69" s="7">
        <v>0</v>
      </c>
      <c r="G69" s="7">
        <v>0</v>
      </c>
      <c r="H69" s="2">
        <f>B69*0.1862</f>
        <v>0</v>
      </c>
      <c r="I69" s="2">
        <f>C69*0.2058</f>
        <v>0</v>
      </c>
      <c r="J69" s="2">
        <f t="shared" si="6"/>
        <v>17154.28</v>
      </c>
      <c r="K69" s="2">
        <f>E69*0.2156</f>
        <v>0</v>
      </c>
      <c r="L69" s="2">
        <f>+H69+I69+J69+K69</f>
        <v>17154.28</v>
      </c>
      <c r="M69" s="1"/>
    </row>
    <row r="70" spans="1:13" x14ac:dyDescent="0.2">
      <c r="A70" s="1" t="s">
        <v>461</v>
      </c>
      <c r="B70" s="7"/>
      <c r="C70" s="7"/>
      <c r="D70" s="7">
        <v>0</v>
      </c>
      <c r="E70" s="7"/>
      <c r="F70" s="7">
        <v>1450</v>
      </c>
      <c r="G70" s="7">
        <v>1450</v>
      </c>
      <c r="H70" s="2">
        <f>B70*0.1862</f>
        <v>0</v>
      </c>
      <c r="I70" s="2">
        <f>C70*0.2058</f>
        <v>0</v>
      </c>
      <c r="J70" s="2">
        <f t="shared" si="6"/>
        <v>0</v>
      </c>
      <c r="K70" s="2">
        <f>E70*0.2156</f>
        <v>0</v>
      </c>
      <c r="L70" s="2">
        <f>+H70+I70+J70+K70</f>
        <v>0</v>
      </c>
      <c r="M70" s="1"/>
    </row>
    <row r="71" spans="1:13" x14ac:dyDescent="0.2">
      <c r="A71" s="1" t="s">
        <v>727</v>
      </c>
      <c r="B71" s="7"/>
      <c r="C71" s="7"/>
      <c r="D71" s="7">
        <v>12092</v>
      </c>
      <c r="E71" s="7"/>
      <c r="F71" s="7">
        <v>0</v>
      </c>
      <c r="G71" s="7">
        <v>0</v>
      </c>
      <c r="H71" s="2">
        <f>B71*0.1862</f>
        <v>0</v>
      </c>
      <c r="I71" s="2">
        <f>C71*0.2058</f>
        <v>0</v>
      </c>
      <c r="J71" s="2">
        <f>D71*0.2646-261.18</f>
        <v>2938.36</v>
      </c>
      <c r="K71" s="2">
        <f>E71*0.2156</f>
        <v>0</v>
      </c>
      <c r="L71" s="2">
        <f>+H71+I71+J71+K71</f>
        <v>2938.36</v>
      </c>
      <c r="M71" s="1"/>
    </row>
    <row r="72" spans="1:13" x14ac:dyDescent="0.2">
      <c r="A72" s="1" t="s">
        <v>710</v>
      </c>
      <c r="B72" s="7"/>
      <c r="C72" s="7"/>
      <c r="D72" s="7">
        <v>1303534</v>
      </c>
      <c r="E72" s="7"/>
      <c r="F72" s="7">
        <v>0</v>
      </c>
      <c r="G72" s="7">
        <v>0</v>
      </c>
      <c r="H72" s="2">
        <f>B72*0.1862</f>
        <v>0</v>
      </c>
      <c r="I72" s="2">
        <f>C72*0.2058</f>
        <v>0</v>
      </c>
      <c r="J72" s="2">
        <f>D72*0.2646</f>
        <v>344915.1</v>
      </c>
      <c r="K72" s="2">
        <f>E72*0.2156</f>
        <v>0</v>
      </c>
      <c r="L72" s="2">
        <f>+H72+I72+J72+K72</f>
        <v>344915.1</v>
      </c>
      <c r="M72" s="1"/>
    </row>
    <row r="73" spans="1:13" x14ac:dyDescent="0.2">
      <c r="A73" s="1" t="s">
        <v>53</v>
      </c>
      <c r="B73" s="7"/>
      <c r="C73" s="7"/>
      <c r="D73" s="7">
        <v>68287</v>
      </c>
      <c r="E73" s="7"/>
      <c r="F73" s="7">
        <v>84504</v>
      </c>
      <c r="G73" s="7">
        <v>84504</v>
      </c>
      <c r="H73" s="2">
        <f t="shared" si="0"/>
        <v>0</v>
      </c>
      <c r="I73" s="2">
        <f t="shared" si="1"/>
        <v>0</v>
      </c>
      <c r="J73" s="2">
        <f>D73*0.2646</f>
        <v>18068.740000000002</v>
      </c>
      <c r="K73" s="2">
        <f t="shared" si="2"/>
        <v>0</v>
      </c>
      <c r="L73" s="2">
        <f t="shared" si="3"/>
        <v>18068.740000000002</v>
      </c>
      <c r="M73" s="1"/>
    </row>
    <row r="74" spans="1:13" x14ac:dyDescent="0.2">
      <c r="A74" s="1" t="s">
        <v>760</v>
      </c>
      <c r="B74" s="7"/>
      <c r="C74" s="7"/>
      <c r="D74" s="7">
        <v>-9000</v>
      </c>
      <c r="E74" s="7"/>
      <c r="F74" s="7">
        <v>0</v>
      </c>
      <c r="G74" s="7">
        <v>0</v>
      </c>
      <c r="H74" s="2">
        <f t="shared" si="0"/>
        <v>0</v>
      </c>
      <c r="I74" s="2">
        <f t="shared" si="1"/>
        <v>0</v>
      </c>
      <c r="J74" s="2">
        <f>D74*0.2646+2381.4</f>
        <v>0</v>
      </c>
      <c r="K74" s="2">
        <f t="shared" si="2"/>
        <v>0</v>
      </c>
      <c r="L74" s="2">
        <f>+H74+I74+J74+K74-2381.4</f>
        <v>-2381.4</v>
      </c>
      <c r="M74" s="1"/>
    </row>
    <row r="75" spans="1:13" x14ac:dyDescent="0.2">
      <c r="A75" s="1" t="s">
        <v>761</v>
      </c>
      <c r="B75" s="7"/>
      <c r="C75" s="7"/>
      <c r="D75" s="7">
        <v>-23502</v>
      </c>
      <c r="E75" s="7"/>
      <c r="F75" s="7">
        <v>0</v>
      </c>
      <c r="G75" s="7">
        <v>0</v>
      </c>
      <c r="H75" s="2">
        <f t="shared" si="0"/>
        <v>0</v>
      </c>
      <c r="I75" s="2">
        <f t="shared" si="1"/>
        <v>0</v>
      </c>
      <c r="J75" s="2">
        <f>D75*0.2646+6218.63</f>
        <v>0</v>
      </c>
      <c r="K75" s="2">
        <f t="shared" si="2"/>
        <v>0</v>
      </c>
      <c r="L75" s="2">
        <f>+H75+I75+J75+K75-6218.63</f>
        <v>-6218.63</v>
      </c>
      <c r="M75" s="1"/>
    </row>
    <row r="76" spans="1:13" x14ac:dyDescent="0.2">
      <c r="A76" s="1" t="s">
        <v>762</v>
      </c>
      <c r="B76" s="7"/>
      <c r="C76" s="7"/>
      <c r="D76" s="7">
        <v>-39000</v>
      </c>
      <c r="E76" s="7"/>
      <c r="F76" s="7">
        <v>0</v>
      </c>
      <c r="G76" s="7">
        <v>0</v>
      </c>
      <c r="H76" s="2">
        <f t="shared" si="0"/>
        <v>0</v>
      </c>
      <c r="I76" s="2">
        <f t="shared" si="1"/>
        <v>0</v>
      </c>
      <c r="J76" s="2">
        <f>D76*0.2646+10319.4</f>
        <v>0</v>
      </c>
      <c r="K76" s="2">
        <f t="shared" si="2"/>
        <v>0</v>
      </c>
      <c r="L76" s="2">
        <v>-10319.4</v>
      </c>
      <c r="M76" s="1"/>
    </row>
    <row r="77" spans="1:13" x14ac:dyDescent="0.2">
      <c r="A77" s="1" t="s">
        <v>763</v>
      </c>
      <c r="B77" s="7"/>
      <c r="C77" s="7"/>
      <c r="D77" s="7">
        <v>-37041</v>
      </c>
      <c r="E77" s="7"/>
      <c r="F77" s="7">
        <v>0</v>
      </c>
      <c r="G77" s="7">
        <v>0</v>
      </c>
      <c r="H77" s="2">
        <f t="shared" si="0"/>
        <v>0</v>
      </c>
      <c r="I77" s="2">
        <f t="shared" si="1"/>
        <v>0</v>
      </c>
      <c r="J77" s="2">
        <f>D77*0.2646+9801.05</f>
        <v>0</v>
      </c>
      <c r="K77" s="2">
        <f t="shared" si="2"/>
        <v>0</v>
      </c>
      <c r="L77" s="2">
        <v>-9801.0499999999993</v>
      </c>
      <c r="M77" s="1"/>
    </row>
    <row r="78" spans="1:13" x14ac:dyDescent="0.2">
      <c r="A78" s="1" t="s">
        <v>764</v>
      </c>
      <c r="B78" s="7"/>
      <c r="C78" s="7"/>
      <c r="D78" s="7">
        <v>-28134</v>
      </c>
      <c r="E78" s="7"/>
      <c r="F78" s="7">
        <v>0</v>
      </c>
      <c r="G78" s="7">
        <v>0</v>
      </c>
      <c r="H78" s="2">
        <f t="shared" si="0"/>
        <v>0</v>
      </c>
      <c r="I78" s="2">
        <f t="shared" si="1"/>
        <v>0</v>
      </c>
      <c r="J78" s="2">
        <f>D78*0.2646+7444.26</f>
        <v>0</v>
      </c>
      <c r="K78" s="2">
        <f t="shared" si="2"/>
        <v>0</v>
      </c>
      <c r="L78" s="2">
        <v>-7444.26</v>
      </c>
      <c r="M78" s="1"/>
    </row>
    <row r="79" spans="1:13" x14ac:dyDescent="0.2">
      <c r="A79" s="1" t="s">
        <v>623</v>
      </c>
      <c r="B79" s="7"/>
      <c r="C79" s="7"/>
      <c r="D79" s="7">
        <v>140599</v>
      </c>
      <c r="E79" s="7"/>
      <c r="F79" s="7">
        <v>0</v>
      </c>
      <c r="G79" s="7">
        <v>44876</v>
      </c>
      <c r="H79" s="2">
        <f>B79*0.1862</f>
        <v>0</v>
      </c>
      <c r="I79" s="2">
        <f>C79*0.2058</f>
        <v>0</v>
      </c>
      <c r="J79" s="2">
        <f>D79*0.2646-0.01</f>
        <v>37202.49</v>
      </c>
      <c r="K79" s="2">
        <f>E79*0.2156</f>
        <v>0</v>
      </c>
      <c r="L79" s="2">
        <f>+H79+I79+J79+K79</f>
        <v>37202.49</v>
      </c>
      <c r="M79" s="1"/>
    </row>
    <row r="80" spans="1:13" ht="12.75" customHeight="1" x14ac:dyDescent="0.2">
      <c r="A80" s="1" t="s">
        <v>749</v>
      </c>
      <c r="B80" s="7"/>
      <c r="C80" s="7"/>
      <c r="D80" s="7"/>
      <c r="E80" s="7"/>
      <c r="F80" s="7"/>
      <c r="G80" s="7"/>
      <c r="H80" s="2">
        <f>B80*0.1862</f>
        <v>0</v>
      </c>
      <c r="I80" s="2">
        <f>C80*0.2058</f>
        <v>0</v>
      </c>
      <c r="J80" s="2">
        <f>D80*0.2646+0.01</f>
        <v>0.01</v>
      </c>
      <c r="K80" s="2">
        <f>E80*0.2156</f>
        <v>0</v>
      </c>
      <c r="L80" s="2">
        <f>+H80+I80+J80+K80</f>
        <v>0.01</v>
      </c>
      <c r="M80" s="1"/>
    </row>
    <row r="81" spans="1:13" x14ac:dyDescent="0.2">
      <c r="A81" s="1" t="s">
        <v>624</v>
      </c>
      <c r="B81" s="7"/>
      <c r="C81" s="7"/>
      <c r="D81" s="7"/>
      <c r="E81" s="7">
        <v>93390</v>
      </c>
      <c r="F81" s="7">
        <v>0</v>
      </c>
      <c r="G81" s="7">
        <v>0</v>
      </c>
      <c r="H81" s="2">
        <f>B81*0.1862</f>
        <v>0</v>
      </c>
      <c r="I81" s="2">
        <f>C81*0.2058</f>
        <v>0</v>
      </c>
      <c r="J81" s="2">
        <f>D81*0.2646</f>
        <v>0</v>
      </c>
      <c r="K81" s="2">
        <f>E81*0.2156</f>
        <v>20134.88</v>
      </c>
      <c r="L81" s="2">
        <f>+H81+I81+J81+K81</f>
        <v>20134.88</v>
      </c>
      <c r="M81" s="1"/>
    </row>
    <row r="82" spans="1:13" x14ac:dyDescent="0.2">
      <c r="A82" s="1" t="s">
        <v>54</v>
      </c>
      <c r="B82" s="7"/>
      <c r="C82" s="7"/>
      <c r="D82" s="7">
        <v>0</v>
      </c>
      <c r="E82" s="7"/>
      <c r="F82" s="7">
        <v>996328</v>
      </c>
      <c r="G82" s="7">
        <v>996328</v>
      </c>
      <c r="H82" s="2">
        <f t="shared" si="0"/>
        <v>0</v>
      </c>
      <c r="I82" s="2">
        <f t="shared" si="1"/>
        <v>0</v>
      </c>
      <c r="J82" s="2">
        <f>D82*0.2646</f>
        <v>0</v>
      </c>
      <c r="K82" s="2">
        <f t="shared" si="2"/>
        <v>0</v>
      </c>
      <c r="L82" s="2">
        <f t="shared" si="3"/>
        <v>0</v>
      </c>
      <c r="M82" s="1"/>
    </row>
    <row r="83" spans="1:13" x14ac:dyDescent="0.2">
      <c r="A83" s="1" t="s">
        <v>55</v>
      </c>
      <c r="B83" s="7"/>
      <c r="C83" s="7"/>
      <c r="D83" s="7">
        <v>4966</v>
      </c>
      <c r="E83" s="7">
        <v>292</v>
      </c>
      <c r="F83" s="7">
        <v>3414</v>
      </c>
      <c r="G83" s="7">
        <v>6325</v>
      </c>
      <c r="H83" s="2">
        <f t="shared" si="0"/>
        <v>0</v>
      </c>
      <c r="I83" s="2">
        <f t="shared" si="1"/>
        <v>0</v>
      </c>
      <c r="J83" s="2">
        <f>D83*0.2646-1.96</f>
        <v>1312.04</v>
      </c>
      <c r="K83" s="2">
        <f t="shared" si="2"/>
        <v>62.96</v>
      </c>
      <c r="L83" s="2">
        <f t="shared" si="3"/>
        <v>1375</v>
      </c>
      <c r="M83" s="1"/>
    </row>
    <row r="84" spans="1:13" x14ac:dyDescent="0.2">
      <c r="A84" s="1" t="s">
        <v>750</v>
      </c>
      <c r="B84" s="7"/>
      <c r="C84" s="7"/>
      <c r="D84" s="7">
        <v>0</v>
      </c>
      <c r="E84" s="7"/>
      <c r="F84" s="7">
        <v>0</v>
      </c>
      <c r="G84" s="7">
        <v>0</v>
      </c>
      <c r="H84" s="2">
        <f t="shared" si="0"/>
        <v>0</v>
      </c>
      <c r="I84" s="2">
        <f t="shared" si="1"/>
        <v>0</v>
      </c>
      <c r="J84" s="2">
        <f>D84*0.2646+1.96</f>
        <v>1.96</v>
      </c>
      <c r="K84" s="2">
        <f t="shared" si="2"/>
        <v>0</v>
      </c>
      <c r="L84" s="2">
        <f t="shared" si="3"/>
        <v>1.96</v>
      </c>
      <c r="M84" s="1"/>
    </row>
    <row r="85" spans="1:13" x14ac:dyDescent="0.2">
      <c r="A85" s="1" t="s">
        <v>215</v>
      </c>
      <c r="B85" s="7"/>
      <c r="C85" s="7"/>
      <c r="D85" s="7">
        <v>0</v>
      </c>
      <c r="E85" s="7"/>
      <c r="F85" s="7">
        <v>577</v>
      </c>
      <c r="G85" s="7">
        <v>577</v>
      </c>
      <c r="H85" s="2">
        <f>B85*0.1862</f>
        <v>0</v>
      </c>
      <c r="I85" s="2">
        <f>C85*0.2058</f>
        <v>0</v>
      </c>
      <c r="J85" s="2">
        <f t="shared" ref="J85:J91" si="7">D85*0.2646</f>
        <v>0</v>
      </c>
      <c r="K85" s="2">
        <f>E85*0.2156</f>
        <v>0</v>
      </c>
      <c r="L85" s="2">
        <f>+H85+I85+J85+K85</f>
        <v>0</v>
      </c>
      <c r="M85" s="1"/>
    </row>
    <row r="86" spans="1:13" s="20" customFormat="1" x14ac:dyDescent="0.2">
      <c r="A86" s="18" t="s">
        <v>56</v>
      </c>
      <c r="B86" s="246"/>
      <c r="C86" s="246"/>
      <c r="D86" s="246">
        <v>9149</v>
      </c>
      <c r="E86" s="246"/>
      <c r="F86" s="246">
        <v>116287</v>
      </c>
      <c r="G86" s="246">
        <v>120082</v>
      </c>
      <c r="H86" s="2">
        <f t="shared" si="0"/>
        <v>0</v>
      </c>
      <c r="I86" s="2">
        <f t="shared" si="1"/>
        <v>0</v>
      </c>
      <c r="J86" s="2">
        <f t="shared" si="7"/>
        <v>2420.83</v>
      </c>
      <c r="K86" s="2">
        <f t="shared" si="2"/>
        <v>0</v>
      </c>
      <c r="L86" s="2">
        <f t="shared" si="3"/>
        <v>2420.83</v>
      </c>
      <c r="M86" s="18"/>
    </row>
    <row r="87" spans="1:13" x14ac:dyDescent="0.2">
      <c r="A87" s="1" t="s">
        <v>434</v>
      </c>
      <c r="B87" s="7"/>
      <c r="C87" s="7"/>
      <c r="D87" s="7">
        <v>2594831</v>
      </c>
      <c r="E87" s="7"/>
      <c r="F87" s="7">
        <v>0</v>
      </c>
      <c r="G87" s="7">
        <v>0</v>
      </c>
      <c r="H87" s="2">
        <f t="shared" si="0"/>
        <v>0</v>
      </c>
      <c r="I87" s="2">
        <f t="shared" si="1"/>
        <v>0</v>
      </c>
      <c r="J87" s="2">
        <f t="shared" si="7"/>
        <v>686592.28</v>
      </c>
      <c r="K87" s="2">
        <f t="shared" si="2"/>
        <v>0</v>
      </c>
      <c r="L87" s="2">
        <f t="shared" si="3"/>
        <v>686592.28</v>
      </c>
      <c r="M87" s="1"/>
    </row>
    <row r="88" spans="1:13" ht="12.75" customHeight="1" x14ac:dyDescent="0.2">
      <c r="A88" s="1" t="s">
        <v>787</v>
      </c>
      <c r="B88" s="7"/>
      <c r="C88" s="7"/>
      <c r="D88" s="7">
        <v>97100</v>
      </c>
      <c r="E88" s="7"/>
      <c r="F88" s="7">
        <v>114820</v>
      </c>
      <c r="G88" s="7">
        <v>114820</v>
      </c>
      <c r="H88" s="2">
        <f>B88*0.1862</f>
        <v>0</v>
      </c>
      <c r="I88" s="2">
        <f>C88*0.2058</f>
        <v>0</v>
      </c>
      <c r="J88" s="2">
        <f>D88*0.2646-1439.16</f>
        <v>24253.5</v>
      </c>
      <c r="K88" s="2">
        <f>E88*0.2156</f>
        <v>0</v>
      </c>
      <c r="L88" s="2">
        <f>+H88+I88+J88+K88</f>
        <v>24253.5</v>
      </c>
      <c r="M88" s="1"/>
    </row>
    <row r="89" spans="1:13" x14ac:dyDescent="0.2">
      <c r="A89" s="1" t="s">
        <v>57</v>
      </c>
      <c r="B89" s="7"/>
      <c r="C89" s="7"/>
      <c r="D89" s="7">
        <v>163709</v>
      </c>
      <c r="E89" s="7"/>
      <c r="F89" s="7">
        <v>30772</v>
      </c>
      <c r="G89" s="7">
        <v>30772</v>
      </c>
      <c r="H89" s="2">
        <f t="shared" si="0"/>
        <v>0</v>
      </c>
      <c r="I89" s="2">
        <f t="shared" si="1"/>
        <v>0</v>
      </c>
      <c r="J89" s="2">
        <f t="shared" si="7"/>
        <v>43317.4</v>
      </c>
      <c r="K89" s="2">
        <f t="shared" si="2"/>
        <v>0</v>
      </c>
      <c r="L89" s="2">
        <f t="shared" si="3"/>
        <v>43317.4</v>
      </c>
      <c r="M89" s="1"/>
    </row>
    <row r="90" spans="1:13" x14ac:dyDescent="0.2">
      <c r="A90" s="1" t="s">
        <v>435</v>
      </c>
      <c r="B90" s="7"/>
      <c r="C90" s="7"/>
      <c r="D90" s="7">
        <v>3074711</v>
      </c>
      <c r="E90" s="7"/>
      <c r="F90" s="7">
        <v>0</v>
      </c>
      <c r="G90" s="7">
        <v>0</v>
      </c>
      <c r="H90" s="2">
        <f t="shared" si="0"/>
        <v>0</v>
      </c>
      <c r="I90" s="2">
        <f t="shared" si="1"/>
        <v>0</v>
      </c>
      <c r="J90" s="2">
        <f t="shared" si="7"/>
        <v>813568.53</v>
      </c>
      <c r="K90" s="2">
        <f t="shared" si="2"/>
        <v>0</v>
      </c>
      <c r="L90" s="2">
        <f t="shared" si="3"/>
        <v>813568.53</v>
      </c>
      <c r="M90" s="1"/>
    </row>
    <row r="91" spans="1:13" x14ac:dyDescent="0.2">
      <c r="A91" s="1" t="s">
        <v>436</v>
      </c>
      <c r="B91" s="7"/>
      <c r="C91" s="7"/>
      <c r="D91" s="7">
        <v>2100</v>
      </c>
      <c r="E91" s="7"/>
      <c r="F91" s="7">
        <v>0</v>
      </c>
      <c r="G91" s="7">
        <v>0</v>
      </c>
      <c r="H91" s="2">
        <f t="shared" si="0"/>
        <v>0</v>
      </c>
      <c r="I91" s="2">
        <f t="shared" si="1"/>
        <v>0</v>
      </c>
      <c r="J91" s="2">
        <f t="shared" si="7"/>
        <v>555.66</v>
      </c>
      <c r="K91" s="2">
        <f t="shared" si="2"/>
        <v>0</v>
      </c>
      <c r="L91" s="2">
        <f t="shared" si="3"/>
        <v>555.66</v>
      </c>
      <c r="M91" s="1"/>
    </row>
    <row r="92" spans="1:13" x14ac:dyDescent="0.2">
      <c r="A92" s="1" t="s">
        <v>348</v>
      </c>
      <c r="B92" s="7"/>
      <c r="C92" s="7"/>
      <c r="D92" s="7">
        <v>133421</v>
      </c>
      <c r="E92" s="7"/>
      <c r="F92" s="7">
        <v>0</v>
      </c>
      <c r="G92" s="7">
        <v>0</v>
      </c>
      <c r="H92" s="2">
        <f t="shared" si="0"/>
        <v>0</v>
      </c>
      <c r="I92" s="2">
        <f t="shared" si="1"/>
        <v>0</v>
      </c>
      <c r="J92" s="2">
        <f>D92*0.2646-0.01</f>
        <v>35303.19</v>
      </c>
      <c r="K92" s="2">
        <f t="shared" si="2"/>
        <v>0</v>
      </c>
      <c r="L92" s="2">
        <f t="shared" si="3"/>
        <v>35303.19</v>
      </c>
      <c r="M92" s="1"/>
    </row>
    <row r="93" spans="1:13" s="20" customFormat="1" x14ac:dyDescent="0.2">
      <c r="A93" s="18" t="s">
        <v>609</v>
      </c>
      <c r="B93" s="246"/>
      <c r="C93" s="246"/>
      <c r="D93" s="246">
        <v>2252</v>
      </c>
      <c r="E93" s="246"/>
      <c r="F93" s="246">
        <v>0</v>
      </c>
      <c r="G93" s="246">
        <v>0</v>
      </c>
      <c r="H93" s="2">
        <f>B93*0.1862</f>
        <v>0</v>
      </c>
      <c r="I93" s="2">
        <f>C93*0.2058</f>
        <v>0</v>
      </c>
      <c r="J93" s="2">
        <f>D93*0.2646-218.07</f>
        <v>377.81</v>
      </c>
      <c r="K93" s="2">
        <f>E93*0.2156</f>
        <v>0</v>
      </c>
      <c r="L93" s="2">
        <f>+H93+I93+J93+K93</f>
        <v>377.81</v>
      </c>
      <c r="M93" s="18"/>
    </row>
    <row r="94" spans="1:13" s="20" customFormat="1" x14ac:dyDescent="0.2">
      <c r="A94" s="18" t="s">
        <v>58</v>
      </c>
      <c r="B94" s="246"/>
      <c r="C94" s="246"/>
      <c r="D94" s="246">
        <v>2944975</v>
      </c>
      <c r="E94" s="246">
        <v>7</v>
      </c>
      <c r="F94" s="246">
        <v>2048362</v>
      </c>
      <c r="G94" s="246">
        <v>2058680</v>
      </c>
      <c r="H94" s="2">
        <f t="shared" si="0"/>
        <v>0</v>
      </c>
      <c r="I94" s="2">
        <f t="shared" si="1"/>
        <v>0</v>
      </c>
      <c r="J94" s="2">
        <f>D94*0.2646-0.01</f>
        <v>779240.38</v>
      </c>
      <c r="K94" s="2">
        <f t="shared" si="2"/>
        <v>1.51</v>
      </c>
      <c r="L94" s="2">
        <f t="shared" si="3"/>
        <v>779241.89</v>
      </c>
      <c r="M94" s="18"/>
    </row>
    <row r="95" spans="1:13" x14ac:dyDescent="0.2">
      <c r="A95" s="1" t="s">
        <v>59</v>
      </c>
      <c r="B95" s="7"/>
      <c r="C95" s="7"/>
      <c r="D95" s="7">
        <v>180977</v>
      </c>
      <c r="E95" s="7"/>
      <c r="F95" s="7">
        <v>0</v>
      </c>
      <c r="G95" s="7">
        <v>0</v>
      </c>
      <c r="H95" s="2">
        <f t="shared" si="0"/>
        <v>0</v>
      </c>
      <c r="I95" s="2">
        <f t="shared" si="1"/>
        <v>0</v>
      </c>
      <c r="J95" s="2">
        <f>D95*0.2646</f>
        <v>47886.51</v>
      </c>
      <c r="K95" s="2">
        <f t="shared" si="2"/>
        <v>0</v>
      </c>
      <c r="L95" s="2">
        <f t="shared" si="3"/>
        <v>47886.51</v>
      </c>
      <c r="M95" s="1"/>
    </row>
    <row r="96" spans="1:13" ht="13.5" customHeight="1" x14ac:dyDescent="0.2">
      <c r="A96" s="1" t="s">
        <v>457</v>
      </c>
      <c r="B96" s="7"/>
      <c r="C96" s="7"/>
      <c r="D96" s="7">
        <v>0</v>
      </c>
      <c r="E96" s="7"/>
      <c r="F96" s="7">
        <v>16532</v>
      </c>
      <c r="G96" s="7">
        <v>15644</v>
      </c>
      <c r="H96" s="2">
        <f t="shared" si="0"/>
        <v>0</v>
      </c>
      <c r="I96" s="2">
        <f t="shared" si="1"/>
        <v>0</v>
      </c>
      <c r="J96" s="2">
        <f>D96*0.2646</f>
        <v>0</v>
      </c>
      <c r="K96" s="2">
        <f t="shared" si="2"/>
        <v>0</v>
      </c>
      <c r="L96" s="2">
        <f t="shared" si="3"/>
        <v>0</v>
      </c>
      <c r="M96" s="1"/>
    </row>
    <row r="97" spans="1:13" ht="13.5" customHeight="1" x14ac:dyDescent="0.2">
      <c r="A97" s="1" t="s">
        <v>625</v>
      </c>
      <c r="B97" s="7"/>
      <c r="C97" s="7"/>
      <c r="D97" s="7">
        <v>0</v>
      </c>
      <c r="E97" s="7"/>
      <c r="F97" s="7">
        <v>201227</v>
      </c>
      <c r="G97" s="7">
        <v>201227</v>
      </c>
      <c r="H97" s="2">
        <f>B97*0.1862</f>
        <v>0</v>
      </c>
      <c r="I97" s="2">
        <f>C97*0.2058</f>
        <v>0</v>
      </c>
      <c r="J97" s="2">
        <f>D97*0.2646</f>
        <v>0</v>
      </c>
      <c r="K97" s="2">
        <f>E97*0.2156</f>
        <v>0</v>
      </c>
      <c r="L97" s="2">
        <f>+H97+I97+J97+K97</f>
        <v>0</v>
      </c>
      <c r="M97" s="1"/>
    </row>
    <row r="98" spans="1:13" s="20" customFormat="1" x14ac:dyDescent="0.2">
      <c r="A98" s="18" t="s">
        <v>60</v>
      </c>
      <c r="B98" s="246"/>
      <c r="C98" s="246"/>
      <c r="D98" s="246">
        <v>1570051</v>
      </c>
      <c r="E98" s="246"/>
      <c r="F98" s="246">
        <v>1353576</v>
      </c>
      <c r="G98" s="246">
        <v>1357636</v>
      </c>
      <c r="H98" s="2">
        <f t="shared" si="0"/>
        <v>0</v>
      </c>
      <c r="I98" s="2">
        <f t="shared" si="1"/>
        <v>0</v>
      </c>
      <c r="J98" s="2">
        <f>D98*0.2646+0.01</f>
        <v>415435.5</v>
      </c>
      <c r="K98" s="2">
        <f t="shared" si="2"/>
        <v>0</v>
      </c>
      <c r="L98" s="2">
        <f t="shared" si="3"/>
        <v>415435.5</v>
      </c>
      <c r="M98" s="18"/>
    </row>
    <row r="99" spans="1:13" s="20" customFormat="1" x14ac:dyDescent="0.2">
      <c r="A99" s="1" t="s">
        <v>458</v>
      </c>
      <c r="B99" s="7"/>
      <c r="C99" s="7"/>
      <c r="D99" s="7">
        <v>55643</v>
      </c>
      <c r="E99" s="7"/>
      <c r="F99" s="7">
        <v>113302</v>
      </c>
      <c r="G99" s="7">
        <v>107789</v>
      </c>
      <c r="H99" s="2">
        <f t="shared" si="0"/>
        <v>0</v>
      </c>
      <c r="I99" s="2">
        <f t="shared" si="1"/>
        <v>0</v>
      </c>
      <c r="J99" s="2">
        <f>D99*0.2646-102.91</f>
        <v>14620.23</v>
      </c>
      <c r="K99" s="2">
        <f t="shared" si="2"/>
        <v>0</v>
      </c>
      <c r="L99" s="2">
        <f t="shared" si="3"/>
        <v>14620.23</v>
      </c>
      <c r="M99" s="1"/>
    </row>
    <row r="100" spans="1:13" s="20" customFormat="1" x14ac:dyDescent="0.2">
      <c r="A100" s="18" t="s">
        <v>61</v>
      </c>
      <c r="B100" s="246"/>
      <c r="C100" s="246"/>
      <c r="D100" s="246">
        <v>50793</v>
      </c>
      <c r="E100" s="246"/>
      <c r="F100" s="246">
        <v>126628</v>
      </c>
      <c r="G100" s="246">
        <v>126628</v>
      </c>
      <c r="H100" s="2">
        <f t="shared" si="0"/>
        <v>0</v>
      </c>
      <c r="I100" s="2">
        <f t="shared" si="1"/>
        <v>0</v>
      </c>
      <c r="J100" s="2">
        <f>D100*0.2646</f>
        <v>13439.83</v>
      </c>
      <c r="K100" s="2">
        <f t="shared" si="2"/>
        <v>0</v>
      </c>
      <c r="L100" s="2">
        <f t="shared" si="3"/>
        <v>13439.83</v>
      </c>
      <c r="M100" s="18"/>
    </row>
    <row r="101" spans="1:13" x14ac:dyDescent="0.2">
      <c r="A101" s="1" t="s">
        <v>62</v>
      </c>
      <c r="B101" s="7"/>
      <c r="C101" s="7"/>
      <c r="D101" s="7">
        <v>5440</v>
      </c>
      <c r="E101" s="7"/>
      <c r="F101" s="7">
        <v>10083</v>
      </c>
      <c r="G101" s="7">
        <v>10083</v>
      </c>
      <c r="H101" s="2">
        <f t="shared" si="0"/>
        <v>0</v>
      </c>
      <c r="I101" s="2">
        <f t="shared" si="1"/>
        <v>0</v>
      </c>
      <c r="J101" s="2">
        <f>D101*0.2646</f>
        <v>1439.42</v>
      </c>
      <c r="K101" s="2">
        <f t="shared" si="2"/>
        <v>0</v>
      </c>
      <c r="L101" s="2">
        <f t="shared" si="3"/>
        <v>1439.42</v>
      </c>
      <c r="M101" s="1"/>
    </row>
    <row r="102" spans="1:13" x14ac:dyDescent="0.2">
      <c r="A102" s="1" t="s">
        <v>63</v>
      </c>
      <c r="B102" s="7"/>
      <c r="C102" s="7"/>
      <c r="D102" s="7">
        <v>22257</v>
      </c>
      <c r="E102" s="7"/>
      <c r="F102" s="7">
        <v>27992</v>
      </c>
      <c r="G102" s="7">
        <v>27992</v>
      </c>
      <c r="H102" s="2">
        <f t="shared" si="0"/>
        <v>0</v>
      </c>
      <c r="I102" s="2">
        <f t="shared" si="1"/>
        <v>0</v>
      </c>
      <c r="J102" s="2">
        <f>D102*0.2646</f>
        <v>5889.2</v>
      </c>
      <c r="K102" s="2">
        <f t="shared" si="2"/>
        <v>0</v>
      </c>
      <c r="L102" s="2">
        <f t="shared" si="3"/>
        <v>5889.2</v>
      </c>
      <c r="M102" s="1"/>
    </row>
    <row r="103" spans="1:13" s="20" customFormat="1" x14ac:dyDescent="0.2">
      <c r="A103" s="18" t="s">
        <v>711</v>
      </c>
      <c r="B103" s="246"/>
      <c r="C103" s="246"/>
      <c r="D103" s="246">
        <v>60636</v>
      </c>
      <c r="E103" s="246"/>
      <c r="F103" s="246">
        <v>0</v>
      </c>
      <c r="G103" s="246">
        <v>0</v>
      </c>
      <c r="H103" s="2">
        <f>B103*0.1862</f>
        <v>0</v>
      </c>
      <c r="I103" s="2">
        <f>C103*0.2058</f>
        <v>0</v>
      </c>
      <c r="J103" s="2">
        <f>D103*0.2646</f>
        <v>16044.29</v>
      </c>
      <c r="K103" s="2">
        <f>E103*0.2156</f>
        <v>0</v>
      </c>
      <c r="L103" s="2">
        <f>+H103+I103+J103+K103</f>
        <v>16044.29</v>
      </c>
      <c r="M103" s="18"/>
    </row>
    <row r="104" spans="1:13" s="20" customFormat="1" x14ac:dyDescent="0.2">
      <c r="A104" s="18" t="s">
        <v>640</v>
      </c>
      <c r="B104" s="246"/>
      <c r="C104" s="246"/>
      <c r="D104" s="246">
        <v>460725</v>
      </c>
      <c r="E104" s="246"/>
      <c r="F104" s="246">
        <v>0</v>
      </c>
      <c r="G104" s="246">
        <v>0</v>
      </c>
      <c r="H104" s="2">
        <f t="shared" si="0"/>
        <v>0</v>
      </c>
      <c r="I104" s="2">
        <f t="shared" si="1"/>
        <v>0</v>
      </c>
      <c r="J104" s="2">
        <f>D104*0.2646-0.01</f>
        <v>121907.83</v>
      </c>
      <c r="K104" s="2">
        <f t="shared" si="2"/>
        <v>0</v>
      </c>
      <c r="L104" s="2">
        <f t="shared" si="3"/>
        <v>121907.83</v>
      </c>
      <c r="M104" s="18"/>
    </row>
    <row r="105" spans="1:13" s="20" customFormat="1" x14ac:dyDescent="0.2">
      <c r="A105" s="18" t="s">
        <v>573</v>
      </c>
      <c r="B105" s="246"/>
      <c r="C105" s="246"/>
      <c r="D105" s="246">
        <v>0</v>
      </c>
      <c r="E105" s="246"/>
      <c r="F105" s="246">
        <v>1827277</v>
      </c>
      <c r="G105" s="246">
        <v>2113919</v>
      </c>
      <c r="H105" s="2">
        <f t="shared" si="0"/>
        <v>0</v>
      </c>
      <c r="I105" s="2">
        <f t="shared" si="1"/>
        <v>0</v>
      </c>
      <c r="J105" s="2">
        <f>D105*0.2646</f>
        <v>0</v>
      </c>
      <c r="K105" s="2">
        <f t="shared" si="2"/>
        <v>0</v>
      </c>
      <c r="L105" s="2">
        <f t="shared" si="3"/>
        <v>0</v>
      </c>
      <c r="M105" s="18"/>
    </row>
    <row r="106" spans="1:13" s="20" customFormat="1" x14ac:dyDescent="0.2">
      <c r="A106" s="18" t="s">
        <v>438</v>
      </c>
      <c r="B106" s="246"/>
      <c r="C106" s="246"/>
      <c r="D106" s="246">
        <v>107872</v>
      </c>
      <c r="E106" s="246"/>
      <c r="F106" s="246">
        <v>0</v>
      </c>
      <c r="G106" s="246">
        <v>0</v>
      </c>
      <c r="H106" s="2">
        <f t="shared" ref="H106:H126" si="8">B106*0.1862</f>
        <v>0</v>
      </c>
      <c r="I106" s="2">
        <f t="shared" ref="I106:I126" si="9">C106*0.2058</f>
        <v>0</v>
      </c>
      <c r="J106" s="2">
        <f t="shared" ref="J106:J126" si="10">D106*0.2646</f>
        <v>28542.93</v>
      </c>
      <c r="K106" s="2">
        <f t="shared" ref="K106:K126" si="11">E106*0.2156</f>
        <v>0</v>
      </c>
      <c r="L106" s="2">
        <f t="shared" ref="L106:L126" si="12">+H106+I106+J106+K106</f>
        <v>28542.93</v>
      </c>
      <c r="M106" s="18"/>
    </row>
    <row r="107" spans="1:13" x14ac:dyDescent="0.2">
      <c r="A107" s="18" t="s">
        <v>65</v>
      </c>
      <c r="B107" s="246"/>
      <c r="C107" s="246"/>
      <c r="D107" s="246">
        <v>60621</v>
      </c>
      <c r="E107" s="246"/>
      <c r="F107" s="246">
        <v>0</v>
      </c>
      <c r="G107" s="246">
        <v>0</v>
      </c>
      <c r="H107" s="2">
        <f t="shared" si="8"/>
        <v>0</v>
      </c>
      <c r="I107" s="2">
        <f t="shared" si="9"/>
        <v>0</v>
      </c>
      <c r="J107" s="2">
        <f>D107*0.2646-0.01</f>
        <v>16040.31</v>
      </c>
      <c r="K107" s="2">
        <f t="shared" si="11"/>
        <v>0</v>
      </c>
      <c r="L107" s="2">
        <f t="shared" si="12"/>
        <v>16040.31</v>
      </c>
      <c r="M107" s="18"/>
    </row>
    <row r="108" spans="1:13" x14ac:dyDescent="0.2">
      <c r="A108" s="18" t="s">
        <v>475</v>
      </c>
      <c r="B108" s="246"/>
      <c r="C108" s="246"/>
      <c r="D108" s="246">
        <v>1128912</v>
      </c>
      <c r="E108" s="246"/>
      <c r="F108" s="246">
        <v>219740</v>
      </c>
      <c r="G108" s="246">
        <v>219740</v>
      </c>
      <c r="H108" s="2">
        <f t="shared" si="8"/>
        <v>0</v>
      </c>
      <c r="I108" s="2">
        <f t="shared" si="9"/>
        <v>0</v>
      </c>
      <c r="J108" s="2">
        <f t="shared" si="10"/>
        <v>298710.12</v>
      </c>
      <c r="K108" s="2">
        <f t="shared" si="11"/>
        <v>0</v>
      </c>
      <c r="L108" s="2">
        <f t="shared" si="12"/>
        <v>298710.12</v>
      </c>
      <c r="M108" s="18"/>
    </row>
    <row r="109" spans="1:13" x14ac:dyDescent="0.2">
      <c r="A109" s="18" t="s">
        <v>82</v>
      </c>
      <c r="B109" s="246"/>
      <c r="C109" s="246"/>
      <c r="D109" s="246">
        <v>252773</v>
      </c>
      <c r="E109" s="246"/>
      <c r="F109" s="246">
        <v>0</v>
      </c>
      <c r="G109" s="246">
        <v>0</v>
      </c>
      <c r="H109" s="2">
        <f t="shared" si="8"/>
        <v>0</v>
      </c>
      <c r="I109" s="2">
        <f t="shared" si="9"/>
        <v>0</v>
      </c>
      <c r="J109" s="2">
        <f t="shared" si="10"/>
        <v>66883.740000000005</v>
      </c>
      <c r="K109" s="2">
        <f t="shared" si="11"/>
        <v>0</v>
      </c>
      <c r="L109" s="2">
        <f t="shared" si="12"/>
        <v>66883.740000000005</v>
      </c>
      <c r="M109" s="18"/>
    </row>
    <row r="110" spans="1:13" x14ac:dyDescent="0.2">
      <c r="A110" s="18" t="s">
        <v>349</v>
      </c>
      <c r="B110" s="246"/>
      <c r="C110" s="246"/>
      <c r="D110" s="246">
        <v>2629907</v>
      </c>
      <c r="E110" s="246"/>
      <c r="F110" s="246">
        <v>4449</v>
      </c>
      <c r="G110" s="246">
        <v>4449</v>
      </c>
      <c r="H110" s="2">
        <f t="shared" si="8"/>
        <v>0</v>
      </c>
      <c r="I110" s="2">
        <f t="shared" si="9"/>
        <v>0</v>
      </c>
      <c r="J110" s="2">
        <f t="shared" si="10"/>
        <v>695873.39</v>
      </c>
      <c r="K110" s="2">
        <f t="shared" si="11"/>
        <v>0</v>
      </c>
      <c r="L110" s="2">
        <f t="shared" si="12"/>
        <v>695873.39</v>
      </c>
      <c r="M110" s="18"/>
    </row>
    <row r="111" spans="1:13" x14ac:dyDescent="0.2">
      <c r="A111" s="1" t="s">
        <v>776</v>
      </c>
      <c r="B111" s="7"/>
      <c r="C111" s="7"/>
      <c r="D111" s="7">
        <v>0</v>
      </c>
      <c r="E111" s="7"/>
      <c r="F111" s="7">
        <v>0</v>
      </c>
      <c r="G111" s="7">
        <v>0</v>
      </c>
      <c r="H111" s="2">
        <f>B111*0.1862</f>
        <v>0</v>
      </c>
      <c r="I111" s="2">
        <f>C111*0.2058</f>
        <v>0</v>
      </c>
      <c r="J111" s="2">
        <f>D111*0.2646+45.86</f>
        <v>45.86</v>
      </c>
      <c r="K111" s="2">
        <f>E111*0.2156</f>
        <v>0</v>
      </c>
      <c r="L111" s="2">
        <f>+H111+I111+J111+K111</f>
        <v>45.86</v>
      </c>
      <c r="M111" s="1"/>
    </row>
    <row r="112" spans="1:13" s="20" customFormat="1" x14ac:dyDescent="0.2">
      <c r="A112" s="18" t="s">
        <v>362</v>
      </c>
      <c r="B112" s="246"/>
      <c r="C112" s="246"/>
      <c r="D112" s="246">
        <v>42961</v>
      </c>
      <c r="E112" s="246"/>
      <c r="F112" s="246">
        <v>219621</v>
      </c>
      <c r="G112" s="246">
        <v>219621</v>
      </c>
      <c r="H112" s="2">
        <f t="shared" si="8"/>
        <v>0</v>
      </c>
      <c r="I112" s="2">
        <f t="shared" si="9"/>
        <v>0</v>
      </c>
      <c r="J112" s="2">
        <f t="shared" si="10"/>
        <v>11367.48</v>
      </c>
      <c r="K112" s="2">
        <f t="shared" si="11"/>
        <v>0</v>
      </c>
      <c r="L112" s="2">
        <f t="shared" si="12"/>
        <v>11367.48</v>
      </c>
      <c r="M112" s="18"/>
    </row>
    <row r="113" spans="1:32" x14ac:dyDescent="0.2">
      <c r="A113" s="1" t="s">
        <v>67</v>
      </c>
      <c r="B113" s="7"/>
      <c r="C113" s="7"/>
      <c r="D113" s="7">
        <v>24271</v>
      </c>
      <c r="E113" s="7"/>
      <c r="F113" s="7">
        <v>64081</v>
      </c>
      <c r="G113" s="7">
        <v>64081</v>
      </c>
      <c r="H113" s="2">
        <f t="shared" si="8"/>
        <v>0</v>
      </c>
      <c r="I113" s="2">
        <f t="shared" si="9"/>
        <v>0</v>
      </c>
      <c r="J113" s="2">
        <f t="shared" si="10"/>
        <v>6422.11</v>
      </c>
      <c r="K113" s="2">
        <f t="shared" si="11"/>
        <v>0</v>
      </c>
      <c r="L113" s="2">
        <f t="shared" si="12"/>
        <v>6422.11</v>
      </c>
      <c r="M113" s="1"/>
    </row>
    <row r="114" spans="1:32" x14ac:dyDescent="0.2">
      <c r="A114" s="1" t="s">
        <v>574</v>
      </c>
      <c r="B114" s="7"/>
      <c r="C114" s="7"/>
      <c r="D114" s="7">
        <v>126087</v>
      </c>
      <c r="E114" s="7"/>
      <c r="F114" s="7">
        <v>0</v>
      </c>
      <c r="G114" s="7">
        <v>0</v>
      </c>
      <c r="H114" s="2">
        <f t="shared" si="8"/>
        <v>0</v>
      </c>
      <c r="I114" s="2">
        <f t="shared" si="9"/>
        <v>0</v>
      </c>
      <c r="J114" s="2">
        <f t="shared" si="10"/>
        <v>33362.620000000003</v>
      </c>
      <c r="K114" s="2">
        <f t="shared" si="11"/>
        <v>0</v>
      </c>
      <c r="L114" s="2">
        <f t="shared" si="12"/>
        <v>33362.620000000003</v>
      </c>
      <c r="M114" s="1"/>
    </row>
    <row r="115" spans="1:32" x14ac:dyDescent="0.2">
      <c r="A115" s="1" t="s">
        <v>439</v>
      </c>
      <c r="B115" s="7"/>
      <c r="C115" s="7"/>
      <c r="D115" s="7">
        <v>6014</v>
      </c>
      <c r="E115" s="7"/>
      <c r="F115" s="7">
        <v>0</v>
      </c>
      <c r="G115" s="7">
        <v>0</v>
      </c>
      <c r="H115" s="2">
        <f t="shared" si="8"/>
        <v>0</v>
      </c>
      <c r="I115" s="2">
        <f t="shared" si="9"/>
        <v>0</v>
      </c>
      <c r="J115" s="2">
        <f t="shared" si="10"/>
        <v>1591.3</v>
      </c>
      <c r="K115" s="2">
        <f t="shared" si="11"/>
        <v>0</v>
      </c>
      <c r="L115" s="2">
        <f t="shared" si="12"/>
        <v>1591.3</v>
      </c>
      <c r="M115" s="1"/>
    </row>
    <row r="116" spans="1:32" ht="12.75" customHeight="1" x14ac:dyDescent="0.2">
      <c r="A116" s="1" t="s">
        <v>709</v>
      </c>
      <c r="B116" s="7"/>
      <c r="C116" s="7"/>
      <c r="D116" s="7">
        <v>7506</v>
      </c>
      <c r="E116" s="7"/>
      <c r="F116" s="7">
        <v>0</v>
      </c>
      <c r="G116" s="7">
        <v>0</v>
      </c>
      <c r="H116" s="2">
        <f>B116*0.1862</f>
        <v>0</v>
      </c>
      <c r="I116" s="2">
        <f>C116*0.2058</f>
        <v>0</v>
      </c>
      <c r="J116" s="2">
        <f>D116*0.2646-0.4</f>
        <v>1985.69</v>
      </c>
      <c r="K116" s="2">
        <f>E116*0.2156</f>
        <v>0</v>
      </c>
      <c r="L116" s="2">
        <f>+H116+I116+J116+K116</f>
        <v>1985.69</v>
      </c>
      <c r="M116" s="1"/>
    </row>
    <row r="117" spans="1:32" x14ac:dyDescent="0.2">
      <c r="A117" s="1" t="s">
        <v>751</v>
      </c>
      <c r="B117" s="7"/>
      <c r="C117" s="7"/>
      <c r="D117" s="7">
        <v>0</v>
      </c>
      <c r="E117" s="7"/>
      <c r="F117" s="7">
        <v>0</v>
      </c>
      <c r="G117" s="7">
        <v>0</v>
      </c>
      <c r="H117" s="2">
        <f>B117*0.1862</f>
        <v>0</v>
      </c>
      <c r="I117" s="2">
        <f>C117*0.2058</f>
        <v>0</v>
      </c>
      <c r="J117" s="2">
        <f>D117*0.2646+0.4</f>
        <v>0.4</v>
      </c>
      <c r="K117" s="2">
        <f>E117*0.2156</f>
        <v>0</v>
      </c>
      <c r="L117" s="2">
        <f>+H117+I117+J117+K117</f>
        <v>0.4</v>
      </c>
      <c r="M117" s="1"/>
    </row>
    <row r="118" spans="1:32" x14ac:dyDescent="0.2">
      <c r="A118" s="1" t="s">
        <v>779</v>
      </c>
      <c r="B118" s="7"/>
      <c r="C118" s="7"/>
      <c r="D118" s="7">
        <v>0</v>
      </c>
      <c r="E118" s="7"/>
      <c r="F118" s="7">
        <v>0</v>
      </c>
      <c r="G118" s="7">
        <v>0</v>
      </c>
      <c r="H118" s="2">
        <f>B118*0.1862</f>
        <v>0</v>
      </c>
      <c r="I118" s="2">
        <f>C118*0.2058</f>
        <v>0</v>
      </c>
      <c r="J118" s="2">
        <f>D118*0.2646</f>
        <v>0</v>
      </c>
      <c r="K118" s="2">
        <f>E118*0.2156</f>
        <v>0</v>
      </c>
      <c r="L118" s="2">
        <f>+H118+I118+J118+K118-2035.24</f>
        <v>-2035.24</v>
      </c>
      <c r="M118" s="1"/>
    </row>
    <row r="119" spans="1:32" x14ac:dyDescent="0.2">
      <c r="A119" s="1" t="s">
        <v>790</v>
      </c>
      <c r="B119" s="7"/>
      <c r="C119" s="7"/>
      <c r="D119" s="7">
        <v>0</v>
      </c>
      <c r="E119" s="7"/>
      <c r="F119" s="7">
        <v>0</v>
      </c>
      <c r="G119" s="7">
        <v>0</v>
      </c>
      <c r="H119" s="2">
        <f>B119*0.1862</f>
        <v>0</v>
      </c>
      <c r="I119" s="2">
        <f>C119*0.2058</f>
        <v>0</v>
      </c>
      <c r="J119" s="2">
        <f>D119*0.2646-2555.49</f>
        <v>-2555.4899999999998</v>
      </c>
      <c r="K119" s="2">
        <f>E119*0.2156</f>
        <v>0</v>
      </c>
      <c r="L119" s="2">
        <f>+H119+I119+J119+K119</f>
        <v>-2555.4899999999998</v>
      </c>
      <c r="M119" s="1"/>
    </row>
    <row r="120" spans="1:32" x14ac:dyDescent="0.2">
      <c r="A120" s="1" t="s">
        <v>440</v>
      </c>
      <c r="B120" s="7"/>
      <c r="C120" s="7"/>
      <c r="D120" s="7">
        <v>13283</v>
      </c>
      <c r="E120" s="7"/>
      <c r="F120" s="7">
        <v>0</v>
      </c>
      <c r="G120" s="7">
        <v>0</v>
      </c>
      <c r="H120" s="2">
        <f t="shared" si="8"/>
        <v>0</v>
      </c>
      <c r="I120" s="2">
        <f t="shared" si="9"/>
        <v>0</v>
      </c>
      <c r="J120" s="2">
        <f t="shared" si="10"/>
        <v>3514.68</v>
      </c>
      <c r="K120" s="2">
        <f t="shared" si="11"/>
        <v>0</v>
      </c>
      <c r="L120" s="2">
        <f t="shared" si="12"/>
        <v>3514.68</v>
      </c>
      <c r="M120" s="1"/>
    </row>
    <row r="121" spans="1:32" x14ac:dyDescent="0.2">
      <c r="A121" s="1" t="s">
        <v>83</v>
      </c>
      <c r="B121" s="7"/>
      <c r="C121" s="7"/>
      <c r="D121" s="7">
        <v>419</v>
      </c>
      <c r="E121" s="7"/>
      <c r="F121" s="7">
        <v>1863</v>
      </c>
      <c r="G121" s="7">
        <v>1863</v>
      </c>
      <c r="H121" s="2">
        <f t="shared" si="8"/>
        <v>0</v>
      </c>
      <c r="I121" s="2">
        <f t="shared" si="9"/>
        <v>0</v>
      </c>
      <c r="J121" s="2">
        <f t="shared" si="10"/>
        <v>110.87</v>
      </c>
      <c r="K121" s="2">
        <f t="shared" si="11"/>
        <v>0</v>
      </c>
      <c r="L121" s="2">
        <f t="shared" si="12"/>
        <v>110.87</v>
      </c>
      <c r="M121" s="1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pans="1:32" x14ac:dyDescent="0.2">
      <c r="A122" s="18" t="s">
        <v>575</v>
      </c>
      <c r="B122" s="246"/>
      <c r="C122" s="246"/>
      <c r="D122" s="246">
        <v>0</v>
      </c>
      <c r="E122" s="246"/>
      <c r="F122" s="246">
        <v>66598</v>
      </c>
      <c r="G122" s="246">
        <v>66598</v>
      </c>
      <c r="H122" s="2">
        <f t="shared" si="8"/>
        <v>0</v>
      </c>
      <c r="I122" s="2">
        <f t="shared" si="9"/>
        <v>0</v>
      </c>
      <c r="J122" s="2">
        <f t="shared" si="10"/>
        <v>0</v>
      </c>
      <c r="K122" s="2">
        <f t="shared" si="11"/>
        <v>0</v>
      </c>
      <c r="L122" s="2">
        <f t="shared" si="12"/>
        <v>0</v>
      </c>
      <c r="M122" s="18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</row>
    <row r="123" spans="1:32" x14ac:dyDescent="0.2">
      <c r="A123" s="1" t="s">
        <v>766</v>
      </c>
      <c r="B123" s="7"/>
      <c r="C123" s="7"/>
      <c r="D123" s="7">
        <v>-5103</v>
      </c>
      <c r="E123" s="7"/>
      <c r="F123" s="7">
        <v>0</v>
      </c>
      <c r="G123" s="7">
        <v>0</v>
      </c>
      <c r="H123" s="2">
        <f>B123*0.1862</f>
        <v>0</v>
      </c>
      <c r="I123" s="2">
        <f>C123*0.2058</f>
        <v>0</v>
      </c>
      <c r="J123" s="2">
        <f>D123*0.2646+1350.25</f>
        <v>0</v>
      </c>
      <c r="K123" s="2">
        <f>E123*0.2156</f>
        <v>0</v>
      </c>
      <c r="L123" s="2">
        <v>-1350.25</v>
      </c>
      <c r="M123" s="1"/>
    </row>
    <row r="124" spans="1:32" x14ac:dyDescent="0.2">
      <c r="A124" s="1" t="s">
        <v>765</v>
      </c>
      <c r="B124" s="7"/>
      <c r="C124" s="7"/>
      <c r="D124" s="7">
        <v>-4635</v>
      </c>
      <c r="E124" s="7"/>
      <c r="F124" s="7">
        <v>0</v>
      </c>
      <c r="G124" s="7">
        <v>0</v>
      </c>
      <c r="H124" s="2">
        <f>B124*0.1862</f>
        <v>0</v>
      </c>
      <c r="I124" s="2">
        <f>C124*0.2058</f>
        <v>0</v>
      </c>
      <c r="J124" s="2">
        <f>D124*0.2646+1226.42</f>
        <v>0</v>
      </c>
      <c r="K124" s="2">
        <f>E124*0.2156</f>
        <v>0</v>
      </c>
      <c r="L124" s="2">
        <v>-1226.42</v>
      </c>
      <c r="M124" s="1"/>
    </row>
    <row r="125" spans="1:32" x14ac:dyDescent="0.2">
      <c r="A125" s="18" t="s">
        <v>69</v>
      </c>
      <c r="B125" s="246"/>
      <c r="C125" s="246"/>
      <c r="D125" s="246">
        <v>420587</v>
      </c>
      <c r="E125" s="246"/>
      <c r="F125" s="246">
        <v>283043</v>
      </c>
      <c r="G125" s="246">
        <v>283043</v>
      </c>
      <c r="H125" s="2">
        <f t="shared" si="8"/>
        <v>0</v>
      </c>
      <c r="I125" s="2">
        <f t="shared" si="9"/>
        <v>0</v>
      </c>
      <c r="J125" s="2">
        <f t="shared" si="10"/>
        <v>111287.32</v>
      </c>
      <c r="K125" s="2">
        <f t="shared" si="11"/>
        <v>0</v>
      </c>
      <c r="L125" s="2">
        <f t="shared" si="12"/>
        <v>111287.32</v>
      </c>
      <c r="M125" s="18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</row>
    <row r="126" spans="1:32" x14ac:dyDescent="0.2">
      <c r="A126" s="1" t="s">
        <v>70</v>
      </c>
      <c r="B126" s="7"/>
      <c r="C126" s="7"/>
      <c r="D126" s="7">
        <v>42839</v>
      </c>
      <c r="E126" s="7"/>
      <c r="F126" s="7">
        <v>62245</v>
      </c>
      <c r="G126" s="7">
        <v>58040</v>
      </c>
      <c r="H126" s="2">
        <f t="shared" si="8"/>
        <v>0</v>
      </c>
      <c r="I126" s="2">
        <f t="shared" si="9"/>
        <v>0</v>
      </c>
      <c r="J126" s="2">
        <f t="shared" si="10"/>
        <v>11335.2</v>
      </c>
      <c r="K126" s="2">
        <f t="shared" si="11"/>
        <v>0</v>
      </c>
      <c r="L126" s="2">
        <f t="shared" si="12"/>
        <v>11335.2</v>
      </c>
      <c r="M126" s="1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spans="1:32" x14ac:dyDescent="0.2">
      <c r="A127" s="1" t="s">
        <v>360</v>
      </c>
      <c r="B127" s="7"/>
      <c r="C127" s="7"/>
      <c r="D127" s="7">
        <v>12235</v>
      </c>
      <c r="E127" s="7"/>
      <c r="F127" s="7">
        <v>0</v>
      </c>
      <c r="G127" s="7">
        <v>0</v>
      </c>
      <c r="H127" s="2">
        <f>B127*0.1862</f>
        <v>0</v>
      </c>
      <c r="I127" s="2">
        <f>C127*0.2058</f>
        <v>0</v>
      </c>
      <c r="J127" s="2">
        <f>D127*0.2646</f>
        <v>3237.38</v>
      </c>
      <c r="K127" s="2">
        <f>E127*0.2156</f>
        <v>0</v>
      </c>
      <c r="L127" s="2">
        <f>+H127+I127+J127+K127</f>
        <v>3237.38</v>
      </c>
      <c r="M127" s="1"/>
    </row>
    <row r="128" spans="1:32" x14ac:dyDescent="0.2">
      <c r="A128" s="1" t="s">
        <v>218</v>
      </c>
      <c r="B128" s="7"/>
      <c r="C128" s="7"/>
      <c r="D128" s="7">
        <v>0</v>
      </c>
      <c r="E128" s="7"/>
      <c r="F128" s="7">
        <v>7579</v>
      </c>
      <c r="G128" s="7">
        <v>7579</v>
      </c>
      <c r="H128" s="2">
        <f>B128*0.1862</f>
        <v>0</v>
      </c>
      <c r="I128" s="2">
        <f>C128*0.2058</f>
        <v>0</v>
      </c>
      <c r="J128" s="2">
        <f>D128*0.2646</f>
        <v>0</v>
      </c>
      <c r="K128" s="2">
        <f>E128*0.2156</f>
        <v>0</v>
      </c>
      <c r="L128" s="2">
        <f>+H128+I128+J128+K128</f>
        <v>0</v>
      </c>
      <c r="M128" s="1"/>
    </row>
    <row r="129" spans="1:13" x14ac:dyDescent="0.2">
      <c r="A129" s="10"/>
      <c r="B129" s="32"/>
      <c r="C129" s="32"/>
      <c r="D129" s="32"/>
      <c r="E129" s="32"/>
      <c r="F129" s="32"/>
      <c r="G129" s="32"/>
      <c r="H129" s="33"/>
      <c r="I129" s="33"/>
      <c r="J129" s="33"/>
      <c r="K129" s="33"/>
      <c r="L129" s="33"/>
      <c r="M129" s="90"/>
    </row>
    <row r="130" spans="1:13" s="142" customFormat="1" x14ac:dyDescent="0.2">
      <c r="A130" s="129" t="s">
        <v>71</v>
      </c>
      <c r="B130" s="286">
        <f t="shared" ref="B130:G130" si="13">SUM(B12:B129)</f>
        <v>0</v>
      </c>
      <c r="C130" s="286">
        <f t="shared" si="13"/>
        <v>-1034</v>
      </c>
      <c r="D130" s="286">
        <f t="shared" si="13"/>
        <v>32551340</v>
      </c>
      <c r="E130" s="286">
        <f t="shared" si="13"/>
        <v>93732</v>
      </c>
      <c r="F130" s="286">
        <f t="shared" si="13"/>
        <v>18772952</v>
      </c>
      <c r="G130" s="286">
        <f t="shared" si="13"/>
        <v>19180969</v>
      </c>
      <c r="H130" s="287">
        <f>SUM(H13:H129)</f>
        <v>0</v>
      </c>
      <c r="I130" s="287">
        <f>SUM(I13:I129)</f>
        <v>-212.8</v>
      </c>
      <c r="J130" s="287">
        <f>SUM(J13:J129)</f>
        <v>8637492.7699999996</v>
      </c>
      <c r="K130" s="287">
        <f>SUM(K13:K129)</f>
        <v>20208.62</v>
      </c>
      <c r="L130" s="287">
        <f>SUM(L13:L129)</f>
        <v>8616711.9399999995</v>
      </c>
      <c r="M130" s="286"/>
    </row>
    <row r="131" spans="1:13" hidden="1" x14ac:dyDescent="0.2">
      <c r="A131" s="128" t="s">
        <v>600</v>
      </c>
      <c r="B131" s="7">
        <v>0</v>
      </c>
      <c r="C131" s="7"/>
      <c r="D131" s="7"/>
      <c r="E131" s="7"/>
      <c r="F131" s="7"/>
      <c r="G131" s="7"/>
      <c r="H131" s="288"/>
      <c r="I131" s="288">
        <v>-212.8</v>
      </c>
      <c r="J131" s="288">
        <v>8637492.7699999996</v>
      </c>
      <c r="K131" s="288">
        <v>20208.62</v>
      </c>
      <c r="L131" s="288">
        <v>8655453.3499999996</v>
      </c>
      <c r="M131" s="1"/>
    </row>
    <row r="132" spans="1:13" hidden="1" x14ac:dyDescent="0.2">
      <c r="A132" s="128" t="s">
        <v>698</v>
      </c>
      <c r="B132" s="7"/>
      <c r="C132" s="7"/>
      <c r="D132" s="7"/>
      <c r="E132" s="7"/>
      <c r="F132" s="7"/>
      <c r="G132" s="7"/>
      <c r="H132" s="288"/>
      <c r="I132" s="288"/>
      <c r="J132" s="288"/>
      <c r="K132" s="288"/>
      <c r="L132" s="288">
        <v>-38741.410000000003</v>
      </c>
      <c r="M132" s="1"/>
    </row>
    <row r="133" spans="1:13" hidden="1" x14ac:dyDescent="0.2">
      <c r="A133" s="128" t="s">
        <v>774</v>
      </c>
      <c r="B133" s="7"/>
      <c r="C133" s="7"/>
      <c r="D133" s="7"/>
      <c r="E133" s="7"/>
      <c r="F133" s="7"/>
      <c r="G133" s="7"/>
      <c r="H133" s="288"/>
      <c r="I133" s="288"/>
      <c r="J133" s="288"/>
      <c r="K133" s="288"/>
      <c r="L133" s="288">
        <v>-2066.1</v>
      </c>
      <c r="M133" s="1"/>
    </row>
    <row r="134" spans="1:13" ht="13.5" hidden="1" thickBot="1" x14ac:dyDescent="0.25">
      <c r="A134" s="129" t="s">
        <v>308</v>
      </c>
      <c r="B134" s="34">
        <f t="shared" ref="B134:K134" si="14">+B130-B131-B133</f>
        <v>0</v>
      </c>
      <c r="C134" s="34">
        <f t="shared" si="14"/>
        <v>-1034</v>
      </c>
      <c r="D134" s="34">
        <f t="shared" si="14"/>
        <v>32551340</v>
      </c>
      <c r="E134" s="34">
        <f t="shared" si="14"/>
        <v>93732</v>
      </c>
      <c r="F134" s="34">
        <f t="shared" si="14"/>
        <v>18772952</v>
      </c>
      <c r="G134" s="34">
        <f t="shared" si="14"/>
        <v>19180969</v>
      </c>
      <c r="H134" s="289">
        <f t="shared" si="14"/>
        <v>0</v>
      </c>
      <c r="I134" s="289">
        <f t="shared" si="14"/>
        <v>0</v>
      </c>
      <c r="J134" s="289">
        <f t="shared" si="14"/>
        <v>0</v>
      </c>
      <c r="K134" s="289">
        <f t="shared" si="14"/>
        <v>0</v>
      </c>
      <c r="L134" s="289">
        <f>+L130-L131-L132</f>
        <v>0</v>
      </c>
      <c r="M134" s="1"/>
    </row>
    <row r="135" spans="1:13" hidden="1" x14ac:dyDescent="0.2">
      <c r="A135" s="1"/>
      <c r="B135" s="7" t="s">
        <v>81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>
        <f>'s6,s6a'!K28</f>
        <v>8141.2</v>
      </c>
      <c r="M136" s="2"/>
    </row>
    <row r="137" spans="1:13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2"/>
      <c r="M137" s="1"/>
    </row>
    <row r="138" spans="1:13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80">
        <v>8141.2</v>
      </c>
      <c r="M138" s="1"/>
    </row>
    <row r="139" spans="1:13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</row>
    <row r="140" spans="1:13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>
        <f>ST12.65+_ST5+ST5.35</f>
        <v>20576008.239999998</v>
      </c>
      <c r="K140" s="1"/>
      <c r="L140" s="2">
        <f>+L134+L136-L138</f>
        <v>0</v>
      </c>
      <c r="M140" s="1"/>
    </row>
    <row r="141" spans="1:13" hidden="1" x14ac:dyDescent="0.2">
      <c r="A141" s="1"/>
      <c r="B141" s="1"/>
      <c r="C141" s="1"/>
      <c r="D141" s="1"/>
      <c r="E141" s="1"/>
      <c r="F141" s="1"/>
      <c r="G141" s="1"/>
      <c r="H141" s="1" t="s">
        <v>498</v>
      </c>
      <c r="I141" s="1"/>
      <c r="J141" s="1">
        <v>20576008.239999998</v>
      </c>
      <c r="K141" s="1"/>
      <c r="L141" s="1"/>
      <c r="M141" s="1"/>
    </row>
    <row r="142" spans="1:13" hidden="1" x14ac:dyDescent="0.2">
      <c r="J142" s="223">
        <f>J140-J141</f>
        <v>0</v>
      </c>
    </row>
    <row r="143" spans="1:13" hidden="1" x14ac:dyDescent="0.2"/>
    <row r="144" spans="1:13" hidden="1" x14ac:dyDescent="0.2"/>
    <row r="145" spans="13:13" hidden="1" x14ac:dyDescent="0.2"/>
    <row r="146" spans="13:13" hidden="1" x14ac:dyDescent="0.2"/>
    <row r="147" spans="13:13" hidden="1" x14ac:dyDescent="0.2"/>
    <row r="148" spans="13:13" hidden="1" x14ac:dyDescent="0.2">
      <c r="M148" s="1" t="s">
        <v>79</v>
      </c>
    </row>
    <row r="149" spans="13:13" hidden="1" x14ac:dyDescent="0.2"/>
    <row r="150" spans="13:13" hidden="1" x14ac:dyDescent="0.2"/>
    <row r="151" spans="13:13" hidden="1" x14ac:dyDescent="0.2"/>
    <row r="152" spans="13:13" hidden="1" x14ac:dyDescent="0.2"/>
    <row r="153" spans="13:13" hidden="1" x14ac:dyDescent="0.2"/>
    <row r="154" spans="13:13" hidden="1" x14ac:dyDescent="0.2"/>
    <row r="155" spans="13:13" hidden="1" x14ac:dyDescent="0.2"/>
    <row r="156" spans="13:13" hidden="1" x14ac:dyDescent="0.2"/>
    <row r="157" spans="13:13" hidden="1" x14ac:dyDescent="0.2"/>
    <row r="158" spans="13:13" hidden="1" x14ac:dyDescent="0.2"/>
    <row r="159" spans="13:13" hidden="1" x14ac:dyDescent="0.2"/>
    <row r="160" spans="13:13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1"/>
  <sheetViews>
    <sheetView zoomScaleNormal="100" workbookViewId="0"/>
  </sheetViews>
  <sheetFormatPr defaultRowHeight="12.75" x14ac:dyDescent="0.2"/>
  <cols>
    <col min="1" max="1" width="16" customWidth="1"/>
    <col min="2" max="2" width="30" bestFit="1" customWidth="1"/>
    <col min="3" max="3" width="11.5703125" bestFit="1" customWidth="1"/>
    <col min="4" max="4" width="16.5703125" style="151" customWidth="1"/>
    <col min="5" max="5" width="12.28515625" customWidth="1"/>
    <col min="6" max="6" width="13.85546875" customWidth="1"/>
    <col min="7" max="7" width="13.140625" customWidth="1"/>
  </cols>
  <sheetData>
    <row r="1" spans="1:7" x14ac:dyDescent="0.2">
      <c r="A1" t="s">
        <v>508</v>
      </c>
    </row>
    <row r="2" spans="1:7" x14ac:dyDescent="0.2">
      <c r="A2" t="s">
        <v>509</v>
      </c>
      <c r="B2" t="str">
        <f>+'s1'!$A$2</f>
        <v>JUNE 2004</v>
      </c>
      <c r="C2" t="s">
        <v>560</v>
      </c>
      <c r="G2" t="s">
        <v>12</v>
      </c>
    </row>
    <row r="3" spans="1:7" x14ac:dyDescent="0.2">
      <c r="C3" t="s">
        <v>561</v>
      </c>
      <c r="D3" s="172" t="s">
        <v>556</v>
      </c>
      <c r="E3" t="s">
        <v>557</v>
      </c>
      <c r="F3" t="s">
        <v>559</v>
      </c>
      <c r="G3" t="s">
        <v>558</v>
      </c>
    </row>
    <row r="4" spans="1:7" x14ac:dyDescent="0.2">
      <c r="A4" s="257">
        <v>3921</v>
      </c>
      <c r="B4" s="258" t="s">
        <v>529</v>
      </c>
      <c r="C4" s="162">
        <f>-SUM(C6:C8)/2</f>
        <v>129283.72</v>
      </c>
      <c r="G4" s="11">
        <f>+C4+E4</f>
        <v>129283.72</v>
      </c>
    </row>
    <row r="5" spans="1:7" x14ac:dyDescent="0.2">
      <c r="A5" s="257">
        <v>3922</v>
      </c>
      <c r="B5" s="258" t="s">
        <v>530</v>
      </c>
      <c r="C5" s="162">
        <f>+C4</f>
        <v>129283.72</v>
      </c>
      <c r="G5" s="11">
        <f>+C5+E5</f>
        <v>129283.72</v>
      </c>
    </row>
    <row r="6" spans="1:7" x14ac:dyDescent="0.2">
      <c r="A6" s="257">
        <v>3924</v>
      </c>
      <c r="B6" s="258" t="s">
        <v>553</v>
      </c>
      <c r="C6" s="259">
        <f>-'s4'!C8</f>
        <v>-142246.49</v>
      </c>
      <c r="E6" s="11">
        <f>-'s4'!D8</f>
        <v>-67096.78</v>
      </c>
      <c r="F6" s="11">
        <f>+'s4'!F8</f>
        <v>0</v>
      </c>
      <c r="G6" s="11">
        <f>+C6+E6+F6</f>
        <v>-209343.27</v>
      </c>
    </row>
    <row r="7" spans="1:7" x14ac:dyDescent="0.2">
      <c r="A7" s="257">
        <v>3925</v>
      </c>
      <c r="B7" s="258" t="s">
        <v>554</v>
      </c>
      <c r="C7" s="259">
        <f>-'s4'!C9</f>
        <v>-56210.23</v>
      </c>
      <c r="E7" s="11">
        <f>-'s4'!D9</f>
        <v>-26520.47</v>
      </c>
      <c r="F7" s="11">
        <f>+'s4'!F9</f>
        <v>0</v>
      </c>
      <c r="G7" s="11">
        <f>+C7+E7+F7</f>
        <v>-82730.7</v>
      </c>
    </row>
    <row r="8" spans="1:7" x14ac:dyDescent="0.2">
      <c r="A8" s="257">
        <v>3926</v>
      </c>
      <c r="B8" s="258" t="s">
        <v>555</v>
      </c>
      <c r="C8" s="259">
        <f>-LessWP535</f>
        <v>-60110.720000000001</v>
      </c>
      <c r="E8" s="11">
        <f>-'s4'!D10</f>
        <v>-28376.89</v>
      </c>
      <c r="F8" s="11">
        <f>-LessAF535</f>
        <v>-15805.83</v>
      </c>
      <c r="G8" s="11">
        <f>+C8+E8+F8</f>
        <v>-104293.44</v>
      </c>
    </row>
    <row r="9" spans="1:7" x14ac:dyDescent="0.2">
      <c r="A9" t="s">
        <v>531</v>
      </c>
      <c r="E9" s="11" t="s">
        <v>81</v>
      </c>
      <c r="G9" s="11" t="s">
        <v>81</v>
      </c>
    </row>
    <row r="10" spans="1:7" x14ac:dyDescent="0.2">
      <c r="A10" t="s">
        <v>528</v>
      </c>
      <c r="B10" t="str">
        <f>+'s1'!$A$2</f>
        <v>JUNE 2004</v>
      </c>
    </row>
    <row r="11" spans="1:7" x14ac:dyDescent="0.2">
      <c r="D11" s="172"/>
    </row>
    <row r="12" spans="1:7" x14ac:dyDescent="0.2">
      <c r="A12" s="260">
        <v>3904</v>
      </c>
      <c r="B12" s="261" t="s">
        <v>510</v>
      </c>
      <c r="C12" s="261"/>
      <c r="D12" s="151">
        <f>+'s3,s3b, s3d'!E122</f>
        <v>105698.02</v>
      </c>
      <c r="E12" s="11">
        <f>-'s4'!D15-'s4'!D16</f>
        <v>-50.57</v>
      </c>
      <c r="F12" s="151">
        <f>-SUM('s4'!F15:F16)</f>
        <v>-1479.87</v>
      </c>
      <c r="G12" s="162">
        <f>+D12+E12+F12</f>
        <v>104167.58</v>
      </c>
    </row>
    <row r="13" spans="1:7" x14ac:dyDescent="0.2">
      <c r="A13" s="260">
        <v>3905</v>
      </c>
      <c r="B13" s="261" t="s">
        <v>511</v>
      </c>
      <c r="C13" s="261"/>
      <c r="D13" s="151">
        <f>+'s3,s3b, s3d'!E123</f>
        <v>91263.19</v>
      </c>
      <c r="E13" s="11">
        <f>-'s4'!D17-'s4'!D18</f>
        <v>-201.29</v>
      </c>
      <c r="F13" s="151">
        <f>-SUM('s4'!F17:F18)</f>
        <v>-380.19</v>
      </c>
      <c r="G13" s="162">
        <f t="shared" ref="G13:G52" si="0">+D13+E13+F13</f>
        <v>90681.71</v>
      </c>
    </row>
    <row r="14" spans="1:7" x14ac:dyDescent="0.2">
      <c r="A14" s="260">
        <v>3906</v>
      </c>
      <c r="B14" s="261" t="s">
        <v>512</v>
      </c>
      <c r="C14" s="261"/>
      <c r="D14" s="151">
        <f>+'s3,s3b, s3d'!E126</f>
        <v>1466676.23</v>
      </c>
      <c r="E14" s="11">
        <f>-'s4'!D19-'s4'!D20</f>
        <v>-1415.2</v>
      </c>
      <c r="F14" s="151">
        <f>-SUM('s4'!F19:F20)</f>
        <v>-26480.11</v>
      </c>
      <c r="G14" s="162">
        <f t="shared" si="0"/>
        <v>1438780.92</v>
      </c>
    </row>
    <row r="15" spans="1:7" x14ac:dyDescent="0.2">
      <c r="A15" s="260">
        <v>3907</v>
      </c>
      <c r="B15" s="261" t="s">
        <v>513</v>
      </c>
      <c r="C15" s="261"/>
      <c r="D15" s="151">
        <f>+'s3,s3b, s3d'!E133</f>
        <v>97507.93</v>
      </c>
      <c r="E15" s="11">
        <f>-'s4'!D21-'s4'!D22</f>
        <v>-624.75</v>
      </c>
      <c r="F15" s="151">
        <f>-SUM('s4'!F21:F22)</f>
        <v>-437.33</v>
      </c>
      <c r="G15" s="162">
        <f t="shared" si="0"/>
        <v>96445.85</v>
      </c>
    </row>
    <row r="16" spans="1:7" x14ac:dyDescent="0.2">
      <c r="A16" s="260">
        <v>3908</v>
      </c>
      <c r="B16" s="261" t="s">
        <v>514</v>
      </c>
      <c r="C16" s="261"/>
      <c r="D16" s="151">
        <f>+'s3,s3b, s3d'!E134</f>
        <v>201707.24</v>
      </c>
      <c r="E16" s="11">
        <f>-'s4'!D23-'s4'!D24</f>
        <v>-602.78</v>
      </c>
      <c r="F16" s="151">
        <f>-SUM('s4'!F23:F24)</f>
        <v>-460.03</v>
      </c>
      <c r="G16" s="162">
        <f t="shared" si="0"/>
        <v>200644.43</v>
      </c>
    </row>
    <row r="17" spans="1:7" x14ac:dyDescent="0.2">
      <c r="A17" s="260">
        <v>3909</v>
      </c>
      <c r="B17" s="261" t="s">
        <v>515</v>
      </c>
      <c r="C17" s="261"/>
      <c r="D17" s="151">
        <f>+'s3,s3b, s3d'!E140</f>
        <v>51540.29</v>
      </c>
      <c r="E17" s="11">
        <f>-'s4'!D25-'s4'!D26</f>
        <v>0</v>
      </c>
      <c r="F17" s="151">
        <f>-SUM('s4'!F25:F26)</f>
        <v>-8.98</v>
      </c>
      <c r="G17" s="162">
        <f t="shared" si="0"/>
        <v>51531.31</v>
      </c>
    </row>
    <row r="18" spans="1:7" x14ac:dyDescent="0.2">
      <c r="A18" s="260">
        <v>3910</v>
      </c>
      <c r="B18" s="261" t="s">
        <v>516</v>
      </c>
      <c r="C18" s="261"/>
      <c r="D18" s="151">
        <f>+'s3,s3b, s3d'!E141</f>
        <v>64263.3</v>
      </c>
      <c r="E18" s="11">
        <f>-'s4'!D27-'s4'!D28</f>
        <v>-84.68</v>
      </c>
      <c r="F18" s="151">
        <f>-SUM('s4'!F27:F28)</f>
        <v>-21.2</v>
      </c>
      <c r="G18" s="162">
        <f t="shared" si="0"/>
        <v>64157.42</v>
      </c>
    </row>
    <row r="19" spans="1:7" x14ac:dyDescent="0.2">
      <c r="A19" s="260">
        <v>3911</v>
      </c>
      <c r="B19" s="261" t="s">
        <v>517</v>
      </c>
      <c r="C19" s="261"/>
      <c r="D19" s="151">
        <f>+'s3,s3b, s3d'!E142</f>
        <v>129583.3</v>
      </c>
      <c r="E19" s="11">
        <f>-'s4'!D29-'s4'!D30</f>
        <v>-682.66</v>
      </c>
      <c r="F19" s="151">
        <f>-SUM('s4'!F29:F30)</f>
        <v>-529.27</v>
      </c>
      <c r="G19" s="162">
        <f t="shared" si="0"/>
        <v>128371.37</v>
      </c>
    </row>
    <row r="20" spans="1:7" x14ac:dyDescent="0.2">
      <c r="A20" s="260">
        <v>3912</v>
      </c>
      <c r="B20" s="261" t="s">
        <v>518</v>
      </c>
      <c r="C20" s="261"/>
      <c r="D20" s="151">
        <f>+'s3,s3b, s3d'!E145</f>
        <v>86480.75</v>
      </c>
      <c r="E20" s="11">
        <f>-'s4'!D31-'s4'!D32</f>
        <v>-212.36</v>
      </c>
      <c r="F20" s="151">
        <f>-SUM('s4'!F31:F32)</f>
        <v>-157.06</v>
      </c>
      <c r="G20" s="162">
        <f t="shared" si="0"/>
        <v>86111.33</v>
      </c>
    </row>
    <row r="21" spans="1:7" x14ac:dyDescent="0.2">
      <c r="A21" s="260">
        <v>3913</v>
      </c>
      <c r="B21" s="261" t="s">
        <v>519</v>
      </c>
      <c r="C21" s="261"/>
      <c r="D21" s="151">
        <f>+'s3,s3b, s3d'!E148</f>
        <v>134711.07</v>
      </c>
      <c r="E21" s="11">
        <f>-'s4'!D33-'s4'!D34</f>
        <v>0</v>
      </c>
      <c r="F21" s="151">
        <f>-SUM('s4'!F33:F34)</f>
        <v>-27.51</v>
      </c>
      <c r="G21" s="162">
        <f t="shared" si="0"/>
        <v>134683.56</v>
      </c>
    </row>
    <row r="22" spans="1:7" x14ac:dyDescent="0.2">
      <c r="A22" s="260">
        <v>3914</v>
      </c>
      <c r="B22" s="261" t="s">
        <v>520</v>
      </c>
      <c r="C22" s="261"/>
      <c r="D22" s="151">
        <f>+'s3,s3b, s3d'!E151</f>
        <v>81466.42</v>
      </c>
      <c r="E22" s="11">
        <f>-'s4'!D35-'s4'!D36</f>
        <v>-396.11</v>
      </c>
      <c r="F22" s="151">
        <f>-SUM('s4'!F35:F36)</f>
        <v>-803.84</v>
      </c>
      <c r="G22" s="162">
        <f t="shared" si="0"/>
        <v>80266.47</v>
      </c>
    </row>
    <row r="23" spans="1:7" x14ac:dyDescent="0.2">
      <c r="A23" s="260">
        <v>3915</v>
      </c>
      <c r="B23" s="261" t="s">
        <v>521</v>
      </c>
      <c r="C23" s="261"/>
      <c r="D23" s="151">
        <f>+'s3,s3b, s3d'!E155</f>
        <v>46797.21</v>
      </c>
      <c r="E23" s="11">
        <f>-'s4'!D37-'s4'!D38</f>
        <v>-7537.87</v>
      </c>
      <c r="F23" s="151">
        <f>-SUM('s4'!F37:F38)</f>
        <v>-113.75</v>
      </c>
      <c r="G23" s="162">
        <f t="shared" si="0"/>
        <v>39145.589999999997</v>
      </c>
    </row>
    <row r="24" spans="1:7" x14ac:dyDescent="0.2">
      <c r="A24" s="260">
        <v>3916</v>
      </c>
      <c r="B24" s="261" t="s">
        <v>522</v>
      </c>
      <c r="C24" s="261"/>
      <c r="D24" s="151">
        <f>+'s3,s3b, s3d'!E156</f>
        <v>224122.79</v>
      </c>
      <c r="E24" s="11">
        <f>-'s4'!D39-'s4'!D40</f>
        <v>0</v>
      </c>
      <c r="F24" s="151">
        <f>-SUM('s4'!F39:F40)</f>
        <v>-370.39</v>
      </c>
      <c r="G24" s="162">
        <f t="shared" si="0"/>
        <v>223752.4</v>
      </c>
    </row>
    <row r="25" spans="1:7" x14ac:dyDescent="0.2">
      <c r="A25" s="260">
        <v>3917</v>
      </c>
      <c r="B25" s="261" t="s">
        <v>523</v>
      </c>
      <c r="C25" s="261"/>
      <c r="D25" s="151">
        <f>+'s3,s3b, s3d'!E161</f>
        <v>97054.55</v>
      </c>
      <c r="E25" s="11">
        <f>-'s4'!D41-'s4'!D42</f>
        <v>-1083.3900000000001</v>
      </c>
      <c r="F25" s="151">
        <f>-SUM('s4'!F41:F42)</f>
        <v>-134.16999999999999</v>
      </c>
      <c r="G25" s="162">
        <f t="shared" si="0"/>
        <v>95836.99</v>
      </c>
    </row>
    <row r="26" spans="1:7" x14ac:dyDescent="0.2">
      <c r="A26" s="260">
        <v>3918</v>
      </c>
      <c r="B26" s="261" t="s">
        <v>524</v>
      </c>
      <c r="C26" s="261"/>
      <c r="D26" s="151">
        <f>+'s3,s3b, s3d'!E164</f>
        <v>7221.16</v>
      </c>
      <c r="E26" s="11">
        <f>-'s4'!D43-'s4'!D44</f>
        <v>0</v>
      </c>
      <c r="F26" s="151">
        <f>-SUM('s4'!F43:F44)</f>
        <v>-7.16</v>
      </c>
      <c r="G26" s="162">
        <f t="shared" si="0"/>
        <v>7214</v>
      </c>
    </row>
    <row r="27" spans="1:7" x14ac:dyDescent="0.2">
      <c r="A27" s="260">
        <v>3919</v>
      </c>
      <c r="B27" s="261" t="s">
        <v>525</v>
      </c>
      <c r="C27" s="261"/>
      <c r="D27" s="151">
        <f>+'s3,s3b, s3d'!E165</f>
        <v>423138.68</v>
      </c>
      <c r="E27" s="11">
        <f>-'s4'!D45-'s4'!D46</f>
        <v>-37440.910000000003</v>
      </c>
      <c r="F27" s="151">
        <f>-SUM('s4'!F45:F46)</f>
        <v>-6910.9</v>
      </c>
      <c r="G27" s="162">
        <f t="shared" si="0"/>
        <v>378786.87</v>
      </c>
    </row>
    <row r="28" spans="1:7" x14ac:dyDescent="0.2">
      <c r="A28" s="260">
        <v>3920</v>
      </c>
      <c r="B28" s="261" t="s">
        <v>526</v>
      </c>
      <c r="C28" s="261"/>
      <c r="D28" s="151">
        <f>+'s3,s3b, s3d'!E169</f>
        <v>126953.98</v>
      </c>
      <c r="E28" s="11">
        <f>-'s4'!D47-'s4'!D48</f>
        <v>-1183.74</v>
      </c>
      <c r="F28" s="151">
        <f>-SUM('s4'!F47:F48)</f>
        <v>-274.92</v>
      </c>
      <c r="G28" s="162">
        <f t="shared" si="0"/>
        <v>125495.32</v>
      </c>
    </row>
    <row r="29" spans="1:7" x14ac:dyDescent="0.2">
      <c r="A29" s="262">
        <v>3940</v>
      </c>
      <c r="B29" s="258" t="s">
        <v>532</v>
      </c>
      <c r="C29" s="258"/>
      <c r="D29" s="151">
        <f>+'s3,s3b, s3d'!E124</f>
        <v>10980.43</v>
      </c>
      <c r="G29" s="162">
        <f t="shared" si="0"/>
        <v>10980.43</v>
      </c>
    </row>
    <row r="30" spans="1:7" x14ac:dyDescent="0.2">
      <c r="A30" s="262">
        <v>3941</v>
      </c>
      <c r="B30" s="258" t="s">
        <v>533</v>
      </c>
      <c r="C30" s="258"/>
      <c r="D30" s="151">
        <f>+'s3,s3b, s3d'!E127</f>
        <v>21702.2</v>
      </c>
      <c r="G30" s="162">
        <f t="shared" si="0"/>
        <v>21702.2</v>
      </c>
    </row>
    <row r="31" spans="1:7" x14ac:dyDescent="0.2">
      <c r="A31" s="262">
        <v>3942</v>
      </c>
      <c r="B31" s="258" t="s">
        <v>534</v>
      </c>
      <c r="C31" s="258"/>
      <c r="D31" s="151">
        <f>+'s3,s3b, s3d'!E128</f>
        <v>227423.21</v>
      </c>
      <c r="G31" s="162">
        <f t="shared" si="0"/>
        <v>227423.21</v>
      </c>
    </row>
    <row r="32" spans="1:7" x14ac:dyDescent="0.2">
      <c r="A32" s="262">
        <v>3943</v>
      </c>
      <c r="B32" s="258" t="s">
        <v>535</v>
      </c>
      <c r="C32" s="258"/>
      <c r="D32" s="151">
        <f>+'s3,s3b, s3d'!E129</f>
        <v>433334.87</v>
      </c>
      <c r="G32" s="162">
        <f t="shared" si="0"/>
        <v>433334.87</v>
      </c>
    </row>
    <row r="33" spans="1:7" x14ac:dyDescent="0.2">
      <c r="A33" s="262">
        <v>3944</v>
      </c>
      <c r="B33" s="258" t="s">
        <v>536</v>
      </c>
      <c r="C33" s="258"/>
      <c r="D33" s="151">
        <f>+'s3,s3b, s3d'!E130</f>
        <v>12178.57</v>
      </c>
      <c r="G33" s="162">
        <f t="shared" si="0"/>
        <v>12178.57</v>
      </c>
    </row>
    <row r="34" spans="1:7" x14ac:dyDescent="0.2">
      <c r="A34" s="262">
        <v>3945</v>
      </c>
      <c r="B34" s="258" t="s">
        <v>537</v>
      </c>
      <c r="C34" s="258"/>
      <c r="D34" s="151">
        <f>+'s3,s3b, s3d'!E131</f>
        <v>113188.84</v>
      </c>
      <c r="G34" s="162">
        <f t="shared" si="0"/>
        <v>113188.84</v>
      </c>
    </row>
    <row r="35" spans="1:7" x14ac:dyDescent="0.2">
      <c r="A35" s="262">
        <v>3946</v>
      </c>
      <c r="B35" s="258" t="s">
        <v>538</v>
      </c>
      <c r="C35" s="258"/>
      <c r="D35" s="151">
        <f>+'s3,s3b, s3d'!E135</f>
        <v>3348.31</v>
      </c>
      <c r="G35" s="162">
        <f t="shared" si="0"/>
        <v>3348.31</v>
      </c>
    </row>
    <row r="36" spans="1:7" x14ac:dyDescent="0.2">
      <c r="A36" s="262">
        <v>3947</v>
      </c>
      <c r="B36" s="258" t="s">
        <v>539</v>
      </c>
      <c r="C36" s="258"/>
      <c r="D36" s="151">
        <f>+'s3,s3b, s3d'!E136</f>
        <v>34532.01</v>
      </c>
      <c r="G36" s="162">
        <f t="shared" si="0"/>
        <v>34532.01</v>
      </c>
    </row>
    <row r="37" spans="1:7" x14ac:dyDescent="0.2">
      <c r="A37" s="262">
        <v>3948</v>
      </c>
      <c r="B37" s="258" t="s">
        <v>540</v>
      </c>
      <c r="C37" s="258"/>
      <c r="D37" s="151">
        <f>+'s3,s3b, s3d'!E137</f>
        <v>2786.76</v>
      </c>
      <c r="G37" s="162">
        <f t="shared" si="0"/>
        <v>2786.76</v>
      </c>
    </row>
    <row r="38" spans="1:7" x14ac:dyDescent="0.2">
      <c r="A38" s="262">
        <v>3949</v>
      </c>
      <c r="B38" s="258" t="s">
        <v>541</v>
      </c>
      <c r="C38" s="258"/>
      <c r="D38" s="151">
        <f>+'s3,s3b, s3d'!E138</f>
        <v>7881.9</v>
      </c>
      <c r="G38" s="162">
        <f t="shared" si="0"/>
        <v>7881.9</v>
      </c>
    </row>
    <row r="39" spans="1:7" x14ac:dyDescent="0.2">
      <c r="A39" s="262">
        <v>3950</v>
      </c>
      <c r="B39" s="258" t="s">
        <v>542</v>
      </c>
      <c r="C39" s="258"/>
      <c r="D39" s="151">
        <f>+'s3,s3b, s3d'!E143</f>
        <v>17845.78</v>
      </c>
      <c r="G39" s="162">
        <f t="shared" si="0"/>
        <v>17845.78</v>
      </c>
    </row>
    <row r="40" spans="1:7" x14ac:dyDescent="0.2">
      <c r="A40" s="262">
        <v>3951</v>
      </c>
      <c r="B40" s="258" t="s">
        <v>543</v>
      </c>
      <c r="C40" s="258"/>
      <c r="D40" s="151">
        <f>+'s3,s3b, s3d'!E146</f>
        <v>56.07</v>
      </c>
      <c r="G40" s="162">
        <f t="shared" si="0"/>
        <v>56.07</v>
      </c>
    </row>
    <row r="41" spans="1:7" x14ac:dyDescent="0.2">
      <c r="A41" s="262">
        <v>3952</v>
      </c>
      <c r="B41" s="258" t="s">
        <v>544</v>
      </c>
      <c r="C41" s="258"/>
      <c r="D41" s="151">
        <f>+'s3,s3b, s3d'!E149</f>
        <v>6887.35</v>
      </c>
      <c r="G41" s="162">
        <f t="shared" si="0"/>
        <v>6887.35</v>
      </c>
    </row>
    <row r="42" spans="1:7" x14ac:dyDescent="0.2">
      <c r="A42" s="262">
        <v>3953</v>
      </c>
      <c r="B42" s="258" t="s">
        <v>545</v>
      </c>
      <c r="C42" s="258"/>
      <c r="D42" s="151">
        <f>+'s3,s3b, s3d'!E153</f>
        <v>16755.21</v>
      </c>
      <c r="G42" s="162">
        <f t="shared" si="0"/>
        <v>16755.21</v>
      </c>
    </row>
    <row r="43" spans="1:7" x14ac:dyDescent="0.2">
      <c r="A43" s="262">
        <v>3954</v>
      </c>
      <c r="B43" s="258" t="s">
        <v>546</v>
      </c>
      <c r="C43" s="258"/>
      <c r="D43" s="151">
        <f>+'s3,s3b, s3d'!E152</f>
        <v>3133.47</v>
      </c>
      <c r="G43" s="162">
        <f t="shared" si="0"/>
        <v>3133.47</v>
      </c>
    </row>
    <row r="44" spans="1:7" x14ac:dyDescent="0.2">
      <c r="A44" s="262">
        <v>3955</v>
      </c>
      <c r="B44" s="258" t="s">
        <v>547</v>
      </c>
      <c r="C44" s="258"/>
      <c r="D44" s="151">
        <f>+'s3,s3b, s3d'!E157</f>
        <v>22124.95</v>
      </c>
      <c r="G44" s="162">
        <f t="shared" si="0"/>
        <v>22124.95</v>
      </c>
    </row>
    <row r="45" spans="1:7" x14ac:dyDescent="0.2">
      <c r="A45" s="262">
        <v>3956</v>
      </c>
      <c r="B45" s="258" t="s">
        <v>583</v>
      </c>
      <c r="C45" s="258"/>
      <c r="D45" s="151">
        <f>+'s3,s3b, s3d'!E158</f>
        <v>3805.93</v>
      </c>
      <c r="G45" s="162">
        <f t="shared" si="0"/>
        <v>3805.93</v>
      </c>
    </row>
    <row r="46" spans="1:7" x14ac:dyDescent="0.2">
      <c r="A46" s="262">
        <v>3957</v>
      </c>
      <c r="B46" s="258" t="s">
        <v>548</v>
      </c>
      <c r="C46" s="258"/>
      <c r="D46" s="151">
        <f>+'s3,s3b, s3d'!E159</f>
        <v>926.64</v>
      </c>
      <c r="G46" s="162">
        <f t="shared" si="0"/>
        <v>926.64</v>
      </c>
    </row>
    <row r="47" spans="1:7" x14ac:dyDescent="0.2">
      <c r="A47" s="262">
        <v>3958</v>
      </c>
      <c r="B47" s="258" t="s">
        <v>549</v>
      </c>
      <c r="C47" s="258"/>
      <c r="D47" s="151">
        <f>+'s3,s3b, s3d'!E162</f>
        <v>6961.12</v>
      </c>
      <c r="G47" s="162">
        <f t="shared" si="0"/>
        <v>6961.12</v>
      </c>
    </row>
    <row r="48" spans="1:7" x14ac:dyDescent="0.2">
      <c r="A48" s="262">
        <v>3959</v>
      </c>
      <c r="B48" s="258" t="s">
        <v>550</v>
      </c>
      <c r="C48" s="258"/>
      <c r="D48" s="151">
        <f>+'s3,s3b, s3d'!E166</f>
        <v>208028.61</v>
      </c>
      <c r="G48" s="162">
        <f t="shared" si="0"/>
        <v>208028.61</v>
      </c>
    </row>
    <row r="49" spans="1:7" x14ac:dyDescent="0.2">
      <c r="A49" s="262">
        <v>3960</v>
      </c>
      <c r="B49" s="258" t="s">
        <v>551</v>
      </c>
      <c r="C49" s="258"/>
      <c r="D49" s="151">
        <f>+'s3,s3b, s3d'!E167</f>
        <v>74738.42</v>
      </c>
      <c r="G49" s="162">
        <f t="shared" si="0"/>
        <v>74738.42</v>
      </c>
    </row>
    <row r="50" spans="1:7" x14ac:dyDescent="0.2">
      <c r="A50" s="262">
        <v>3961</v>
      </c>
      <c r="B50" s="258" t="s">
        <v>552</v>
      </c>
      <c r="C50" s="258"/>
      <c r="D50" s="151">
        <f>+'s3,s3b, s3d'!E170</f>
        <v>14332.09</v>
      </c>
      <c r="G50" s="162">
        <f t="shared" si="0"/>
        <v>14332.09</v>
      </c>
    </row>
    <row r="51" spans="1:7" x14ac:dyDescent="0.2">
      <c r="A51" s="260">
        <v>3926</v>
      </c>
      <c r="B51" s="261" t="s">
        <v>555</v>
      </c>
      <c r="C51" s="261"/>
      <c r="D51" s="151">
        <f>-SUM(D11:D50)</f>
        <v>-4679138.8499999996</v>
      </c>
      <c r="G51" s="162">
        <f t="shared" si="0"/>
        <v>-4679138.8499999996</v>
      </c>
    </row>
    <row r="52" spans="1:7" x14ac:dyDescent="0.2">
      <c r="A52" s="282">
        <v>3999</v>
      </c>
      <c r="B52" s="282" t="s">
        <v>582</v>
      </c>
      <c r="C52" s="282"/>
      <c r="D52" s="283"/>
      <c r="E52" s="284">
        <f>-SUM(E6:E28)</f>
        <v>173510.45</v>
      </c>
      <c r="F52" s="277"/>
      <c r="G52" s="162">
        <f t="shared" si="0"/>
        <v>173510.45</v>
      </c>
    </row>
    <row r="53" spans="1:7" x14ac:dyDescent="0.2">
      <c r="A53" s="257">
        <v>3923</v>
      </c>
      <c r="B53" s="257" t="s">
        <v>527</v>
      </c>
      <c r="C53" s="257"/>
      <c r="F53" s="151">
        <f>-SUM(F6:F28)</f>
        <v>54402.51</v>
      </c>
      <c r="G53" s="162">
        <f>+F53</f>
        <v>54402.51</v>
      </c>
    </row>
    <row r="54" spans="1:7" x14ac:dyDescent="0.2">
      <c r="C54" s="151">
        <f>SUM(C4:C53)</f>
        <v>0</v>
      </c>
      <c r="D54" s="151">
        <f>SUM(D4:D53)</f>
        <v>0</v>
      </c>
      <c r="E54" s="151">
        <f>SUM(E4:E53)</f>
        <v>0</v>
      </c>
      <c r="F54" s="151">
        <f>SUM(F4:F53)</f>
        <v>0</v>
      </c>
      <c r="G54" s="151">
        <f>+C54+D54+E54+F54</f>
        <v>0</v>
      </c>
    </row>
    <row r="55" spans="1:7" ht="13.5" thickBot="1" x14ac:dyDescent="0.25">
      <c r="F55" t="s">
        <v>584</v>
      </c>
      <c r="G55" s="285">
        <f>SUM(G4:G53)</f>
        <v>0</v>
      </c>
    </row>
    <row r="56" spans="1:7" ht="13.5" thickTop="1" x14ac:dyDescent="0.2"/>
    <row r="57" spans="1:7" x14ac:dyDescent="0.2">
      <c r="A57" s="258"/>
      <c r="B57" s="258"/>
      <c r="C57" s="258"/>
    </row>
    <row r="58" spans="1:7" x14ac:dyDescent="0.2">
      <c r="A58" s="258"/>
      <c r="B58" s="258"/>
      <c r="C58" s="258"/>
    </row>
    <row r="60" spans="1:7" x14ac:dyDescent="0.2">
      <c r="A60" s="257"/>
      <c r="B60" s="257"/>
      <c r="C60" s="257"/>
    </row>
    <row r="61" spans="1:7" x14ac:dyDescent="0.2">
      <c r="A61" s="257"/>
      <c r="B61" s="257"/>
      <c r="C61" s="257"/>
    </row>
    <row r="62" spans="1:7" x14ac:dyDescent="0.2">
      <c r="A62" s="257"/>
      <c r="B62" s="257"/>
      <c r="C62" s="257"/>
    </row>
    <row r="63" spans="1:7" x14ac:dyDescent="0.2">
      <c r="A63" s="257"/>
      <c r="B63" s="257"/>
      <c r="C63" s="257"/>
    </row>
    <row r="64" spans="1:7" x14ac:dyDescent="0.2">
      <c r="A64" s="257"/>
      <c r="B64" s="257"/>
      <c r="C64" s="257"/>
    </row>
    <row r="65" spans="1:3" x14ac:dyDescent="0.2">
      <c r="A65" s="257"/>
      <c r="B65" s="257"/>
      <c r="C65" s="257"/>
    </row>
    <row r="66" spans="1:3" x14ac:dyDescent="0.2">
      <c r="A66" s="257"/>
      <c r="B66" s="257"/>
      <c r="C66" s="257"/>
    </row>
    <row r="67" spans="1:3" x14ac:dyDescent="0.2">
      <c r="A67" s="257"/>
      <c r="B67" s="257"/>
      <c r="C67" s="257"/>
    </row>
    <row r="68" spans="1:3" x14ac:dyDescent="0.2">
      <c r="A68" s="257"/>
      <c r="B68" s="257"/>
      <c r="C68" s="257"/>
    </row>
    <row r="69" spans="1:3" x14ac:dyDescent="0.2">
      <c r="A69" s="257"/>
      <c r="B69" s="257"/>
      <c r="C69" s="257"/>
    </row>
    <row r="70" spans="1:3" x14ac:dyDescent="0.2">
      <c r="A70" s="257"/>
      <c r="B70" s="257"/>
      <c r="C70" s="257"/>
    </row>
    <row r="71" spans="1:3" x14ac:dyDescent="0.2">
      <c r="A71" s="257"/>
      <c r="B71" s="257"/>
      <c r="C71" s="257"/>
    </row>
    <row r="72" spans="1:3" x14ac:dyDescent="0.2">
      <c r="A72" s="257"/>
      <c r="B72" s="257"/>
      <c r="C72" s="257"/>
    </row>
    <row r="73" spans="1:3" x14ac:dyDescent="0.2">
      <c r="A73" s="257"/>
      <c r="B73" s="257"/>
      <c r="C73" s="257"/>
    </row>
    <row r="74" spans="1:3" x14ac:dyDescent="0.2">
      <c r="A74" s="257"/>
      <c r="B74" s="257"/>
      <c r="C74" s="257"/>
    </row>
    <row r="75" spans="1:3" x14ac:dyDescent="0.2">
      <c r="A75" s="257"/>
      <c r="B75" s="257"/>
      <c r="C75" s="257"/>
    </row>
    <row r="76" spans="1:3" x14ac:dyDescent="0.2">
      <c r="A76" s="257"/>
      <c r="B76" s="257"/>
      <c r="C76" s="257"/>
    </row>
    <row r="81" spans="2:3" x14ac:dyDescent="0.2">
      <c r="B81" s="258"/>
      <c r="C81" s="258"/>
    </row>
  </sheetData>
  <phoneticPr fontId="0" type="noConversion"/>
  <pageMargins left="0" right="0" top="0" bottom="0" header="0.25" footer="0.2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9"/>
  <sheetViews>
    <sheetView workbookViewId="0">
      <selection activeCell="A4" sqref="A4"/>
    </sheetView>
  </sheetViews>
  <sheetFormatPr defaultRowHeight="12.75" x14ac:dyDescent="0.2"/>
  <cols>
    <col min="1" max="1" width="3.5703125" customWidth="1"/>
    <col min="2" max="2" width="8.7109375" customWidth="1"/>
    <col min="3" max="3" width="33.28515625" customWidth="1"/>
    <col min="4" max="4" width="15.28515625" hidden="1" customWidth="1"/>
    <col min="5" max="5" width="3.7109375" customWidth="1"/>
    <col min="7" max="7" width="35.28515625" customWidth="1"/>
    <col min="8" max="8" width="14" hidden="1" customWidth="1"/>
  </cols>
  <sheetData>
    <row r="1" spans="1:8" ht="15.75" x14ac:dyDescent="0.25">
      <c r="A1" s="63" t="s">
        <v>0</v>
      </c>
      <c r="C1" s="1"/>
      <c r="D1" s="1"/>
      <c r="E1" s="1"/>
    </row>
    <row r="2" spans="1:8" ht="15.75" x14ac:dyDescent="0.25">
      <c r="A2" s="116" t="str">
        <f>ReportMonth</f>
        <v>JUNE 2004</v>
      </c>
      <c r="C2" s="1"/>
      <c r="D2" s="1"/>
      <c r="E2" s="1"/>
    </row>
    <row r="3" spans="1:8" ht="15.75" x14ac:dyDescent="0.25">
      <c r="A3" s="95" t="s">
        <v>80</v>
      </c>
      <c r="B3" s="43"/>
      <c r="C3" s="42"/>
      <c r="D3" s="42"/>
      <c r="E3" s="42"/>
      <c r="F3" s="43"/>
      <c r="G3" s="43"/>
    </row>
    <row r="4" spans="1:8" ht="9" customHeight="1" thickBot="1" x14ac:dyDescent="0.25">
      <c r="A4" s="1"/>
      <c r="B4" s="104"/>
      <c r="C4" s="105"/>
      <c r="D4" s="105"/>
      <c r="E4" s="105"/>
      <c r="F4" s="250"/>
      <c r="G4" s="251"/>
    </row>
    <row r="5" spans="1:8" ht="19.5" customHeight="1" x14ac:dyDescent="0.2">
      <c r="A5" s="103"/>
      <c r="B5" s="43"/>
      <c r="C5" s="42" t="s">
        <v>507</v>
      </c>
      <c r="D5" s="42"/>
      <c r="E5" s="42"/>
      <c r="F5" s="43"/>
      <c r="G5" s="43"/>
    </row>
    <row r="6" spans="1:8" ht="9" customHeight="1" x14ac:dyDescent="0.2">
      <c r="A6" s="102"/>
      <c r="B6" s="43"/>
      <c r="C6" s="42"/>
      <c r="D6" s="1"/>
      <c r="E6" s="1"/>
    </row>
    <row r="7" spans="1:8" ht="12.75" customHeight="1" x14ac:dyDescent="0.2"/>
    <row r="8" spans="1:8" ht="12.75" customHeight="1" x14ac:dyDescent="0.2">
      <c r="A8" s="29"/>
      <c r="B8" s="254">
        <v>14527</v>
      </c>
      <c r="C8" s="20" t="s">
        <v>465</v>
      </c>
      <c r="D8" s="252"/>
      <c r="E8" s="6"/>
      <c r="F8" s="254">
        <v>14321</v>
      </c>
      <c r="G8" s="20" t="s">
        <v>473</v>
      </c>
    </row>
    <row r="9" spans="1:8" x14ac:dyDescent="0.2">
      <c r="A9" s="6" t="s">
        <v>504</v>
      </c>
      <c r="B9" s="254">
        <v>13420</v>
      </c>
      <c r="C9" s="20" t="s">
        <v>467</v>
      </c>
      <c r="D9" s="20"/>
      <c r="E9" s="6"/>
      <c r="F9" s="391">
        <v>14814</v>
      </c>
      <c r="G9" s="249" t="s">
        <v>488</v>
      </c>
    </row>
    <row r="10" spans="1:8" x14ac:dyDescent="0.2">
      <c r="A10" s="6"/>
      <c r="B10" s="254">
        <v>14919</v>
      </c>
      <c r="C10" s="20" t="s">
        <v>586</v>
      </c>
      <c r="D10" s="20"/>
      <c r="E10" s="6"/>
      <c r="F10" s="392">
        <v>13474</v>
      </c>
      <c r="G10" s="253" t="s">
        <v>629</v>
      </c>
    </row>
    <row r="11" spans="1:8" x14ac:dyDescent="0.2">
      <c r="A11" s="6"/>
      <c r="B11" s="254">
        <v>14858</v>
      </c>
      <c r="C11" s="20" t="s">
        <v>468</v>
      </c>
      <c r="D11" s="20"/>
      <c r="E11" s="254"/>
      <c r="F11" s="391">
        <v>14828</v>
      </c>
      <c r="G11" s="249" t="s">
        <v>477</v>
      </c>
      <c r="H11" t="s">
        <v>466</v>
      </c>
    </row>
    <row r="12" spans="1:8" x14ac:dyDescent="0.2">
      <c r="A12" s="6" t="s">
        <v>504</v>
      </c>
      <c r="B12" s="254">
        <v>14542</v>
      </c>
      <c r="C12" s="20" t="s">
        <v>469</v>
      </c>
      <c r="D12" s="20"/>
      <c r="E12" s="254" t="s">
        <v>504</v>
      </c>
      <c r="F12" s="391">
        <v>14829</v>
      </c>
      <c r="G12" s="249" t="s">
        <v>478</v>
      </c>
    </row>
    <row r="13" spans="1:8" x14ac:dyDescent="0.2">
      <c r="A13" s="6" t="s">
        <v>504</v>
      </c>
      <c r="B13" s="254">
        <v>13428</v>
      </c>
      <c r="C13" s="20" t="s">
        <v>470</v>
      </c>
      <c r="D13" s="20"/>
      <c r="E13" s="254"/>
      <c r="F13" s="392">
        <v>14830</v>
      </c>
      <c r="G13" s="253" t="s">
        <v>588</v>
      </c>
    </row>
    <row r="14" spans="1:8" x14ac:dyDescent="0.2">
      <c r="A14" s="6"/>
      <c r="B14" s="254">
        <v>15103</v>
      </c>
      <c r="C14" s="20" t="s">
        <v>739</v>
      </c>
      <c r="D14" s="20"/>
      <c r="E14" s="254"/>
      <c r="F14" s="392">
        <v>14831</v>
      </c>
      <c r="G14" s="253" t="s">
        <v>505</v>
      </c>
    </row>
    <row r="15" spans="1:8" x14ac:dyDescent="0.2">
      <c r="A15" s="6" t="s">
        <v>504</v>
      </c>
      <c r="B15" s="254">
        <v>14323</v>
      </c>
      <c r="C15" s="20" t="s">
        <v>350</v>
      </c>
      <c r="D15" s="20"/>
      <c r="E15" s="254"/>
      <c r="F15" s="392">
        <v>14873</v>
      </c>
      <c r="G15" s="253" t="s">
        <v>585</v>
      </c>
    </row>
    <row r="16" spans="1:8" x14ac:dyDescent="0.2">
      <c r="A16" s="6"/>
      <c r="B16" s="254">
        <v>14887</v>
      </c>
      <c r="C16" s="20" t="s">
        <v>767</v>
      </c>
      <c r="D16" s="20"/>
      <c r="E16" s="254"/>
      <c r="F16" s="391">
        <v>14835</v>
      </c>
      <c r="G16" s="249" t="s">
        <v>479</v>
      </c>
    </row>
    <row r="17" spans="1:8" x14ac:dyDescent="0.2">
      <c r="A17" s="6"/>
      <c r="B17" s="254">
        <v>14553</v>
      </c>
      <c r="C17" s="20" t="s">
        <v>768</v>
      </c>
      <c r="D17" s="20"/>
      <c r="E17" s="254" t="s">
        <v>504</v>
      </c>
      <c r="F17" s="391">
        <v>14838</v>
      </c>
      <c r="G17" s="249" t="s">
        <v>480</v>
      </c>
    </row>
    <row r="18" spans="1:8" x14ac:dyDescent="0.2">
      <c r="A18" s="6"/>
      <c r="B18" s="254">
        <v>13882</v>
      </c>
      <c r="C18" s="20" t="s">
        <v>501</v>
      </c>
      <c r="D18" s="20"/>
      <c r="E18" s="254"/>
      <c r="F18" s="391">
        <v>14839</v>
      </c>
      <c r="G18" s="253" t="s">
        <v>481</v>
      </c>
      <c r="H18" t="s">
        <v>466</v>
      </c>
    </row>
    <row r="19" spans="1:8" x14ac:dyDescent="0.2">
      <c r="A19" s="6" t="s">
        <v>504</v>
      </c>
      <c r="B19" s="254">
        <v>13442</v>
      </c>
      <c r="C19" s="20" t="s">
        <v>626</v>
      </c>
      <c r="D19" s="20"/>
      <c r="E19" s="254"/>
      <c r="F19" s="391">
        <v>14882</v>
      </c>
      <c r="G19" s="249" t="s">
        <v>630</v>
      </c>
    </row>
    <row r="20" spans="1:8" x14ac:dyDescent="0.2">
      <c r="A20" s="6" t="s">
        <v>504</v>
      </c>
      <c r="B20" s="254">
        <v>13441</v>
      </c>
      <c r="C20" s="20" t="s">
        <v>627</v>
      </c>
      <c r="D20" s="20"/>
      <c r="E20" s="254" t="s">
        <v>504</v>
      </c>
      <c r="F20" s="391">
        <v>14847</v>
      </c>
      <c r="G20" s="249" t="s">
        <v>482</v>
      </c>
    </row>
    <row r="21" spans="1:8" x14ac:dyDescent="0.2">
      <c r="A21" s="6"/>
      <c r="B21" s="254">
        <v>13447</v>
      </c>
      <c r="C21" s="20" t="s">
        <v>628</v>
      </c>
      <c r="D21" s="20"/>
      <c r="E21" s="254"/>
      <c r="F21" s="391">
        <v>14849</v>
      </c>
      <c r="G21" s="253" t="s">
        <v>483</v>
      </c>
    </row>
    <row r="22" spans="1:8" x14ac:dyDescent="0.2">
      <c r="A22" s="6"/>
      <c r="B22" s="254">
        <v>14884</v>
      </c>
      <c r="C22" s="20" t="s">
        <v>769</v>
      </c>
      <c r="D22" s="20"/>
      <c r="E22" s="254"/>
      <c r="F22" s="392">
        <v>14850</v>
      </c>
      <c r="G22" s="253" t="s">
        <v>506</v>
      </c>
    </row>
    <row r="23" spans="1:8" x14ac:dyDescent="0.2">
      <c r="A23" s="6"/>
      <c r="B23" s="254">
        <v>14561</v>
      </c>
      <c r="C23" s="20" t="s">
        <v>770</v>
      </c>
      <c r="D23" s="20"/>
      <c r="E23" s="254" t="s">
        <v>504</v>
      </c>
      <c r="F23" s="391">
        <v>14080</v>
      </c>
      <c r="G23" s="253" t="s">
        <v>484</v>
      </c>
    </row>
    <row r="24" spans="1:8" x14ac:dyDescent="0.2">
      <c r="A24" s="6" t="s">
        <v>504</v>
      </c>
      <c r="B24" s="254">
        <v>14868</v>
      </c>
      <c r="C24" s="20" t="s">
        <v>572</v>
      </c>
      <c r="D24" s="20"/>
      <c r="E24" s="254" t="s">
        <v>504</v>
      </c>
      <c r="F24" s="392">
        <v>14865</v>
      </c>
      <c r="G24" s="253" t="s">
        <v>631</v>
      </c>
      <c r="H24" t="s">
        <v>466</v>
      </c>
    </row>
    <row r="25" spans="1:8" x14ac:dyDescent="0.2">
      <c r="A25" s="6"/>
      <c r="B25" s="254">
        <v>26643</v>
      </c>
      <c r="C25" s="20" t="s">
        <v>771</v>
      </c>
      <c r="D25" s="20"/>
      <c r="E25" s="254" t="s">
        <v>504</v>
      </c>
      <c r="F25" s="392">
        <v>13480</v>
      </c>
      <c r="G25" s="253" t="s">
        <v>632</v>
      </c>
    </row>
    <row r="26" spans="1:8" x14ac:dyDescent="0.2">
      <c r="A26" s="6"/>
      <c r="B26" s="254">
        <v>14812</v>
      </c>
      <c r="C26" s="20" t="s">
        <v>587</v>
      </c>
      <c r="D26" s="20"/>
      <c r="E26" s="254"/>
      <c r="F26" s="391">
        <v>13503</v>
      </c>
      <c r="G26" s="20" t="s">
        <v>485</v>
      </c>
      <c r="H26" t="s">
        <v>466</v>
      </c>
    </row>
    <row r="27" spans="1:8" s="20" customFormat="1" x14ac:dyDescent="0.2">
      <c r="A27" s="6"/>
      <c r="B27" s="254">
        <v>14234</v>
      </c>
      <c r="C27" s="20" t="s">
        <v>471</v>
      </c>
      <c r="E27" s="29" t="s">
        <v>504</v>
      </c>
      <c r="F27" s="29">
        <v>13504</v>
      </c>
      <c r="G27" s="253" t="s">
        <v>486</v>
      </c>
    </row>
    <row r="28" spans="1:8" x14ac:dyDescent="0.2">
      <c r="A28" s="6" t="s">
        <v>504</v>
      </c>
      <c r="B28" s="254">
        <v>14245</v>
      </c>
      <c r="C28" s="20" t="s">
        <v>472</v>
      </c>
      <c r="D28" s="20"/>
      <c r="E28" s="254"/>
      <c r="F28" s="391">
        <v>14314</v>
      </c>
      <c r="G28" s="20" t="s">
        <v>487</v>
      </c>
    </row>
    <row r="29" spans="1:8" x14ac:dyDescent="0.2">
      <c r="A29" s="29"/>
      <c r="B29" s="29"/>
      <c r="D29" s="20"/>
      <c r="E29" s="254"/>
      <c r="F29" s="254"/>
    </row>
    <row r="30" spans="1:8" x14ac:dyDescent="0.2">
      <c r="A30" s="29"/>
      <c r="B30" s="29"/>
      <c r="E30" s="29"/>
      <c r="F30" s="29"/>
    </row>
    <row r="31" spans="1:8" x14ac:dyDescent="0.2">
      <c r="A31" s="29"/>
      <c r="B31" s="29"/>
      <c r="E31" s="29"/>
      <c r="F31" s="29"/>
    </row>
    <row r="32" spans="1:8" x14ac:dyDescent="0.2">
      <c r="A32" s="29"/>
      <c r="B32" s="29"/>
      <c r="E32" s="29"/>
      <c r="F32" s="29"/>
    </row>
    <row r="33" spans="1:6" x14ac:dyDescent="0.2">
      <c r="A33" s="29"/>
      <c r="B33" s="29"/>
      <c r="E33" s="29"/>
      <c r="F33" s="29"/>
    </row>
    <row r="34" spans="1:6" x14ac:dyDescent="0.2">
      <c r="A34" s="29"/>
      <c r="B34" s="29"/>
      <c r="E34" s="29"/>
    </row>
    <row r="35" spans="1:6" x14ac:dyDescent="0.2">
      <c r="A35" s="29"/>
      <c r="B35" s="29"/>
      <c r="E35" s="29"/>
    </row>
    <row r="36" spans="1:6" x14ac:dyDescent="0.2">
      <c r="A36" s="29"/>
      <c r="B36" s="29"/>
      <c r="E36" s="29"/>
    </row>
    <row r="37" spans="1:6" x14ac:dyDescent="0.2">
      <c r="A37" s="29"/>
      <c r="B37" s="29"/>
      <c r="E37" s="29"/>
    </row>
    <row r="38" spans="1:6" x14ac:dyDescent="0.2">
      <c r="A38" s="29"/>
      <c r="B38" s="29"/>
      <c r="E38" s="29"/>
    </row>
    <row r="39" spans="1:6" x14ac:dyDescent="0.2">
      <c r="A39" s="29"/>
      <c r="B39" s="29"/>
      <c r="E39" s="29"/>
    </row>
    <row r="40" spans="1:6" x14ac:dyDescent="0.2">
      <c r="A40" s="29"/>
      <c r="B40" s="29"/>
      <c r="E40" s="29"/>
    </row>
    <row r="41" spans="1:6" x14ac:dyDescent="0.2">
      <c r="A41" s="29"/>
      <c r="B41" s="29"/>
      <c r="E41" s="29"/>
    </row>
    <row r="42" spans="1:6" x14ac:dyDescent="0.2">
      <c r="A42" s="29"/>
      <c r="B42" s="29"/>
      <c r="E42" s="29"/>
    </row>
    <row r="43" spans="1:6" x14ac:dyDescent="0.2">
      <c r="A43" s="29"/>
      <c r="B43" s="29"/>
      <c r="E43" s="29"/>
    </row>
    <row r="44" spans="1:6" x14ac:dyDescent="0.2">
      <c r="A44" s="29"/>
      <c r="B44" s="29"/>
      <c r="E44" s="29"/>
    </row>
    <row r="45" spans="1:6" x14ac:dyDescent="0.2">
      <c r="A45" s="29"/>
      <c r="B45" s="29"/>
      <c r="E45" s="29"/>
    </row>
    <row r="46" spans="1:6" x14ac:dyDescent="0.2">
      <c r="A46" s="29"/>
      <c r="B46" s="29"/>
      <c r="E46" s="29"/>
    </row>
    <row r="47" spans="1:6" x14ac:dyDescent="0.2">
      <c r="A47" s="29"/>
      <c r="B47" s="29"/>
      <c r="E47" s="29"/>
    </row>
    <row r="48" spans="1:6" x14ac:dyDescent="0.2">
      <c r="A48" s="29"/>
      <c r="B48" s="29"/>
      <c r="E48" s="29"/>
    </row>
    <row r="49" spans="1:5" x14ac:dyDescent="0.2">
      <c r="A49" s="29"/>
      <c r="B49" s="29"/>
      <c r="E49" s="29"/>
    </row>
    <row r="50" spans="1:5" x14ac:dyDescent="0.2">
      <c r="A50" s="29"/>
      <c r="B50" s="29"/>
      <c r="E50" s="29"/>
    </row>
    <row r="51" spans="1:5" x14ac:dyDescent="0.2">
      <c r="A51" s="29"/>
      <c r="B51" s="29"/>
      <c r="E51" s="29"/>
    </row>
    <row r="52" spans="1:5" x14ac:dyDescent="0.2">
      <c r="A52" s="29"/>
      <c r="B52" s="29"/>
      <c r="E52" s="29"/>
    </row>
    <row r="53" spans="1:5" x14ac:dyDescent="0.2">
      <c r="A53" s="29"/>
      <c r="B53" s="29"/>
      <c r="E53" s="29"/>
    </row>
    <row r="54" spans="1:5" x14ac:dyDescent="0.2">
      <c r="A54" s="29"/>
      <c r="B54" s="29"/>
      <c r="E54" s="29"/>
    </row>
    <row r="55" spans="1:5" x14ac:dyDescent="0.2">
      <c r="A55" s="29"/>
      <c r="B55" s="29"/>
      <c r="E55" s="29"/>
    </row>
    <row r="56" spans="1:5" x14ac:dyDescent="0.2">
      <c r="A56" s="29"/>
      <c r="B56" s="29"/>
      <c r="E56" s="29"/>
    </row>
    <row r="57" spans="1:5" x14ac:dyDescent="0.2">
      <c r="A57" s="29"/>
      <c r="B57" s="29"/>
      <c r="E57" s="29"/>
    </row>
    <row r="58" spans="1:5" x14ac:dyDescent="0.2">
      <c r="A58" s="29"/>
      <c r="B58" s="29"/>
      <c r="E58" s="29"/>
    </row>
    <row r="59" spans="1:5" x14ac:dyDescent="0.2">
      <c r="A59" s="29"/>
      <c r="E59" s="29"/>
    </row>
    <row r="60" spans="1:5" x14ac:dyDescent="0.2">
      <c r="A60" s="29"/>
      <c r="E60" s="29"/>
    </row>
    <row r="61" spans="1:5" x14ac:dyDescent="0.2">
      <c r="A61" s="29"/>
      <c r="E61" s="29"/>
    </row>
    <row r="62" spans="1:5" x14ac:dyDescent="0.2">
      <c r="A62" s="29"/>
    </row>
    <row r="63" spans="1:5" x14ac:dyDescent="0.2">
      <c r="A63" s="29"/>
    </row>
    <row r="64" spans="1:5" x14ac:dyDescent="0.2">
      <c r="A64" s="29"/>
    </row>
    <row r="65" spans="1:1" x14ac:dyDescent="0.2">
      <c r="A65" s="29"/>
    </row>
    <row r="66" spans="1:1" x14ac:dyDescent="0.2">
      <c r="A66" s="29"/>
    </row>
    <row r="67" spans="1:1" x14ac:dyDescent="0.2">
      <c r="A67" s="29"/>
    </row>
    <row r="68" spans="1:1" x14ac:dyDescent="0.2">
      <c r="A68" s="29"/>
    </row>
    <row r="69" spans="1:1" x14ac:dyDescent="0.2">
      <c r="A69" s="29"/>
    </row>
    <row r="70" spans="1:1" x14ac:dyDescent="0.2">
      <c r="A70" s="29"/>
    </row>
    <row r="71" spans="1:1" x14ac:dyDescent="0.2">
      <c r="A71" s="29"/>
    </row>
    <row r="72" spans="1:1" x14ac:dyDescent="0.2">
      <c r="A72" s="29"/>
    </row>
    <row r="73" spans="1:1" x14ac:dyDescent="0.2">
      <c r="A73" s="29"/>
    </row>
    <row r="74" spans="1:1" x14ac:dyDescent="0.2">
      <c r="A74" s="29"/>
    </row>
    <row r="75" spans="1:1" x14ac:dyDescent="0.2">
      <c r="A75" s="29"/>
    </row>
    <row r="76" spans="1:1" x14ac:dyDescent="0.2">
      <c r="A76" s="29"/>
    </row>
    <row r="77" spans="1:1" x14ac:dyDescent="0.2">
      <c r="A77" s="29"/>
    </row>
    <row r="78" spans="1:1" x14ac:dyDescent="0.2">
      <c r="A78" s="29"/>
    </row>
    <row r="79" spans="1:1" x14ac:dyDescent="0.2">
      <c r="A79" s="29"/>
    </row>
    <row r="80" spans="1:1" x14ac:dyDescent="0.2">
      <c r="A80" s="29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</sheetData>
  <phoneticPr fontId="0" type="noConversion"/>
  <pageMargins left="0.75" right="0.75" top="0.53" bottom="0.56000000000000005" header="0.5" footer="0.31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75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8" sqref="A8"/>
    </sheetView>
  </sheetViews>
  <sheetFormatPr defaultRowHeight="12.75" x14ac:dyDescent="0.2"/>
  <cols>
    <col min="1" max="1" width="27.7109375" customWidth="1"/>
    <col min="2" max="2" width="13.42578125" customWidth="1"/>
    <col min="3" max="3" width="12" customWidth="1"/>
    <col min="4" max="4" width="13.85546875" customWidth="1"/>
    <col min="5" max="5" width="10.42578125" customWidth="1"/>
    <col min="6" max="6" width="11.85546875" customWidth="1"/>
    <col min="7" max="7" width="13" customWidth="1"/>
    <col min="8" max="8" width="10.85546875" customWidth="1"/>
    <col min="9" max="9" width="11.85546875" customWidth="1"/>
    <col min="10" max="11" width="9.85546875" customWidth="1"/>
    <col min="12" max="12" width="10.7109375" customWidth="1"/>
    <col min="13" max="13" width="9.7109375" customWidth="1"/>
    <col min="14" max="14" width="11.140625" customWidth="1"/>
    <col min="15" max="15" width="11.42578125" customWidth="1"/>
    <col min="16" max="16" width="10" customWidth="1"/>
    <col min="17" max="17" width="12.28515625" customWidth="1"/>
    <col min="18" max="18" width="12.7109375" customWidth="1"/>
    <col min="19" max="19" width="14.5703125" customWidth="1"/>
    <col min="20" max="20" width="13.28515625" hidden="1" customWidth="1"/>
    <col min="21" max="22" width="0" hidden="1" customWidth="1"/>
  </cols>
  <sheetData>
    <row r="1" spans="1:24" ht="15.75" x14ac:dyDescent="0.25">
      <c r="A1" s="63" t="s">
        <v>84</v>
      </c>
      <c r="B1" s="1" t="s">
        <v>85</v>
      </c>
      <c r="C1" s="1"/>
      <c r="D1" s="1"/>
      <c r="E1" s="1"/>
      <c r="F1" s="62"/>
      <c r="G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4" ht="15.75" x14ac:dyDescent="0.25">
      <c r="A2" s="116" t="str">
        <f>ReportMonth</f>
        <v>JUNE 2004</v>
      </c>
      <c r="B2" s="1"/>
      <c r="C2" s="1"/>
      <c r="D2" s="1"/>
      <c r="E2" s="1"/>
      <c r="F2" s="62"/>
      <c r="G2" s="62"/>
      <c r="I2" s="62"/>
      <c r="J2" s="62"/>
      <c r="K2" s="1"/>
      <c r="L2" s="1"/>
      <c r="M2" s="1"/>
      <c r="N2" s="1"/>
      <c r="O2" s="1"/>
      <c r="P2" s="1"/>
      <c r="Q2" s="1"/>
      <c r="R2" s="1"/>
      <c r="S2" s="10"/>
      <c r="T2" s="1"/>
    </row>
    <row r="3" spans="1:24" ht="15" x14ac:dyDescent="0.2">
      <c r="A3" s="87" t="s">
        <v>3</v>
      </c>
      <c r="B3" s="42"/>
      <c r="C3" s="42"/>
      <c r="D3" s="42"/>
      <c r="E3" s="42"/>
      <c r="F3" s="87"/>
      <c r="G3" s="87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88"/>
      <c r="T3" s="1"/>
    </row>
    <row r="4" spans="1:24" ht="15" x14ac:dyDescent="0.2">
      <c r="A4" s="87" t="s">
        <v>442</v>
      </c>
      <c r="B4" s="42"/>
      <c r="C4" s="42"/>
      <c r="D4" s="42"/>
      <c r="E4" s="42"/>
      <c r="F4" s="87"/>
      <c r="G4" s="87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88"/>
      <c r="T4" s="1"/>
    </row>
    <row r="5" spans="1:24" ht="15" x14ac:dyDescent="0.2">
      <c r="A5" s="87" t="s">
        <v>86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4" ht="29.25" customHeight="1" x14ac:dyDescent="0.25">
      <c r="A6" s="117" t="s">
        <v>87</v>
      </c>
      <c r="B6" s="43"/>
      <c r="C6" s="43"/>
      <c r="D6" s="43"/>
      <c r="E6" s="43"/>
      <c r="F6" s="43"/>
      <c r="G6" s="43"/>
      <c r="H6" s="42"/>
      <c r="I6" s="42"/>
      <c r="J6" s="42"/>
      <c r="K6" s="42"/>
      <c r="L6" s="43"/>
      <c r="M6" s="43"/>
      <c r="N6" s="42"/>
      <c r="O6" s="42"/>
      <c r="P6" s="42"/>
      <c r="Q6" s="42"/>
      <c r="R6" s="42"/>
      <c r="S6" s="42"/>
      <c r="T6" s="86"/>
      <c r="U6" s="86"/>
      <c r="V6" s="86" t="s">
        <v>81</v>
      </c>
      <c r="W6" s="85"/>
      <c r="X6" s="85"/>
    </row>
    <row r="9" spans="1:24" x14ac:dyDescent="0.2">
      <c r="A9" s="1"/>
      <c r="B9" s="6" t="s">
        <v>21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  <c r="J9" s="6" t="s">
        <v>29</v>
      </c>
      <c r="K9" s="6" t="s">
        <v>30</v>
      </c>
      <c r="L9" s="6" t="s">
        <v>31</v>
      </c>
      <c r="M9" s="6" t="s">
        <v>32</v>
      </c>
      <c r="N9" s="6" t="s">
        <v>33</v>
      </c>
      <c r="O9" s="6" t="s">
        <v>34</v>
      </c>
      <c r="P9" s="6" t="s">
        <v>35</v>
      </c>
      <c r="Q9" s="6" t="s">
        <v>36</v>
      </c>
      <c r="R9" s="6" t="s">
        <v>37</v>
      </c>
      <c r="S9" s="5" t="s">
        <v>12</v>
      </c>
      <c r="T9" s="1"/>
    </row>
    <row r="10" spans="1:24" x14ac:dyDescent="0.2">
      <c r="A10" s="109" t="s">
        <v>13</v>
      </c>
      <c r="B10" s="38" t="s">
        <v>88</v>
      </c>
      <c r="C10" s="38" t="s">
        <v>88</v>
      </c>
      <c r="D10" s="38" t="s">
        <v>88</v>
      </c>
      <c r="E10" s="38" t="s">
        <v>89</v>
      </c>
      <c r="F10" s="38" t="s">
        <v>89</v>
      </c>
      <c r="G10" s="38" t="s">
        <v>89</v>
      </c>
      <c r="H10" s="38" t="s">
        <v>89</v>
      </c>
      <c r="I10" s="38" t="s">
        <v>88</v>
      </c>
      <c r="J10" s="38" t="s">
        <v>88</v>
      </c>
      <c r="K10" s="38" t="s">
        <v>89</v>
      </c>
      <c r="L10" s="38" t="s">
        <v>88</v>
      </c>
      <c r="M10" s="38" t="s">
        <v>88</v>
      </c>
      <c r="N10" s="38" t="s">
        <v>89</v>
      </c>
      <c r="O10" s="38" t="s">
        <v>88</v>
      </c>
      <c r="P10" s="38" t="s">
        <v>89</v>
      </c>
      <c r="Q10" s="38" t="s">
        <v>88</v>
      </c>
      <c r="R10" s="38" t="s">
        <v>88</v>
      </c>
      <c r="S10" s="40" t="s">
        <v>18</v>
      </c>
      <c r="T10" s="1"/>
    </row>
    <row r="11" spans="1:24" s="89" customFormat="1" ht="12.75" customHeight="1" x14ac:dyDescent="0.2">
      <c r="A11" s="10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10"/>
    </row>
    <row r="12" spans="1:24" x14ac:dyDescent="0.2">
      <c r="A12" s="1" t="s">
        <v>736</v>
      </c>
      <c r="B12" s="2">
        <f>+'s1'!AF13</f>
        <v>0</v>
      </c>
      <c r="C12" s="2">
        <f>+'s1'!AG13</f>
        <v>0</v>
      </c>
      <c r="D12" s="2">
        <f>+'s1'!AH13</f>
        <v>324.83999999999997</v>
      </c>
      <c r="E12" s="2">
        <f>+'s1'!AI13</f>
        <v>0</v>
      </c>
      <c r="F12" s="2">
        <f>+'s1'!AJ13</f>
        <v>0</v>
      </c>
      <c r="G12" s="2">
        <f>+'s1'!AK13</f>
        <v>0</v>
      </c>
      <c r="H12" s="2">
        <f>+'s1'!AL13</f>
        <v>0</v>
      </c>
      <c r="I12" s="2">
        <f>+'s1'!AM13</f>
        <v>0</v>
      </c>
      <c r="J12" s="2">
        <f>+'s1'!AN13</f>
        <v>0</v>
      </c>
      <c r="K12" s="2">
        <f>+'s1'!AO13</f>
        <v>0</v>
      </c>
      <c r="L12" s="2">
        <f>+'s1'!AP13</f>
        <v>0</v>
      </c>
      <c r="M12" s="2">
        <f>+'s1'!AQ13</f>
        <v>0</v>
      </c>
      <c r="N12" s="2">
        <f>+'s1'!AR13</f>
        <v>0</v>
      </c>
      <c r="O12" s="2">
        <f>+'s1'!AS13</f>
        <v>0</v>
      </c>
      <c r="P12" s="2">
        <f>+'s1'!AT13</f>
        <v>0</v>
      </c>
      <c r="Q12" s="2">
        <f>+'s1'!AU13</f>
        <v>0</v>
      </c>
      <c r="R12" s="2">
        <f>+'s1'!AV13</f>
        <v>0</v>
      </c>
      <c r="S12" s="2">
        <f>SUM(B12:R12)</f>
        <v>324.83999999999997</v>
      </c>
      <c r="T12" s="2"/>
    </row>
    <row r="13" spans="1:24" x14ac:dyDescent="0.2">
      <c r="A13" s="1" t="s">
        <v>342</v>
      </c>
      <c r="B13" s="2">
        <f>+'s1'!AF14</f>
        <v>0</v>
      </c>
      <c r="C13" s="2">
        <f>+'s1'!AG14</f>
        <v>0</v>
      </c>
      <c r="D13" s="2">
        <f>+'s1'!AH14</f>
        <v>0</v>
      </c>
      <c r="E13" s="2">
        <f>+'s1'!AI14</f>
        <v>0</v>
      </c>
      <c r="F13" s="2">
        <f>+'s1'!AJ14</f>
        <v>0</v>
      </c>
      <c r="G13" s="2">
        <f>+'s1'!AK14</f>
        <v>0</v>
      </c>
      <c r="H13" s="2">
        <f>+'s1'!AL14</f>
        <v>0</v>
      </c>
      <c r="I13" s="2">
        <f>+'s1'!AM14</f>
        <v>0</v>
      </c>
      <c r="J13" s="2">
        <f>+'s1'!AN14</f>
        <v>2708.89</v>
      </c>
      <c r="K13" s="2">
        <f>+'s1'!AO14</f>
        <v>0</v>
      </c>
      <c r="L13" s="2">
        <f>+'s1'!AP14</f>
        <v>0</v>
      </c>
      <c r="M13" s="2">
        <f>+'s1'!AQ14</f>
        <v>0</v>
      </c>
      <c r="N13" s="2">
        <f>+'s1'!AR14</f>
        <v>0</v>
      </c>
      <c r="O13" s="2">
        <f>+'s1'!AS14</f>
        <v>0</v>
      </c>
      <c r="P13" s="2">
        <f>+'s1'!AT14</f>
        <v>0</v>
      </c>
      <c r="Q13" s="2">
        <f>+'s1'!AU14</f>
        <v>0</v>
      </c>
      <c r="R13" s="2">
        <f>+'s1'!AV14</f>
        <v>0</v>
      </c>
      <c r="S13" s="2">
        <f t="shared" ref="S13:S89" si="0">SUM(B13:R13)</f>
        <v>2708.89</v>
      </c>
      <c r="T13" s="2"/>
    </row>
    <row r="14" spans="1:24" x14ac:dyDescent="0.2">
      <c r="A14" s="1" t="s">
        <v>740</v>
      </c>
      <c r="B14" s="2">
        <f>+'s1'!AF15</f>
        <v>0</v>
      </c>
      <c r="C14" s="2">
        <f>+'s1'!AG15</f>
        <v>0</v>
      </c>
      <c r="D14" s="2">
        <f>+'s1'!AH15</f>
        <v>0</v>
      </c>
      <c r="E14" s="2">
        <f>+'s1'!AI15</f>
        <v>0</v>
      </c>
      <c r="F14" s="2">
        <f>+'s1'!AJ15</f>
        <v>0</v>
      </c>
      <c r="G14" s="2">
        <f>+'s1'!AK15</f>
        <v>0</v>
      </c>
      <c r="H14" s="2">
        <f>+'s1'!AL15</f>
        <v>0</v>
      </c>
      <c r="I14" s="2">
        <f>+'s1'!AM15</f>
        <v>0</v>
      </c>
      <c r="J14" s="2">
        <f>+'s1'!AN15+1190.8</f>
        <v>1190.8</v>
      </c>
      <c r="K14" s="2">
        <f>+'s1'!AO15</f>
        <v>0</v>
      </c>
      <c r="L14" s="2">
        <f>+'s1'!AP15</f>
        <v>0</v>
      </c>
      <c r="M14" s="2">
        <f>+'s1'!AQ15</f>
        <v>0</v>
      </c>
      <c r="N14" s="2">
        <f>+'s1'!AR15</f>
        <v>0</v>
      </c>
      <c r="O14" s="2">
        <f>+'s1'!AS15</f>
        <v>0</v>
      </c>
      <c r="P14" s="2">
        <f>+'s1'!AT15</f>
        <v>0</v>
      </c>
      <c r="Q14" s="2">
        <f>+'s1'!AU15</f>
        <v>0</v>
      </c>
      <c r="R14" s="2">
        <f>+'s1'!AV15</f>
        <v>0</v>
      </c>
      <c r="S14" s="2">
        <f t="shared" si="0"/>
        <v>1190.8</v>
      </c>
      <c r="T14" s="2"/>
    </row>
    <row r="15" spans="1:24" x14ac:dyDescent="0.2">
      <c r="A15" s="1" t="s">
        <v>741</v>
      </c>
      <c r="B15" s="2">
        <f>+'s1'!AF16</f>
        <v>0</v>
      </c>
      <c r="C15" s="2">
        <f>+'s1'!AG16</f>
        <v>0</v>
      </c>
      <c r="D15" s="2">
        <f>+'s1'!AH16</f>
        <v>0</v>
      </c>
      <c r="E15" s="2">
        <f>+'s1'!AI16</f>
        <v>0</v>
      </c>
      <c r="F15" s="2">
        <f>+'s1'!AJ16</f>
        <v>0</v>
      </c>
      <c r="G15" s="2">
        <f>+'s1'!AK16</f>
        <v>0</v>
      </c>
      <c r="H15" s="2">
        <f>+'s1'!AL16</f>
        <v>0</v>
      </c>
      <c r="I15" s="2">
        <f>+'s1'!AM16</f>
        <v>0</v>
      </c>
      <c r="J15" s="2">
        <f>+'s1'!AN16+1245.9</f>
        <v>1245.9000000000001</v>
      </c>
      <c r="K15" s="2">
        <f>+'s1'!AO16</f>
        <v>0</v>
      </c>
      <c r="L15" s="2">
        <f>+'s1'!AP16</f>
        <v>0</v>
      </c>
      <c r="M15" s="2">
        <f>+'s1'!AQ16</f>
        <v>0</v>
      </c>
      <c r="N15" s="2">
        <f>+'s1'!AR16</f>
        <v>0</v>
      </c>
      <c r="O15" s="2">
        <f>+'s1'!AS16</f>
        <v>0</v>
      </c>
      <c r="P15" s="2">
        <f>+'s1'!AT16</f>
        <v>0</v>
      </c>
      <c r="Q15" s="2">
        <f>+'s1'!AU16</f>
        <v>0</v>
      </c>
      <c r="R15" s="2">
        <f>+'s1'!AV16</f>
        <v>0</v>
      </c>
      <c r="S15" s="2">
        <f t="shared" si="0"/>
        <v>1245.9000000000001</v>
      </c>
      <c r="T15" s="2"/>
    </row>
    <row r="16" spans="1:24" x14ac:dyDescent="0.2">
      <c r="A16" s="7" t="s">
        <v>38</v>
      </c>
      <c r="B16" s="2">
        <f>+'s1'!AF17</f>
        <v>0</v>
      </c>
      <c r="C16" s="2">
        <f>+'s1'!AG17</f>
        <v>0</v>
      </c>
      <c r="D16" s="2">
        <f>+'s1'!AH17</f>
        <v>14.55</v>
      </c>
      <c r="E16" s="2">
        <f>+'s1'!AI17</f>
        <v>0</v>
      </c>
      <c r="F16" s="2">
        <f>+'s1'!AJ17</f>
        <v>0</v>
      </c>
      <c r="G16" s="2">
        <f>+'s1'!AK17</f>
        <v>0</v>
      </c>
      <c r="H16" s="2">
        <f>+'s1'!AL17</f>
        <v>0</v>
      </c>
      <c r="I16" s="2">
        <f>+'s1'!AM17</f>
        <v>0</v>
      </c>
      <c r="J16" s="2">
        <f>+'s1'!AN17</f>
        <v>0</v>
      </c>
      <c r="K16" s="2">
        <f>+'s1'!AO17</f>
        <v>0</v>
      </c>
      <c r="L16" s="2">
        <f>+'s1'!AP17</f>
        <v>0</v>
      </c>
      <c r="M16" s="2">
        <f>+'s1'!AQ17</f>
        <v>0</v>
      </c>
      <c r="N16" s="2">
        <f>+'s1'!AR17</f>
        <v>0</v>
      </c>
      <c r="O16" s="2">
        <f>+'s1'!AS17</f>
        <v>0</v>
      </c>
      <c r="P16" s="2">
        <f>+'s1'!AT17</f>
        <v>0</v>
      </c>
      <c r="Q16" s="2">
        <f>+'s1'!AU17</f>
        <v>0</v>
      </c>
      <c r="R16" s="2">
        <f>+'s1'!AV17</f>
        <v>0</v>
      </c>
      <c r="S16" s="2">
        <f t="shared" si="0"/>
        <v>14.55</v>
      </c>
      <c r="T16" s="2"/>
    </row>
    <row r="17" spans="1:20" x14ac:dyDescent="0.2">
      <c r="A17" s="18" t="s">
        <v>610</v>
      </c>
      <c r="B17" s="2">
        <f>+'s1'!AF18</f>
        <v>0</v>
      </c>
      <c r="C17" s="2">
        <f>+'s1'!AG18</f>
        <v>0</v>
      </c>
      <c r="D17" s="2">
        <f>+'s1'!AH18</f>
        <v>0</v>
      </c>
      <c r="E17" s="2">
        <f>+'s1'!AI18</f>
        <v>0</v>
      </c>
      <c r="F17" s="2">
        <f>+'s1'!AJ18</f>
        <v>0</v>
      </c>
      <c r="G17" s="2">
        <f>+'s1'!AK18</f>
        <v>0</v>
      </c>
      <c r="H17" s="2">
        <f>+'s1'!AL18</f>
        <v>0</v>
      </c>
      <c r="I17" s="2">
        <f>+'s1'!AM18</f>
        <v>0</v>
      </c>
      <c r="J17" s="2">
        <f>+'s1'!AN18</f>
        <v>0</v>
      </c>
      <c r="K17" s="2">
        <f>+'s1'!AO18</f>
        <v>0</v>
      </c>
      <c r="L17" s="2">
        <f>+'s1'!AP18</f>
        <v>0</v>
      </c>
      <c r="M17" s="2">
        <f>+'s1'!AQ18</f>
        <v>0</v>
      </c>
      <c r="N17" s="2">
        <f>+'s1'!AR18</f>
        <v>0</v>
      </c>
      <c r="O17" s="2">
        <f>+'s1'!AS18</f>
        <v>0</v>
      </c>
      <c r="P17" s="2">
        <f>+'s1'!AT18</f>
        <v>0</v>
      </c>
      <c r="Q17" s="2">
        <f>+'s1'!AU18</f>
        <v>14.82</v>
      </c>
      <c r="R17" s="2">
        <f>+'s1'!AV18</f>
        <v>0</v>
      </c>
      <c r="S17" s="2">
        <f t="shared" si="0"/>
        <v>14.82</v>
      </c>
      <c r="T17" s="1"/>
    </row>
    <row r="18" spans="1:20" s="20" customFormat="1" x14ac:dyDescent="0.2">
      <c r="A18" s="1" t="s">
        <v>490</v>
      </c>
      <c r="B18" s="2">
        <f>+'s1'!AF19</f>
        <v>0</v>
      </c>
      <c r="C18" s="2">
        <f>+'s1'!AG19</f>
        <v>0</v>
      </c>
      <c r="D18" s="2">
        <f>+'s1'!AH19</f>
        <v>24884.92</v>
      </c>
      <c r="E18" s="2">
        <f>+'s1'!AI19</f>
        <v>0</v>
      </c>
      <c r="F18" s="2">
        <f>+'s1'!AJ19</f>
        <v>0</v>
      </c>
      <c r="G18" s="2">
        <f>+'s1'!AK19</f>
        <v>0</v>
      </c>
      <c r="H18" s="2">
        <f>+'s1'!AL19</f>
        <v>0</v>
      </c>
      <c r="I18" s="2">
        <f>+'s1'!AM19</f>
        <v>0</v>
      </c>
      <c r="J18" s="2">
        <f>+'s1'!AN19</f>
        <v>0</v>
      </c>
      <c r="K18" s="2">
        <f>+'s1'!AO19</f>
        <v>0</v>
      </c>
      <c r="L18" s="2">
        <f>+'s1'!AP19</f>
        <v>0</v>
      </c>
      <c r="M18" s="2">
        <f>+'s1'!AQ19</f>
        <v>0</v>
      </c>
      <c r="N18" s="2">
        <f>+'s1'!AR19</f>
        <v>0</v>
      </c>
      <c r="O18" s="2">
        <f>+'s1'!AS19</f>
        <v>0</v>
      </c>
      <c r="P18" s="2">
        <f>+'s1'!AT19</f>
        <v>0</v>
      </c>
      <c r="Q18" s="2">
        <f>+'s1'!AU19</f>
        <v>0</v>
      </c>
      <c r="R18" s="2">
        <f>+'s1'!AV19</f>
        <v>0</v>
      </c>
      <c r="S18" s="2">
        <f t="shared" si="0"/>
        <v>24884.92</v>
      </c>
      <c r="T18" s="78"/>
    </row>
    <row r="19" spans="1:20" x14ac:dyDescent="0.2">
      <c r="A19" s="7" t="s">
        <v>605</v>
      </c>
      <c r="B19" s="2">
        <f>+'s1'!AF20</f>
        <v>0</v>
      </c>
      <c r="C19" s="2">
        <f>+'s1'!AG20</f>
        <v>0</v>
      </c>
      <c r="D19" s="2">
        <f>+'s1'!AH20</f>
        <v>0</v>
      </c>
      <c r="E19" s="2">
        <f>+'s1'!AI20</f>
        <v>0</v>
      </c>
      <c r="F19" s="2">
        <f>+'s1'!AJ20</f>
        <v>0</v>
      </c>
      <c r="G19" s="2">
        <f>+'s1'!AK20</f>
        <v>0</v>
      </c>
      <c r="H19" s="2">
        <f>+'s1'!AL20</f>
        <v>0</v>
      </c>
      <c r="I19" s="2">
        <f>+'s1'!AM20</f>
        <v>0</v>
      </c>
      <c r="J19" s="2">
        <f>+'s1'!AN20</f>
        <v>1361.7</v>
      </c>
      <c r="K19" s="2">
        <f>+'s1'!AO20</f>
        <v>0</v>
      </c>
      <c r="L19" s="2">
        <f>+'s1'!AP20</f>
        <v>0</v>
      </c>
      <c r="M19" s="2">
        <f>+'s1'!AQ20</f>
        <v>0</v>
      </c>
      <c r="N19" s="2">
        <f>+'s1'!AR20</f>
        <v>0</v>
      </c>
      <c r="O19" s="2">
        <f>+'s1'!AS20</f>
        <v>0</v>
      </c>
      <c r="P19" s="2">
        <f>+'s1'!AT20</f>
        <v>0</v>
      </c>
      <c r="Q19" s="2">
        <f>+'s1'!AU20</f>
        <v>0</v>
      </c>
      <c r="R19" s="2">
        <f>+'s1'!AV20</f>
        <v>0</v>
      </c>
      <c r="S19" s="2">
        <f t="shared" si="0"/>
        <v>1361.7</v>
      </c>
      <c r="T19" s="2"/>
    </row>
    <row r="20" spans="1:20" x14ac:dyDescent="0.2">
      <c r="A20" s="1" t="s">
        <v>714</v>
      </c>
      <c r="B20" s="2">
        <f>+'s1'!AF21</f>
        <v>0</v>
      </c>
      <c r="C20" s="2">
        <f>+'s1'!AG21</f>
        <v>0</v>
      </c>
      <c r="D20" s="2">
        <f>+'s1'!AH21</f>
        <v>0</v>
      </c>
      <c r="E20" s="2">
        <f>+'s1'!AI21</f>
        <v>0</v>
      </c>
      <c r="F20" s="2">
        <f>+'s1'!AJ21</f>
        <v>0</v>
      </c>
      <c r="G20" s="2">
        <f>+'s1'!AK21</f>
        <v>0</v>
      </c>
      <c r="H20" s="2">
        <f>+'s1'!AL21</f>
        <v>0</v>
      </c>
      <c r="I20" s="2">
        <f>+'s1'!AM21</f>
        <v>3928.96</v>
      </c>
      <c r="J20" s="2">
        <f>+'s1'!AN21</f>
        <v>0</v>
      </c>
      <c r="K20" s="2">
        <f>+'s1'!AO21</f>
        <v>0</v>
      </c>
      <c r="L20" s="2">
        <f>+'s1'!AP21</f>
        <v>0</v>
      </c>
      <c r="M20" s="2">
        <f>+'s1'!AQ21</f>
        <v>0</v>
      </c>
      <c r="N20" s="2">
        <f>+'s1'!AR21</f>
        <v>0</v>
      </c>
      <c r="O20" s="2">
        <f>+'s1'!AS21</f>
        <v>0</v>
      </c>
      <c r="P20" s="2">
        <f>+'s1'!AT21</f>
        <v>0</v>
      </c>
      <c r="Q20" s="2">
        <f>+'s1'!AU21</f>
        <v>8767.34</v>
      </c>
      <c r="R20" s="2">
        <f>+'s1'!AV21</f>
        <v>0</v>
      </c>
      <c r="S20" s="2">
        <f>SUM(B20:R20)</f>
        <v>12696.3</v>
      </c>
      <c r="T20" s="1"/>
    </row>
    <row r="21" spans="1:20" x14ac:dyDescent="0.2">
      <c r="A21" s="1" t="s">
        <v>39</v>
      </c>
      <c r="B21" s="2">
        <f>+'s1'!AF22</f>
        <v>0</v>
      </c>
      <c r="C21" s="2">
        <f>+'s1'!AG22</f>
        <v>0</v>
      </c>
      <c r="D21" s="2">
        <f>+'s1'!AH22</f>
        <v>0</v>
      </c>
      <c r="E21" s="2">
        <f>+'s1'!AI22</f>
        <v>0</v>
      </c>
      <c r="F21" s="2">
        <f>+'s1'!AJ22</f>
        <v>0</v>
      </c>
      <c r="G21" s="2">
        <f>+'s1'!AK22</f>
        <v>0</v>
      </c>
      <c r="H21" s="2">
        <f>+'s1'!AL22</f>
        <v>0</v>
      </c>
      <c r="I21" s="2">
        <f>+'s1'!AM22</f>
        <v>0</v>
      </c>
      <c r="J21" s="2">
        <f>+'s1'!AN22</f>
        <v>486.86</v>
      </c>
      <c r="K21" s="2">
        <f>+'s1'!AO22</f>
        <v>0</v>
      </c>
      <c r="L21" s="2">
        <f>+'s1'!AP22</f>
        <v>0</v>
      </c>
      <c r="M21" s="2">
        <f>+'s1'!AQ22</f>
        <v>0</v>
      </c>
      <c r="N21" s="2">
        <f>+'s1'!AR22</f>
        <v>0</v>
      </c>
      <c r="O21" s="2">
        <f>+'s1'!AS22</f>
        <v>0</v>
      </c>
      <c r="P21" s="2">
        <f>+'s1'!AT22</f>
        <v>0</v>
      </c>
      <c r="Q21" s="2">
        <f>+'s1'!AU22</f>
        <v>0</v>
      </c>
      <c r="R21" s="2">
        <f>+'s1'!AV22</f>
        <v>0</v>
      </c>
      <c r="S21" s="2">
        <f t="shared" si="0"/>
        <v>486.86</v>
      </c>
      <c r="T21" s="1"/>
    </row>
    <row r="22" spans="1:20" x14ac:dyDescent="0.2">
      <c r="A22" s="1" t="s">
        <v>429</v>
      </c>
      <c r="B22" s="2">
        <f>+'s1'!AF23</f>
        <v>0</v>
      </c>
      <c r="C22" s="2">
        <f>+'s1'!AG23</f>
        <v>0</v>
      </c>
      <c r="D22" s="2">
        <f>+'s1'!AH23</f>
        <v>105258.41</v>
      </c>
      <c r="E22" s="2">
        <f>+'s1'!AI23</f>
        <v>0</v>
      </c>
      <c r="F22" s="2">
        <f>+'s1'!AJ23</f>
        <v>0</v>
      </c>
      <c r="G22" s="2">
        <f>+'s1'!AK23</f>
        <v>0</v>
      </c>
      <c r="H22" s="2">
        <f>+'s1'!AL23</f>
        <v>0</v>
      </c>
      <c r="I22" s="2">
        <f>+'s1'!AM23</f>
        <v>0</v>
      </c>
      <c r="J22" s="2">
        <f>+'s1'!AN23</f>
        <v>0</v>
      </c>
      <c r="K22" s="2">
        <f>+'s1'!AO23</f>
        <v>0</v>
      </c>
      <c r="L22" s="2">
        <f>+'s1'!AP23</f>
        <v>0</v>
      </c>
      <c r="M22" s="2">
        <f>+'s1'!AQ23</f>
        <v>0</v>
      </c>
      <c r="N22" s="2">
        <f>+'s1'!AR23</f>
        <v>0</v>
      </c>
      <c r="O22" s="2">
        <f>+'s1'!AS23</f>
        <v>0</v>
      </c>
      <c r="P22" s="2">
        <f>+'s1'!AT23</f>
        <v>0</v>
      </c>
      <c r="Q22" s="2">
        <f>+'s1'!AU23</f>
        <v>31983.08</v>
      </c>
      <c r="R22" s="2">
        <f>+'s1'!AV23</f>
        <v>0</v>
      </c>
      <c r="S22" s="2">
        <f t="shared" si="0"/>
        <v>137241.49</v>
      </c>
      <c r="T22" s="2"/>
    </row>
    <row r="23" spans="1:20" ht="12" customHeight="1" x14ac:dyDescent="0.2">
      <c r="A23" s="1" t="s">
        <v>700</v>
      </c>
      <c r="B23" s="2">
        <f>+'s1'!AF24</f>
        <v>2325.39</v>
      </c>
      <c r="C23" s="2">
        <f>+'s1'!AG24</f>
        <v>0</v>
      </c>
      <c r="D23" s="2">
        <f>+'s1'!AH24</f>
        <v>0</v>
      </c>
      <c r="E23" s="2">
        <f>+'s1'!AI24</f>
        <v>0</v>
      </c>
      <c r="F23" s="2">
        <f>+'s1'!AJ24</f>
        <v>0</v>
      </c>
      <c r="G23" s="2">
        <f>+'s1'!AK24</f>
        <v>0</v>
      </c>
      <c r="H23" s="2">
        <f>+'s1'!AL24</f>
        <v>0</v>
      </c>
      <c r="I23" s="2">
        <f>+'s1'!AM24</f>
        <v>0</v>
      </c>
      <c r="J23" s="2">
        <f>+'s1'!AN24</f>
        <v>0</v>
      </c>
      <c r="K23" s="2">
        <f>+'s1'!AO24</f>
        <v>0</v>
      </c>
      <c r="L23" s="2">
        <f>+'s1'!AP24</f>
        <v>0</v>
      </c>
      <c r="M23" s="2">
        <f>+'s1'!AQ24</f>
        <v>0</v>
      </c>
      <c r="N23" s="2">
        <f>+'s1'!AR24</f>
        <v>0</v>
      </c>
      <c r="O23" s="2">
        <f>+'s1'!AS24</f>
        <v>0</v>
      </c>
      <c r="P23" s="2">
        <f>+'s1'!AT24</f>
        <v>0</v>
      </c>
      <c r="Q23" s="2">
        <f>+'s1'!AU24</f>
        <v>0</v>
      </c>
      <c r="R23" s="2">
        <f>+'s1'!AV24</f>
        <v>0</v>
      </c>
      <c r="S23" s="2">
        <f>SUM(B23:R23)</f>
        <v>2325.39</v>
      </c>
      <c r="T23" s="2"/>
    </row>
    <row r="24" spans="1:20" ht="12" customHeight="1" x14ac:dyDescent="0.2">
      <c r="A24" s="1" t="s">
        <v>443</v>
      </c>
      <c r="B24" s="2">
        <f>+'s1'!AF25</f>
        <v>0</v>
      </c>
      <c r="C24" s="2">
        <f>+'s1'!AG25</f>
        <v>23066.77</v>
      </c>
      <c r="D24" s="2">
        <f>+'s1'!AH25</f>
        <v>0</v>
      </c>
      <c r="E24" s="2">
        <f>+'s1'!AI25</f>
        <v>1657.18</v>
      </c>
      <c r="F24" s="2">
        <f>+'s1'!AJ25</f>
        <v>0</v>
      </c>
      <c r="G24" s="2">
        <f>+'s1'!AK25</f>
        <v>0</v>
      </c>
      <c r="H24" s="2">
        <f>+'s1'!AL25</f>
        <v>0</v>
      </c>
      <c r="I24" s="2">
        <f>+'s1'!AM25</f>
        <v>0</v>
      </c>
      <c r="J24" s="2">
        <f>+'s1'!AN25</f>
        <v>0</v>
      </c>
      <c r="K24" s="2">
        <f>+'s1'!AO25</f>
        <v>0</v>
      </c>
      <c r="L24" s="2">
        <f>+'s1'!AP25</f>
        <v>0</v>
      </c>
      <c r="M24" s="2">
        <f>+'s1'!AQ25</f>
        <v>0</v>
      </c>
      <c r="N24" s="2">
        <f>+'s1'!AR25</f>
        <v>0</v>
      </c>
      <c r="O24" s="2">
        <f>+'s1'!AS25</f>
        <v>0</v>
      </c>
      <c r="P24" s="2">
        <f>+'s1'!AT25</f>
        <v>0</v>
      </c>
      <c r="Q24" s="2">
        <f>+'s1'!AU25</f>
        <v>0</v>
      </c>
      <c r="R24" s="2">
        <f>+'s1'!AV25</f>
        <v>0</v>
      </c>
      <c r="S24" s="2">
        <f>SUM(B24:R24)</f>
        <v>24723.95</v>
      </c>
      <c r="T24" s="2"/>
    </row>
    <row r="25" spans="1:20" x14ac:dyDescent="0.2">
      <c r="A25" s="1" t="s">
        <v>444</v>
      </c>
      <c r="B25" s="2">
        <f>+'s1'!AF26</f>
        <v>49392.53</v>
      </c>
      <c r="C25" s="2">
        <f>+'s1'!AG26</f>
        <v>11877.28</v>
      </c>
      <c r="D25" s="2">
        <f>+'s1'!AH26</f>
        <v>-878.47</v>
      </c>
      <c r="E25" s="2">
        <f>+'s1'!AI26</f>
        <v>27906.17</v>
      </c>
      <c r="F25" s="2">
        <f>+'s1'!AJ26</f>
        <v>12831.85</v>
      </c>
      <c r="G25" s="2">
        <f>+'s1'!AK26</f>
        <v>0</v>
      </c>
      <c r="H25" s="2">
        <f>+'s1'!AL26</f>
        <v>2334.6</v>
      </c>
      <c r="I25" s="2">
        <f>+'s1'!AM26</f>
        <v>25055.59</v>
      </c>
      <c r="J25" s="2">
        <f>+'s1'!AN26</f>
        <v>15932.89</v>
      </c>
      <c r="K25" s="2">
        <f>+'s1'!AO26</f>
        <v>0</v>
      </c>
      <c r="L25" s="2">
        <f>+'s1'!AP26</f>
        <v>24574.37</v>
      </c>
      <c r="M25" s="2">
        <f>+'s1'!AQ26</f>
        <v>3821.88</v>
      </c>
      <c r="N25" s="2">
        <f>+'s1'!AR26</f>
        <v>532.05999999999995</v>
      </c>
      <c r="O25" s="2">
        <f>+'s1'!AS26</f>
        <v>8505.74</v>
      </c>
      <c r="P25" s="2">
        <f>+'s1'!AT26</f>
        <v>0</v>
      </c>
      <c r="Q25" s="2">
        <f>+'s1'!AU26</f>
        <v>496321.6</v>
      </c>
      <c r="R25" s="2">
        <f>+'s1'!AV26</f>
        <v>5088.79</v>
      </c>
      <c r="S25" s="2">
        <f t="shared" si="0"/>
        <v>683296.88</v>
      </c>
      <c r="T25" s="2"/>
    </row>
    <row r="26" spans="1:20" s="20" customFormat="1" ht="13.5" customHeight="1" x14ac:dyDescent="0.2">
      <c r="A26" s="1" t="s">
        <v>361</v>
      </c>
      <c r="B26" s="2">
        <f>+'s1'!AF27</f>
        <v>0</v>
      </c>
      <c r="C26" s="2">
        <f>+'s1'!AG27</f>
        <v>0</v>
      </c>
      <c r="D26" s="2">
        <f>+'s1'!AH27</f>
        <v>0</v>
      </c>
      <c r="E26" s="2">
        <f>+'s1'!AI27</f>
        <v>0</v>
      </c>
      <c r="F26" s="2">
        <f>+'s1'!AJ27</f>
        <v>0</v>
      </c>
      <c r="G26" s="2">
        <f>+'s1'!AK27</f>
        <v>0</v>
      </c>
      <c r="H26" s="2">
        <f>+'s1'!AL27</f>
        <v>0</v>
      </c>
      <c r="I26" s="2">
        <f>+'s1'!AM27</f>
        <v>0</v>
      </c>
      <c r="J26" s="2">
        <f>+'s1'!AN27</f>
        <v>0</v>
      </c>
      <c r="K26" s="2">
        <f>+'s1'!AO27</f>
        <v>0</v>
      </c>
      <c r="L26" s="2">
        <f>+'s1'!AP27</f>
        <v>12902.87</v>
      </c>
      <c r="M26" s="2">
        <f>+'s1'!AQ27</f>
        <v>0</v>
      </c>
      <c r="N26" s="2">
        <f>+'s1'!AR27</f>
        <v>0</v>
      </c>
      <c r="O26" s="2">
        <f>+'s1'!AS27</f>
        <v>0</v>
      </c>
      <c r="P26" s="2">
        <f>+'s1'!AT27</f>
        <v>0</v>
      </c>
      <c r="Q26" s="2">
        <f>+'s1'!AU27</f>
        <v>0</v>
      </c>
      <c r="R26" s="2">
        <f>+'s1'!AV27</f>
        <v>0</v>
      </c>
      <c r="S26" s="2">
        <f t="shared" si="0"/>
        <v>12902.87</v>
      </c>
      <c r="T26" s="78"/>
    </row>
    <row r="27" spans="1:20" x14ac:dyDescent="0.2">
      <c r="A27" s="1" t="s">
        <v>445</v>
      </c>
      <c r="B27" s="2">
        <f>+'s1'!AF28</f>
        <v>99830.32</v>
      </c>
      <c r="C27" s="2">
        <f>+'s1'!AG28</f>
        <v>0</v>
      </c>
      <c r="D27" s="2">
        <f>+'s1'!AH28</f>
        <v>811893.97</v>
      </c>
      <c r="E27" s="2">
        <f>+'s1'!AI28</f>
        <v>27497.74</v>
      </c>
      <c r="F27" s="2">
        <f>+'s1'!AJ28</f>
        <v>0</v>
      </c>
      <c r="G27" s="2">
        <f>+'s1'!AK28</f>
        <v>0</v>
      </c>
      <c r="H27" s="2">
        <f>+'s1'!AL28</f>
        <v>0</v>
      </c>
      <c r="I27" s="2">
        <f>+'s1'!AM28</f>
        <v>0</v>
      </c>
      <c r="J27" s="2">
        <f>+'s1'!AN28</f>
        <v>0</v>
      </c>
      <c r="K27" s="2">
        <f>+'s1'!AO28</f>
        <v>0</v>
      </c>
      <c r="L27" s="2">
        <f>+'s1'!AP28</f>
        <v>0</v>
      </c>
      <c r="M27" s="2">
        <f>+'s1'!AQ28</f>
        <v>0</v>
      </c>
      <c r="N27" s="2">
        <f>+'s1'!AR28</f>
        <v>0</v>
      </c>
      <c r="O27" s="2">
        <f>+'s1'!AS28</f>
        <v>0</v>
      </c>
      <c r="P27" s="2">
        <f>+'s1'!AT28</f>
        <v>0</v>
      </c>
      <c r="Q27" s="2">
        <f>+'s1'!AU28</f>
        <v>205983.87</v>
      </c>
      <c r="R27" s="2">
        <f>+'s1'!AV28</f>
        <v>0</v>
      </c>
      <c r="S27" s="2">
        <f t="shared" si="0"/>
        <v>1145205.8999999999</v>
      </c>
      <c r="T27" s="2"/>
    </row>
    <row r="28" spans="1:20" ht="13.5" customHeight="1" x14ac:dyDescent="0.2">
      <c r="A28" s="1" t="s">
        <v>346</v>
      </c>
      <c r="B28" s="2">
        <f>+'s1'!AF29</f>
        <v>0</v>
      </c>
      <c r="C28" s="2">
        <f>+'s1'!AG29</f>
        <v>0</v>
      </c>
      <c r="D28" s="2">
        <f>+'s1'!AH29</f>
        <v>91940.74</v>
      </c>
      <c r="E28" s="2">
        <f>+'s1'!AI29</f>
        <v>0</v>
      </c>
      <c r="F28" s="2">
        <f>+'s1'!AJ29</f>
        <v>0</v>
      </c>
      <c r="G28" s="2">
        <f>+'s1'!AK29</f>
        <v>0</v>
      </c>
      <c r="H28" s="2">
        <f>+'s1'!AL29</f>
        <v>0</v>
      </c>
      <c r="I28" s="2">
        <f>+'s1'!AM29</f>
        <v>0</v>
      </c>
      <c r="J28" s="2">
        <f>+'s1'!AN29</f>
        <v>0</v>
      </c>
      <c r="K28" s="2">
        <f>+'s1'!AO29</f>
        <v>0</v>
      </c>
      <c r="L28" s="2">
        <f>+'s1'!AP29</f>
        <v>1336.58</v>
      </c>
      <c r="M28" s="2">
        <f>+'s1'!AQ29</f>
        <v>0</v>
      </c>
      <c r="N28" s="2">
        <f>+'s1'!AR29</f>
        <v>0</v>
      </c>
      <c r="O28" s="2">
        <f>+'s1'!AS29</f>
        <v>0</v>
      </c>
      <c r="P28" s="2">
        <f>+'s1'!AT29</f>
        <v>0</v>
      </c>
      <c r="Q28" s="2">
        <f>+'s1'!AU29</f>
        <v>0</v>
      </c>
      <c r="R28" s="2">
        <f>+'s1'!AV29</f>
        <v>0</v>
      </c>
      <c r="S28" s="2">
        <f t="shared" si="0"/>
        <v>93277.32</v>
      </c>
      <c r="T28" s="2"/>
    </row>
    <row r="29" spans="1:20" x14ac:dyDescent="0.2">
      <c r="A29" s="18" t="s">
        <v>491</v>
      </c>
      <c r="B29" s="2">
        <f>+'s1'!AF30</f>
        <v>0</v>
      </c>
      <c r="C29" s="2">
        <f>+'s1'!AG30</f>
        <v>0</v>
      </c>
      <c r="D29" s="2">
        <f>+'s1'!AH30</f>
        <v>0</v>
      </c>
      <c r="E29" s="2">
        <f>+'s1'!AI30</f>
        <v>0</v>
      </c>
      <c r="F29" s="2">
        <f>+'s1'!AJ30</f>
        <v>2586.73</v>
      </c>
      <c r="G29" s="2">
        <f>+'s1'!AK30</f>
        <v>0</v>
      </c>
      <c r="H29" s="2">
        <f>+'s1'!AL30</f>
        <v>0</v>
      </c>
      <c r="I29" s="2">
        <f>+'s1'!AM30</f>
        <v>0</v>
      </c>
      <c r="J29" s="2">
        <f>+'s1'!AN30</f>
        <v>0</v>
      </c>
      <c r="K29" s="2">
        <f>+'s1'!AO30</f>
        <v>0</v>
      </c>
      <c r="L29" s="2">
        <f>+'s1'!AP30</f>
        <v>0</v>
      </c>
      <c r="M29" s="2">
        <f>+'s1'!AQ30</f>
        <v>0</v>
      </c>
      <c r="N29" s="2">
        <f>+'s1'!AR30</f>
        <v>0</v>
      </c>
      <c r="O29" s="2">
        <f>+'s1'!AS30</f>
        <v>0</v>
      </c>
      <c r="P29" s="2">
        <f>+'s1'!AT30</f>
        <v>0</v>
      </c>
      <c r="Q29" s="2">
        <f>+'s1'!AU30</f>
        <v>0</v>
      </c>
      <c r="R29" s="2">
        <f>+'s1'!AV30</f>
        <v>0</v>
      </c>
      <c r="S29" s="2">
        <f t="shared" si="0"/>
        <v>2586.73</v>
      </c>
      <c r="T29" s="2"/>
    </row>
    <row r="30" spans="1:20" x14ac:dyDescent="0.2">
      <c r="A30" s="1" t="s">
        <v>293</v>
      </c>
      <c r="B30" s="2">
        <f>+'s1'!AF31</f>
        <v>0</v>
      </c>
      <c r="C30" s="2">
        <f>+'s1'!AG31</f>
        <v>0</v>
      </c>
      <c r="D30" s="2">
        <f>+'s1'!AH31</f>
        <v>15864.71</v>
      </c>
      <c r="E30" s="2">
        <f>+'s1'!AI31</f>
        <v>0</v>
      </c>
      <c r="F30" s="2">
        <f>+'s1'!AJ31</f>
        <v>0</v>
      </c>
      <c r="G30" s="2">
        <f>+'s1'!AK31</f>
        <v>0</v>
      </c>
      <c r="H30" s="2">
        <f>+'s1'!AL31</f>
        <v>0</v>
      </c>
      <c r="I30" s="2">
        <f>+'s1'!AM31</f>
        <v>0</v>
      </c>
      <c r="J30" s="2">
        <f>+'s1'!AN31</f>
        <v>0</v>
      </c>
      <c r="K30" s="2">
        <f>+'s1'!AO31</f>
        <v>0</v>
      </c>
      <c r="L30" s="2">
        <f>+'s1'!AP31</f>
        <v>0</v>
      </c>
      <c r="M30" s="2">
        <f>+'s1'!AQ31</f>
        <v>0</v>
      </c>
      <c r="N30" s="2">
        <f>+'s1'!AR31</f>
        <v>0</v>
      </c>
      <c r="O30" s="2">
        <f>+'s1'!AS31</f>
        <v>0</v>
      </c>
      <c r="P30" s="2">
        <f>+'s1'!AT31</f>
        <v>0</v>
      </c>
      <c r="Q30" s="2">
        <f>+'s1'!AU31</f>
        <v>0</v>
      </c>
      <c r="R30" s="2">
        <f>+'s1'!AV31</f>
        <v>0</v>
      </c>
      <c r="S30" s="2">
        <f t="shared" si="0"/>
        <v>15864.71</v>
      </c>
      <c r="T30" s="2"/>
    </row>
    <row r="31" spans="1:20" x14ac:dyDescent="0.2">
      <c r="A31" s="18" t="s">
        <v>639</v>
      </c>
      <c r="B31" s="2">
        <f>+'s1'!AF32</f>
        <v>0</v>
      </c>
      <c r="C31" s="2">
        <f>+'s1'!AG32</f>
        <v>0</v>
      </c>
      <c r="D31" s="2">
        <f>+'s1'!AH32</f>
        <v>0</v>
      </c>
      <c r="E31" s="2">
        <f>+'s1'!AI32</f>
        <v>0</v>
      </c>
      <c r="F31" s="2">
        <f>+'s1'!AJ32</f>
        <v>47.78</v>
      </c>
      <c r="G31" s="2">
        <f>+'s1'!AK32</f>
        <v>0</v>
      </c>
      <c r="H31" s="2">
        <f>+'s1'!AL32</f>
        <v>0</v>
      </c>
      <c r="I31" s="2">
        <f>+'s1'!AM32</f>
        <v>0</v>
      </c>
      <c r="J31" s="2">
        <f>+'s1'!AN32</f>
        <v>0</v>
      </c>
      <c r="K31" s="2">
        <f>+'s1'!AO32</f>
        <v>0</v>
      </c>
      <c r="L31" s="2">
        <f>+'s1'!AP32</f>
        <v>0</v>
      </c>
      <c r="M31" s="2">
        <f>+'s1'!AQ32</f>
        <v>0</v>
      </c>
      <c r="N31" s="2">
        <f>+'s1'!AR32</f>
        <v>0</v>
      </c>
      <c r="O31" s="2">
        <f>+'s1'!AS32</f>
        <v>0</v>
      </c>
      <c r="P31" s="2">
        <f>+'s1'!AT32</f>
        <v>0</v>
      </c>
      <c r="Q31" s="2">
        <f>+'s1'!AU32</f>
        <v>0</v>
      </c>
      <c r="R31" s="2">
        <f>+'s1'!AV32</f>
        <v>0</v>
      </c>
      <c r="S31" s="2">
        <f t="shared" si="0"/>
        <v>47.78</v>
      </c>
      <c r="T31" s="1"/>
    </row>
    <row r="32" spans="1:20" x14ac:dyDescent="0.2">
      <c r="A32" s="1" t="s">
        <v>40</v>
      </c>
      <c r="B32" s="2">
        <f>+'s1'!AF33</f>
        <v>17732.7</v>
      </c>
      <c r="C32" s="2">
        <f>+'s1'!AG33</f>
        <v>0</v>
      </c>
      <c r="D32" s="2">
        <f>+'s1'!AH33</f>
        <v>0</v>
      </c>
      <c r="E32" s="2">
        <f>+'s1'!AI33</f>
        <v>3745.87</v>
      </c>
      <c r="F32" s="2">
        <f>+'s1'!AJ33</f>
        <v>0</v>
      </c>
      <c r="G32" s="2">
        <f>+'s1'!AK33</f>
        <v>0</v>
      </c>
      <c r="H32" s="2">
        <f>+'s1'!AL33</f>
        <v>0</v>
      </c>
      <c r="I32" s="2">
        <f>+'s1'!AM33</f>
        <v>2047.21</v>
      </c>
      <c r="J32" s="2">
        <f>+'s1'!AN33</f>
        <v>1040.67</v>
      </c>
      <c r="K32" s="2">
        <f>+'s1'!AO33</f>
        <v>0</v>
      </c>
      <c r="L32" s="2">
        <f>+'s1'!AP33</f>
        <v>12091.78</v>
      </c>
      <c r="M32" s="2">
        <f>+'s1'!AQ33</f>
        <v>0</v>
      </c>
      <c r="N32" s="2">
        <f>+'s1'!AR33</f>
        <v>0</v>
      </c>
      <c r="O32" s="2">
        <f>+'s1'!AS33</f>
        <v>467.9</v>
      </c>
      <c r="P32" s="2">
        <f>+'s1'!AT33</f>
        <v>1199.9100000000001</v>
      </c>
      <c r="Q32" s="2">
        <f>+'s1'!AU33</f>
        <v>3116.9</v>
      </c>
      <c r="R32" s="2">
        <f>+'s1'!AV33</f>
        <v>0</v>
      </c>
      <c r="S32" s="2">
        <f t="shared" si="0"/>
        <v>41442.94</v>
      </c>
      <c r="T32" s="1"/>
    </row>
    <row r="33" spans="1:20" x14ac:dyDescent="0.2">
      <c r="A33" s="1" t="s">
        <v>446</v>
      </c>
      <c r="B33" s="2">
        <f>+'s1'!AF34</f>
        <v>0</v>
      </c>
      <c r="C33" s="2">
        <f>+'s1'!AG34</f>
        <v>0</v>
      </c>
      <c r="D33" s="2">
        <f>+'s1'!AH34</f>
        <v>0</v>
      </c>
      <c r="E33" s="2">
        <f>+'s1'!AI34</f>
        <v>0</v>
      </c>
      <c r="F33" s="2">
        <f>+'s1'!AJ34</f>
        <v>7233.34</v>
      </c>
      <c r="G33" s="2">
        <f>+'s1'!AK34</f>
        <v>0</v>
      </c>
      <c r="H33" s="2">
        <f>+'s1'!AL34</f>
        <v>0</v>
      </c>
      <c r="I33" s="2">
        <f>+'s1'!AM34</f>
        <v>31224.92</v>
      </c>
      <c r="J33" s="2">
        <f>+'s1'!AN34</f>
        <v>0</v>
      </c>
      <c r="K33" s="2">
        <f>+'s1'!AO34</f>
        <v>0</v>
      </c>
      <c r="L33" s="2">
        <f>+'s1'!AP34</f>
        <v>0</v>
      </c>
      <c r="M33" s="2">
        <f>+'s1'!AQ34</f>
        <v>0</v>
      </c>
      <c r="N33" s="2">
        <f>+'s1'!AR34</f>
        <v>0</v>
      </c>
      <c r="O33" s="2">
        <f>+'s1'!AS34</f>
        <v>0</v>
      </c>
      <c r="P33" s="2">
        <f>+'s1'!AT34</f>
        <v>0</v>
      </c>
      <c r="Q33" s="2">
        <f>+'s1'!AU34</f>
        <v>0</v>
      </c>
      <c r="R33" s="2">
        <f>+'s1'!AV34</f>
        <v>0</v>
      </c>
      <c r="S33" s="2">
        <f>SUM(B33:R33)</f>
        <v>38458.26</v>
      </c>
      <c r="T33" s="2"/>
    </row>
    <row r="34" spans="1:20" x14ac:dyDescent="0.2">
      <c r="A34" s="1" t="s">
        <v>563</v>
      </c>
      <c r="B34" s="2">
        <f>+'s1'!AF35</f>
        <v>0</v>
      </c>
      <c r="C34" s="2">
        <f>+'s1'!AG35</f>
        <v>0</v>
      </c>
      <c r="D34" s="2">
        <f>+'s1'!AH35</f>
        <v>2555.33</v>
      </c>
      <c r="E34" s="2">
        <f>+'s1'!AI35</f>
        <v>0</v>
      </c>
      <c r="F34" s="2">
        <f>+'s1'!AJ35</f>
        <v>0</v>
      </c>
      <c r="G34" s="2">
        <f>+'s1'!AK35</f>
        <v>0</v>
      </c>
      <c r="H34" s="2">
        <f>+'s1'!AL35</f>
        <v>0</v>
      </c>
      <c r="I34" s="2">
        <f>+'s1'!AM35</f>
        <v>0</v>
      </c>
      <c r="J34" s="2">
        <f>+'s1'!AN35</f>
        <v>0</v>
      </c>
      <c r="K34" s="2">
        <f>+'s1'!AO35</f>
        <v>0</v>
      </c>
      <c r="L34" s="2">
        <f>+'s1'!AP35</f>
        <v>0</v>
      </c>
      <c r="M34" s="2">
        <f>+'s1'!AQ35</f>
        <v>0</v>
      </c>
      <c r="N34" s="2">
        <f>+'s1'!AR35</f>
        <v>0</v>
      </c>
      <c r="O34" s="2">
        <f>+'s1'!AS35</f>
        <v>0</v>
      </c>
      <c r="P34" s="2">
        <f>+'s1'!AT35</f>
        <v>0</v>
      </c>
      <c r="Q34" s="2">
        <f>+'s1'!AU35</f>
        <v>0</v>
      </c>
      <c r="R34" s="2">
        <f>+'s1'!AV35</f>
        <v>0</v>
      </c>
      <c r="S34" s="2">
        <f t="shared" si="0"/>
        <v>2555.33</v>
      </c>
      <c r="T34" s="2"/>
    </row>
    <row r="35" spans="1:20" x14ac:dyDescent="0.2">
      <c r="A35" s="1" t="s">
        <v>41</v>
      </c>
      <c r="B35" s="2">
        <f>+'s1'!AF36</f>
        <v>0</v>
      </c>
      <c r="C35" s="2">
        <f>+'s1'!AG36</f>
        <v>0</v>
      </c>
      <c r="D35" s="2">
        <f>+'s1'!AH36</f>
        <v>1196269.1200000001</v>
      </c>
      <c r="E35" s="2">
        <f>+'s1'!AI36</f>
        <v>0</v>
      </c>
      <c r="F35" s="2">
        <f>+'s1'!AJ36</f>
        <v>0</v>
      </c>
      <c r="G35" s="2">
        <f>+'s1'!AK36</f>
        <v>0</v>
      </c>
      <c r="H35" s="2">
        <f>+'s1'!AL36</f>
        <v>0</v>
      </c>
      <c r="I35" s="2">
        <f>+'s1'!AM36</f>
        <v>0</v>
      </c>
      <c r="J35" s="2">
        <f>+'s1'!AN36</f>
        <v>0</v>
      </c>
      <c r="K35" s="2">
        <f>+'s1'!AO36</f>
        <v>0</v>
      </c>
      <c r="L35" s="2">
        <f>+'s1'!AP36</f>
        <v>0</v>
      </c>
      <c r="M35" s="2">
        <f>+'s1'!AQ36</f>
        <v>0</v>
      </c>
      <c r="N35" s="2">
        <f>+'s1'!AR36</f>
        <v>8320.4</v>
      </c>
      <c r="O35" s="2">
        <f>+'s1'!AS36</f>
        <v>0</v>
      </c>
      <c r="P35" s="2">
        <f>+'s1'!AT36</f>
        <v>0</v>
      </c>
      <c r="Q35" s="2">
        <f>+'s1'!AU36</f>
        <v>756.14</v>
      </c>
      <c r="R35" s="2">
        <f>+'s1'!AV36</f>
        <v>0</v>
      </c>
      <c r="S35" s="2">
        <f t="shared" si="0"/>
        <v>1205345.6599999999</v>
      </c>
      <c r="T35" s="2"/>
    </row>
    <row r="36" spans="1:20" x14ac:dyDescent="0.2">
      <c r="A36" s="1" t="s">
        <v>42</v>
      </c>
      <c r="B36" s="2">
        <f>+'s1'!AF37</f>
        <v>0</v>
      </c>
      <c r="C36" s="2">
        <f>+'s1'!AG37</f>
        <v>0</v>
      </c>
      <c r="D36" s="2">
        <f>+'s1'!AH37</f>
        <v>0</v>
      </c>
      <c r="E36" s="2">
        <f>+'s1'!AI37</f>
        <v>0</v>
      </c>
      <c r="F36" s="2">
        <f>+'s1'!AJ37</f>
        <v>0</v>
      </c>
      <c r="G36" s="2">
        <f>+'s1'!AK37</f>
        <v>0</v>
      </c>
      <c r="H36" s="2">
        <f>+'s1'!AL37</f>
        <v>121.52</v>
      </c>
      <c r="I36" s="2">
        <f>+'s1'!AM37</f>
        <v>0</v>
      </c>
      <c r="J36" s="2">
        <f>+'s1'!AN37</f>
        <v>0</v>
      </c>
      <c r="K36" s="2">
        <f>+'s1'!AO37</f>
        <v>0</v>
      </c>
      <c r="L36" s="2">
        <f>+'s1'!AP37</f>
        <v>0</v>
      </c>
      <c r="M36" s="2">
        <f>+'s1'!AQ37</f>
        <v>0</v>
      </c>
      <c r="N36" s="2">
        <f>+'s1'!AR37</f>
        <v>105.45</v>
      </c>
      <c r="O36" s="2">
        <f>+'s1'!AS37</f>
        <v>0</v>
      </c>
      <c r="P36" s="2">
        <f>+'s1'!AT37</f>
        <v>0</v>
      </c>
      <c r="Q36" s="2">
        <f>+'s1'!AU37</f>
        <v>0</v>
      </c>
      <c r="R36" s="2">
        <f>+'s1'!AV37</f>
        <v>2941.12</v>
      </c>
      <c r="S36" s="2">
        <f t="shared" si="0"/>
        <v>3168.09</v>
      </c>
      <c r="T36" s="2"/>
    </row>
    <row r="37" spans="1:20" x14ac:dyDescent="0.2">
      <c r="A37" s="18" t="s">
        <v>43</v>
      </c>
      <c r="B37" s="2">
        <f>+'s1'!AF38</f>
        <v>0</v>
      </c>
      <c r="C37" s="2">
        <f>+'s1'!AG38</f>
        <v>0</v>
      </c>
      <c r="D37" s="2">
        <f>+'s1'!AH38</f>
        <v>119964.61</v>
      </c>
      <c r="E37" s="2">
        <f>+'s1'!AI38</f>
        <v>0</v>
      </c>
      <c r="F37" s="2">
        <f>+'s1'!AJ38</f>
        <v>0</v>
      </c>
      <c r="G37" s="2">
        <f>+'s1'!AK38</f>
        <v>0</v>
      </c>
      <c r="H37" s="2">
        <f>+'s1'!AL38</f>
        <v>0</v>
      </c>
      <c r="I37" s="2">
        <f>+'s1'!AM38</f>
        <v>0</v>
      </c>
      <c r="J37" s="2">
        <f>+'s1'!AN38</f>
        <v>0</v>
      </c>
      <c r="K37" s="2">
        <f>+'s1'!AO38</f>
        <v>0</v>
      </c>
      <c r="L37" s="2">
        <f>+'s1'!AP38</f>
        <v>0</v>
      </c>
      <c r="M37" s="2">
        <f>+'s1'!AQ38</f>
        <v>0</v>
      </c>
      <c r="N37" s="2">
        <f>+'s1'!AR38</f>
        <v>0</v>
      </c>
      <c r="O37" s="2">
        <f>+'s1'!AS38</f>
        <v>0</v>
      </c>
      <c r="P37" s="2">
        <f>+'s1'!AT38</f>
        <v>0</v>
      </c>
      <c r="Q37" s="2">
        <f>+'s1'!AU38</f>
        <v>0</v>
      </c>
      <c r="R37" s="2">
        <f>+'s1'!AV38</f>
        <v>0</v>
      </c>
      <c r="S37" s="2">
        <f t="shared" si="0"/>
        <v>119964.61</v>
      </c>
      <c r="T37" s="2"/>
    </row>
    <row r="38" spans="1:20" x14ac:dyDescent="0.2">
      <c r="A38" s="18" t="s">
        <v>615</v>
      </c>
      <c r="B38" s="2">
        <f>+'s1'!AF39</f>
        <v>0</v>
      </c>
      <c r="C38" s="2">
        <f>+'s1'!AG39</f>
        <v>0</v>
      </c>
      <c r="D38" s="2">
        <f>+'s1'!AH39</f>
        <v>44.81</v>
      </c>
      <c r="E38" s="2">
        <f>+'s1'!AI39</f>
        <v>0</v>
      </c>
      <c r="F38" s="2">
        <f>+'s1'!AJ39</f>
        <v>0</v>
      </c>
      <c r="G38" s="2">
        <f>+'s1'!AK39</f>
        <v>0</v>
      </c>
      <c r="H38" s="2">
        <f>+'s1'!AL39</f>
        <v>0</v>
      </c>
      <c r="I38" s="2">
        <f>+'s1'!AM39</f>
        <v>0</v>
      </c>
      <c r="J38" s="2">
        <f>+'s1'!AN39</f>
        <v>0</v>
      </c>
      <c r="K38" s="2">
        <f>+'s1'!AO39</f>
        <v>0</v>
      </c>
      <c r="L38" s="2">
        <f>+'s1'!AP39</f>
        <v>0</v>
      </c>
      <c r="M38" s="2">
        <f>+'s1'!AQ39</f>
        <v>0</v>
      </c>
      <c r="N38" s="2">
        <f>+'s1'!AR39</f>
        <v>0</v>
      </c>
      <c r="O38" s="2">
        <f>+'s1'!AS39</f>
        <v>0</v>
      </c>
      <c r="P38" s="2">
        <f>+'s1'!AT39</f>
        <v>0</v>
      </c>
      <c r="Q38" s="2">
        <f>+'s1'!AU39</f>
        <v>97.02</v>
      </c>
      <c r="R38" s="2">
        <f>+'s1'!AV39</f>
        <v>0</v>
      </c>
      <c r="S38" s="2">
        <f t="shared" si="0"/>
        <v>141.83000000000001</v>
      </c>
      <c r="T38" s="1"/>
    </row>
    <row r="39" spans="1:20" x14ac:dyDescent="0.2">
      <c r="A39" s="18" t="s">
        <v>606</v>
      </c>
      <c r="B39" s="2">
        <f>+'s1'!AF40</f>
        <v>0</v>
      </c>
      <c r="C39" s="2">
        <f>+'s1'!AG40</f>
        <v>0</v>
      </c>
      <c r="D39" s="2">
        <f>+'s1'!AH40</f>
        <v>2156.67</v>
      </c>
      <c r="E39" s="2">
        <f>+'s1'!AI40</f>
        <v>0</v>
      </c>
      <c r="F39" s="2">
        <f>+'s1'!AJ40</f>
        <v>0</v>
      </c>
      <c r="G39" s="2">
        <f>+'s1'!AK40</f>
        <v>0</v>
      </c>
      <c r="H39" s="2">
        <f>+'s1'!AL40</f>
        <v>0</v>
      </c>
      <c r="I39" s="2">
        <f>+'s1'!AM40</f>
        <v>0</v>
      </c>
      <c r="J39" s="2">
        <f>+'s1'!AN40</f>
        <v>0</v>
      </c>
      <c r="K39" s="2">
        <f>+'s1'!AO40</f>
        <v>0</v>
      </c>
      <c r="L39" s="2">
        <f>+'s1'!AP40</f>
        <v>0</v>
      </c>
      <c r="M39" s="2">
        <f>+'s1'!AQ40</f>
        <v>0</v>
      </c>
      <c r="N39" s="2">
        <f>+'s1'!AR40</f>
        <v>0</v>
      </c>
      <c r="O39" s="2">
        <f>+'s1'!AS40</f>
        <v>0</v>
      </c>
      <c r="P39" s="2">
        <f>+'s1'!AT40</f>
        <v>0</v>
      </c>
      <c r="Q39" s="2">
        <f>+'s1'!AU40</f>
        <v>23616.52</v>
      </c>
      <c r="R39" s="2">
        <f>+'s1'!AV40</f>
        <v>0</v>
      </c>
      <c r="S39" s="2">
        <f t="shared" si="0"/>
        <v>25773.19</v>
      </c>
      <c r="T39" s="2"/>
    </row>
    <row r="40" spans="1:20" x14ac:dyDescent="0.2">
      <c r="A40" s="1" t="s">
        <v>44</v>
      </c>
      <c r="B40" s="2">
        <f>+'s1'!AF41</f>
        <v>0</v>
      </c>
      <c r="C40" s="2">
        <f>+'s1'!AG41</f>
        <v>0</v>
      </c>
      <c r="D40" s="2">
        <f>+'s1'!AH41</f>
        <v>0</v>
      </c>
      <c r="E40" s="2">
        <f>+'s1'!AI41</f>
        <v>0</v>
      </c>
      <c r="F40" s="2">
        <f>+'s1'!AJ41</f>
        <v>5767.42</v>
      </c>
      <c r="G40" s="2">
        <f>+'s1'!AK41</f>
        <v>0</v>
      </c>
      <c r="H40" s="2">
        <f>+'s1'!AL41</f>
        <v>0</v>
      </c>
      <c r="I40" s="2">
        <f>+'s1'!AM41</f>
        <v>0</v>
      </c>
      <c r="J40" s="2">
        <f>+'s1'!AN41</f>
        <v>0</v>
      </c>
      <c r="K40" s="2">
        <f>+'s1'!AO41</f>
        <v>0</v>
      </c>
      <c r="L40" s="2">
        <f>+'s1'!AP41</f>
        <v>0</v>
      </c>
      <c r="M40" s="2">
        <f>+'s1'!AQ41</f>
        <v>0</v>
      </c>
      <c r="N40" s="2">
        <f>+'s1'!AR41</f>
        <v>0</v>
      </c>
      <c r="O40" s="2">
        <f>+'s1'!AS41</f>
        <v>0</v>
      </c>
      <c r="P40" s="2">
        <f>+'s1'!AT41</f>
        <v>0</v>
      </c>
      <c r="Q40" s="2">
        <f>+'s1'!AU41</f>
        <v>0</v>
      </c>
      <c r="R40" s="2">
        <f>+'s1'!AV41</f>
        <v>0</v>
      </c>
      <c r="S40" s="2">
        <f t="shared" si="0"/>
        <v>5767.42</v>
      </c>
      <c r="T40" s="1"/>
    </row>
    <row r="41" spans="1:20" x14ac:dyDescent="0.2">
      <c r="A41" s="1" t="s">
        <v>447</v>
      </c>
      <c r="B41" s="2">
        <f>+'s1'!AF42</f>
        <v>0</v>
      </c>
      <c r="C41" s="2">
        <f>+'s1'!AG42</f>
        <v>0</v>
      </c>
      <c r="D41" s="2">
        <f>+'s1'!AH42</f>
        <v>215.74</v>
      </c>
      <c r="E41" s="2">
        <f>+'s1'!AI42</f>
        <v>0</v>
      </c>
      <c r="F41" s="2">
        <f>+'s1'!AJ42</f>
        <v>0</v>
      </c>
      <c r="G41" s="2">
        <f>+'s1'!AK42</f>
        <v>0</v>
      </c>
      <c r="H41" s="2">
        <f>+'s1'!AL42</f>
        <v>0</v>
      </c>
      <c r="I41" s="2">
        <f>+'s1'!AM42</f>
        <v>0</v>
      </c>
      <c r="J41" s="2">
        <f>+'s1'!AN42</f>
        <v>0</v>
      </c>
      <c r="K41" s="2">
        <f>+'s1'!AO42</f>
        <v>0</v>
      </c>
      <c r="L41" s="2">
        <f>+'s1'!AP42</f>
        <v>0</v>
      </c>
      <c r="M41" s="2">
        <f>+'s1'!AQ42</f>
        <v>0</v>
      </c>
      <c r="N41" s="2">
        <f>+'s1'!AR42</f>
        <v>0</v>
      </c>
      <c r="O41" s="2">
        <f>+'s1'!AS42</f>
        <v>0</v>
      </c>
      <c r="P41" s="2">
        <f>+'s1'!AT42</f>
        <v>0</v>
      </c>
      <c r="Q41" s="2">
        <f>+'s1'!AU42</f>
        <v>0</v>
      </c>
      <c r="R41" s="2">
        <f>+'s1'!AV42</f>
        <v>0</v>
      </c>
      <c r="S41" s="2">
        <f t="shared" si="0"/>
        <v>215.74</v>
      </c>
      <c r="T41" s="2"/>
    </row>
    <row r="42" spans="1:20" x14ac:dyDescent="0.2">
      <c r="A42" s="1" t="s">
        <v>430</v>
      </c>
      <c r="B42" s="2">
        <f>+'s1'!AF43</f>
        <v>0</v>
      </c>
      <c r="C42" s="2">
        <f>+'s1'!AG43</f>
        <v>0</v>
      </c>
      <c r="D42" s="2">
        <f>+'s1'!AH43</f>
        <v>188239.7</v>
      </c>
      <c r="E42" s="2">
        <f>+'s1'!AI43</f>
        <v>0</v>
      </c>
      <c r="F42" s="2">
        <f>+'s1'!AJ43</f>
        <v>0</v>
      </c>
      <c r="G42" s="2">
        <f>+'s1'!AK43</f>
        <v>0</v>
      </c>
      <c r="H42" s="2">
        <f>+'s1'!AL43</f>
        <v>0</v>
      </c>
      <c r="I42" s="2">
        <f>+'s1'!AM43</f>
        <v>0</v>
      </c>
      <c r="J42" s="2">
        <f>+'s1'!AN43</f>
        <v>0</v>
      </c>
      <c r="K42" s="2">
        <f>+'s1'!AO43</f>
        <v>0</v>
      </c>
      <c r="L42" s="2">
        <f>+'s1'!AP43</f>
        <v>0</v>
      </c>
      <c r="M42" s="2">
        <f>+'s1'!AQ43</f>
        <v>0</v>
      </c>
      <c r="N42" s="2">
        <f>+'s1'!AR43</f>
        <v>4253.91</v>
      </c>
      <c r="O42" s="2">
        <f>+'s1'!AS43</f>
        <v>0</v>
      </c>
      <c r="P42" s="2">
        <f>+'s1'!AT43</f>
        <v>0</v>
      </c>
      <c r="Q42" s="2">
        <f>+'s1'!AU43</f>
        <v>0</v>
      </c>
      <c r="R42" s="2">
        <f>+'s1'!AV43</f>
        <v>0</v>
      </c>
      <c r="S42" s="2">
        <f>SUM(B42:R42)</f>
        <v>192493.61</v>
      </c>
      <c r="T42" s="2"/>
    </row>
    <row r="43" spans="1:20" x14ac:dyDescent="0.2">
      <c r="A43" s="1" t="s">
        <v>448</v>
      </c>
      <c r="B43" s="2">
        <f>+'s1'!AF44</f>
        <v>0</v>
      </c>
      <c r="C43" s="2">
        <f>+'s1'!AG44</f>
        <v>0</v>
      </c>
      <c r="D43" s="2">
        <f>+'s1'!AH44</f>
        <v>13095.05</v>
      </c>
      <c r="E43" s="2">
        <f>+'s1'!AI44</f>
        <v>0</v>
      </c>
      <c r="F43" s="2">
        <f>+'s1'!AJ44</f>
        <v>2385.75</v>
      </c>
      <c r="G43" s="2">
        <f>+'s1'!AK44</f>
        <v>0</v>
      </c>
      <c r="H43" s="2">
        <f>+'s1'!AL44</f>
        <v>0</v>
      </c>
      <c r="I43" s="2">
        <f>+'s1'!AM44</f>
        <v>0</v>
      </c>
      <c r="J43" s="2">
        <f>+'s1'!AN44</f>
        <v>0</v>
      </c>
      <c r="K43" s="2">
        <f>+'s1'!AO44</f>
        <v>0</v>
      </c>
      <c r="L43" s="2">
        <f>+'s1'!AP44</f>
        <v>0</v>
      </c>
      <c r="M43" s="2">
        <f>+'s1'!AQ44</f>
        <v>0</v>
      </c>
      <c r="N43" s="2">
        <f>+'s1'!AR44</f>
        <v>0</v>
      </c>
      <c r="O43" s="2">
        <f>+'s1'!AS44</f>
        <v>0</v>
      </c>
      <c r="P43" s="2">
        <f>+'s1'!AT44</f>
        <v>0</v>
      </c>
      <c r="Q43" s="2">
        <f>+'s1'!AU44</f>
        <v>2116.0100000000002</v>
      </c>
      <c r="R43" s="2">
        <f>+'s1'!AV44</f>
        <v>0</v>
      </c>
      <c r="S43" s="2">
        <f t="shared" si="0"/>
        <v>17596.810000000001</v>
      </c>
      <c r="T43" s="2"/>
    </row>
    <row r="44" spans="1:20" x14ac:dyDescent="0.2">
      <c r="A44" s="1" t="s">
        <v>715</v>
      </c>
      <c r="B44" s="2">
        <f>+'s1'!AF45</f>
        <v>0</v>
      </c>
      <c r="C44" s="2">
        <f>+'s1'!AG45</f>
        <v>0</v>
      </c>
      <c r="D44" s="2">
        <f>+'s1'!AH45</f>
        <v>0</v>
      </c>
      <c r="E44" s="2">
        <f>+'s1'!AI45</f>
        <v>0</v>
      </c>
      <c r="F44" s="2">
        <f>+'s1'!AJ45</f>
        <v>88.49</v>
      </c>
      <c r="G44" s="2">
        <f>+'s1'!AK45</f>
        <v>0</v>
      </c>
      <c r="H44" s="2">
        <f>+'s1'!AL45</f>
        <v>0</v>
      </c>
      <c r="I44" s="2">
        <f>+'s1'!AM45</f>
        <v>0</v>
      </c>
      <c r="J44" s="2">
        <f>+'s1'!AN45</f>
        <v>0</v>
      </c>
      <c r="K44" s="2">
        <f>+'s1'!AO45</f>
        <v>0</v>
      </c>
      <c r="L44" s="2">
        <f>+'s1'!AP45</f>
        <v>0</v>
      </c>
      <c r="M44" s="2">
        <f>+'s1'!AQ45</f>
        <v>0</v>
      </c>
      <c r="N44" s="2">
        <f>+'s1'!AR45</f>
        <v>0</v>
      </c>
      <c r="O44" s="2">
        <f>+'s1'!AS45</f>
        <v>0</v>
      </c>
      <c r="P44" s="2">
        <f>+'s1'!AT45</f>
        <v>0</v>
      </c>
      <c r="Q44" s="2">
        <f>+'s1'!AU45</f>
        <v>0</v>
      </c>
      <c r="R44" s="2">
        <f>+'s1'!AV45</f>
        <v>0</v>
      </c>
      <c r="S44" s="2">
        <f>SUM(B44:R44)</f>
        <v>88.49</v>
      </c>
      <c r="T44" s="2"/>
    </row>
    <row r="45" spans="1:20" x14ac:dyDescent="0.2">
      <c r="A45" s="1" t="s">
        <v>454</v>
      </c>
      <c r="B45" s="2">
        <f>+'s1'!AF46</f>
        <v>0</v>
      </c>
      <c r="C45" s="2">
        <f>+'s1'!AG46</f>
        <v>0</v>
      </c>
      <c r="D45" s="2">
        <f>+'s1'!AH46</f>
        <v>0</v>
      </c>
      <c r="E45" s="2">
        <f>+'s1'!AI46</f>
        <v>0</v>
      </c>
      <c r="F45" s="2">
        <f>+'s1'!AJ46</f>
        <v>0</v>
      </c>
      <c r="G45" s="2">
        <f>+'s1'!AK46</f>
        <v>0</v>
      </c>
      <c r="H45" s="2">
        <f>+'s1'!AL46</f>
        <v>0</v>
      </c>
      <c r="I45" s="2">
        <f>+'s1'!AM46</f>
        <v>112.63</v>
      </c>
      <c r="J45" s="2">
        <f>+'s1'!AN46</f>
        <v>0</v>
      </c>
      <c r="K45" s="2">
        <f>+'s1'!AO46</f>
        <v>0</v>
      </c>
      <c r="L45" s="2">
        <f>+'s1'!AP46</f>
        <v>0</v>
      </c>
      <c r="M45" s="2">
        <f>+'s1'!AQ46</f>
        <v>0</v>
      </c>
      <c r="N45" s="2">
        <f>+'s1'!AR46</f>
        <v>0</v>
      </c>
      <c r="O45" s="2">
        <f>+'s1'!AS46</f>
        <v>0</v>
      </c>
      <c r="P45" s="2">
        <f>+'s1'!AT46</f>
        <v>0</v>
      </c>
      <c r="Q45" s="2">
        <f>+'s1'!AU46</f>
        <v>19.850000000000001</v>
      </c>
      <c r="R45" s="2">
        <f>+'s1'!AV46</f>
        <v>0</v>
      </c>
      <c r="S45" s="2">
        <f t="shared" si="0"/>
        <v>132.47999999999999</v>
      </c>
      <c r="T45" s="2"/>
    </row>
    <row r="46" spans="1:20" x14ac:dyDescent="0.2">
      <c r="A46" s="1" t="s">
        <v>728</v>
      </c>
      <c r="B46" s="2">
        <f>+'s1'!AF47</f>
        <v>0</v>
      </c>
      <c r="C46" s="2">
        <f>+'s1'!AG47</f>
        <v>0</v>
      </c>
      <c r="D46" s="2">
        <f>+'s1'!AH47</f>
        <v>0</v>
      </c>
      <c r="E46" s="2">
        <f>+'s1'!AI47</f>
        <v>0</v>
      </c>
      <c r="F46" s="2">
        <f>+'s1'!AJ47</f>
        <v>0</v>
      </c>
      <c r="G46" s="2">
        <f>+'s1'!AK47</f>
        <v>0</v>
      </c>
      <c r="H46" s="2">
        <f>+'s1'!AL47</f>
        <v>0</v>
      </c>
      <c r="I46" s="2">
        <f>+'s1'!AM47</f>
        <v>0</v>
      </c>
      <c r="J46" s="2">
        <f>+'s1'!AN47</f>
        <v>0</v>
      </c>
      <c r="K46" s="2">
        <f>+'s1'!AO47</f>
        <v>0</v>
      </c>
      <c r="L46" s="2">
        <f>+'s1'!AP47</f>
        <v>0</v>
      </c>
      <c r="M46" s="2">
        <f>+'s1'!AQ47</f>
        <v>0</v>
      </c>
      <c r="N46" s="2">
        <f>+'s1'!AR47</f>
        <v>0</v>
      </c>
      <c r="O46" s="2">
        <f>+'s1'!AS47</f>
        <v>0</v>
      </c>
      <c r="P46" s="2">
        <f>+'s1'!AT47</f>
        <v>0</v>
      </c>
      <c r="Q46" s="2">
        <f>+'s1'!AU47</f>
        <v>0</v>
      </c>
      <c r="R46" s="2">
        <f>+'s1'!AV47</f>
        <v>10619.23</v>
      </c>
      <c r="S46" s="2">
        <f>SUM(B46:R46)</f>
        <v>10619.23</v>
      </c>
      <c r="T46" s="2"/>
    </row>
    <row r="47" spans="1:20" x14ac:dyDescent="0.2">
      <c r="A47" s="18" t="s">
        <v>497</v>
      </c>
      <c r="B47" s="2">
        <f>+'s1'!AF48</f>
        <v>0</v>
      </c>
      <c r="C47" s="2">
        <f>+'s1'!AG48</f>
        <v>5159.79</v>
      </c>
      <c r="D47" s="2">
        <f>+'s1'!AH48</f>
        <v>260839.59</v>
      </c>
      <c r="E47" s="2">
        <f>+'s1'!AI48</f>
        <v>0</v>
      </c>
      <c r="F47" s="2">
        <f>+'s1'!AJ48</f>
        <v>0</v>
      </c>
      <c r="G47" s="2">
        <f>+'s1'!AK48</f>
        <v>0</v>
      </c>
      <c r="H47" s="2">
        <f>+'s1'!AL48</f>
        <v>0</v>
      </c>
      <c r="I47" s="2">
        <f>+'s1'!AM48</f>
        <v>0</v>
      </c>
      <c r="J47" s="2">
        <f>+'s1'!AN48</f>
        <v>0</v>
      </c>
      <c r="K47" s="2">
        <f>+'s1'!AO48</f>
        <v>0</v>
      </c>
      <c r="L47" s="2">
        <f>+'s1'!AP48</f>
        <v>0</v>
      </c>
      <c r="M47" s="2">
        <f>+'s1'!AQ48</f>
        <v>0</v>
      </c>
      <c r="N47" s="2">
        <f>+'s1'!AR48</f>
        <v>0</v>
      </c>
      <c r="O47" s="2">
        <f>+'s1'!AS48</f>
        <v>0</v>
      </c>
      <c r="P47" s="2">
        <f>+'s1'!AT48</f>
        <v>0</v>
      </c>
      <c r="Q47" s="2">
        <f>+'s1'!AU48</f>
        <v>14421.05</v>
      </c>
      <c r="R47" s="2">
        <f>+'s1'!AV48</f>
        <v>0</v>
      </c>
      <c r="S47" s="2">
        <f t="shared" si="0"/>
        <v>280420.43</v>
      </c>
      <c r="T47" s="1"/>
    </row>
    <row r="48" spans="1:20" x14ac:dyDescent="0.2">
      <c r="A48" s="18" t="s">
        <v>705</v>
      </c>
      <c r="B48" s="2">
        <f>+'s1'!AF49</f>
        <v>0</v>
      </c>
      <c r="C48" s="2">
        <f>+'s1'!AG49</f>
        <v>0</v>
      </c>
      <c r="D48" s="2">
        <f>+'s1'!AH49</f>
        <v>0</v>
      </c>
      <c r="E48" s="2">
        <f>+'s1'!AI49</f>
        <v>0</v>
      </c>
      <c r="F48" s="2">
        <f>+'s1'!AJ49</f>
        <v>0</v>
      </c>
      <c r="G48" s="2">
        <f>+'s1'!AK49</f>
        <v>0</v>
      </c>
      <c r="H48" s="2">
        <f>+'s1'!AL49</f>
        <v>0</v>
      </c>
      <c r="I48" s="2">
        <f>+'s1'!AM49</f>
        <v>0</v>
      </c>
      <c r="J48" s="2">
        <f>+'s1'!AN49</f>
        <v>0</v>
      </c>
      <c r="K48" s="2">
        <f>+'s1'!AO49</f>
        <v>0</v>
      </c>
      <c r="L48" s="2">
        <f>+'s1'!AP49</f>
        <v>0</v>
      </c>
      <c r="M48" s="2">
        <f>+'s1'!AQ49</f>
        <v>0</v>
      </c>
      <c r="N48" s="2">
        <f>+'s1'!AR49</f>
        <v>6577.56</v>
      </c>
      <c r="O48" s="2">
        <f>+'s1'!AS49</f>
        <v>0</v>
      </c>
      <c r="P48" s="2">
        <f>+'s1'!AT49</f>
        <v>0</v>
      </c>
      <c r="Q48" s="2">
        <f>+'s1'!AU49</f>
        <v>0</v>
      </c>
      <c r="R48" s="2">
        <f>+'s1'!AV49</f>
        <v>0</v>
      </c>
      <c r="S48" s="2">
        <f t="shared" si="0"/>
        <v>6577.56</v>
      </c>
      <c r="T48" s="1"/>
    </row>
    <row r="49" spans="1:20" x14ac:dyDescent="0.2">
      <c r="A49" s="1" t="s">
        <v>754</v>
      </c>
      <c r="B49" s="2">
        <f>+'s1'!AF50</f>
        <v>0</v>
      </c>
      <c r="C49" s="2">
        <f>+'s1'!AG50</f>
        <v>0</v>
      </c>
      <c r="D49" s="2">
        <f>+'s1'!AH50</f>
        <v>0</v>
      </c>
      <c r="E49" s="2">
        <f>+'s1'!AI50</f>
        <v>0</v>
      </c>
      <c r="F49" s="2">
        <f>+'s1'!AJ50</f>
        <v>0</v>
      </c>
      <c r="G49" s="2">
        <f>+'s1'!AK50</f>
        <v>0</v>
      </c>
      <c r="H49" s="2">
        <f>+'s1'!AL50</f>
        <v>0</v>
      </c>
      <c r="I49" s="2">
        <f>+'s1'!AM50</f>
        <v>0</v>
      </c>
      <c r="J49" s="2">
        <f>+'s1'!AN50</f>
        <v>0</v>
      </c>
      <c r="K49" s="2">
        <f>+'s1'!AO50</f>
        <v>0</v>
      </c>
      <c r="L49" s="2">
        <f>+'s1'!AP50</f>
        <v>0</v>
      </c>
      <c r="M49" s="2">
        <f>+'s1'!AQ50</f>
        <v>0</v>
      </c>
      <c r="N49" s="2">
        <f>+'s1'!AR50</f>
        <v>0</v>
      </c>
      <c r="O49" s="2">
        <f>+'s1'!AS50</f>
        <v>0</v>
      </c>
      <c r="P49" s="2">
        <f>+'s1'!AT50</f>
        <v>0</v>
      </c>
      <c r="Q49" s="2">
        <f>+'s1'!AU50</f>
        <v>0</v>
      </c>
      <c r="R49" s="2">
        <f>+'s1'!AV50</f>
        <v>0</v>
      </c>
      <c r="S49" s="2">
        <f>SUM(B49:R49)</f>
        <v>0</v>
      </c>
      <c r="T49" s="2"/>
    </row>
    <row r="50" spans="1:20" s="20" customFormat="1" x14ac:dyDescent="0.2">
      <c r="A50" s="1" t="s">
        <v>431</v>
      </c>
      <c r="B50" s="2">
        <f>+'s1'!AF51</f>
        <v>0</v>
      </c>
      <c r="C50" s="2">
        <f>+'s1'!AG51</f>
        <v>0</v>
      </c>
      <c r="D50" s="2">
        <f>+'s1'!AH51</f>
        <v>177484.51</v>
      </c>
      <c r="E50" s="2">
        <f>+'s1'!AI51</f>
        <v>0</v>
      </c>
      <c r="F50" s="2">
        <f>+'s1'!AJ51</f>
        <v>0</v>
      </c>
      <c r="G50" s="2">
        <f>+'s1'!AK51</f>
        <v>0</v>
      </c>
      <c r="H50" s="2">
        <f>+'s1'!AL51</f>
        <v>0</v>
      </c>
      <c r="I50" s="2">
        <f>+'s1'!AM51</f>
        <v>0</v>
      </c>
      <c r="J50" s="2">
        <f>+'s1'!AN51</f>
        <v>0</v>
      </c>
      <c r="K50" s="2">
        <f>+'s1'!AO51</f>
        <v>0</v>
      </c>
      <c r="L50" s="2">
        <f>+'s1'!AP51</f>
        <v>0</v>
      </c>
      <c r="M50" s="2">
        <f>+'s1'!AQ51</f>
        <v>0</v>
      </c>
      <c r="N50" s="2">
        <f>+'s1'!AR51</f>
        <v>3000.33</v>
      </c>
      <c r="O50" s="2">
        <f>+'s1'!AS51</f>
        <v>0</v>
      </c>
      <c r="P50" s="2">
        <f>+'s1'!AT51</f>
        <v>0</v>
      </c>
      <c r="Q50" s="2">
        <f>+'s1'!AU51</f>
        <v>0</v>
      </c>
      <c r="R50" s="2">
        <f>+'s1'!AV51</f>
        <v>0</v>
      </c>
      <c r="S50" s="2">
        <f t="shared" si="0"/>
        <v>180484.84</v>
      </c>
      <c r="T50" s="78"/>
    </row>
    <row r="51" spans="1:20" x14ac:dyDescent="0.2">
      <c r="A51" s="18" t="s">
        <v>500</v>
      </c>
      <c r="B51" s="2">
        <f>+'s1'!AF52</f>
        <v>0</v>
      </c>
      <c r="C51" s="2">
        <f>+'s1'!AG52</f>
        <v>0</v>
      </c>
      <c r="D51" s="2">
        <f>+'s1'!AH52</f>
        <v>0</v>
      </c>
      <c r="E51" s="2">
        <f>+'s1'!AI52</f>
        <v>0</v>
      </c>
      <c r="F51" s="2">
        <f>+'s1'!AJ52</f>
        <v>0</v>
      </c>
      <c r="G51" s="2">
        <f>+'s1'!AK52</f>
        <v>0</v>
      </c>
      <c r="H51" s="2">
        <f>+'s1'!AL52</f>
        <v>0</v>
      </c>
      <c r="I51" s="2">
        <f>+'s1'!AM52</f>
        <v>0</v>
      </c>
      <c r="J51" s="2">
        <f>+'s1'!AN52</f>
        <v>0</v>
      </c>
      <c r="K51" s="2">
        <f>+'s1'!AO52</f>
        <v>0</v>
      </c>
      <c r="L51" s="2">
        <f>+'s1'!AP52</f>
        <v>0</v>
      </c>
      <c r="M51" s="2">
        <f>+'s1'!AQ52</f>
        <v>0</v>
      </c>
      <c r="N51" s="2">
        <f>+'s1'!AR52</f>
        <v>4906.12</v>
      </c>
      <c r="O51" s="2">
        <f>+'s1'!AS52</f>
        <v>0</v>
      </c>
      <c r="P51" s="2">
        <f>+'s1'!AT52</f>
        <v>0</v>
      </c>
      <c r="Q51" s="2">
        <f>+'s1'!AU52</f>
        <v>0</v>
      </c>
      <c r="R51" s="2">
        <f>+'s1'!AV52</f>
        <v>0</v>
      </c>
      <c r="S51" s="2">
        <f t="shared" si="0"/>
        <v>4906.12</v>
      </c>
      <c r="T51" s="2"/>
    </row>
    <row r="52" spans="1:20" s="20" customFormat="1" x14ac:dyDescent="0.2">
      <c r="A52" s="18" t="s">
        <v>607</v>
      </c>
      <c r="B52" s="2">
        <f>+'s1'!AF53</f>
        <v>0</v>
      </c>
      <c r="C52" s="2">
        <f>+'s1'!AG53</f>
        <v>0</v>
      </c>
      <c r="D52" s="2">
        <f>+'s1'!AH53</f>
        <v>45689.01</v>
      </c>
      <c r="E52" s="2">
        <f>+'s1'!AI53</f>
        <v>2066.98</v>
      </c>
      <c r="F52" s="2">
        <f>+'s1'!AJ53</f>
        <v>6101.48</v>
      </c>
      <c r="G52" s="2">
        <f>+'s1'!AK53</f>
        <v>0</v>
      </c>
      <c r="H52" s="2">
        <f>+'s1'!AL53</f>
        <v>0</v>
      </c>
      <c r="I52" s="2">
        <f>+'s1'!AM53</f>
        <v>0</v>
      </c>
      <c r="J52" s="2">
        <f>+'s1'!AN53</f>
        <v>0</v>
      </c>
      <c r="K52" s="2">
        <f>+'s1'!AO53</f>
        <v>0</v>
      </c>
      <c r="L52" s="2">
        <f>+'s1'!AP53</f>
        <v>0</v>
      </c>
      <c r="M52" s="2">
        <f>+'s1'!AQ53</f>
        <v>0</v>
      </c>
      <c r="N52" s="2">
        <f>+'s1'!AR53</f>
        <v>0</v>
      </c>
      <c r="O52" s="2">
        <f>+'s1'!AS53</f>
        <v>0</v>
      </c>
      <c r="P52" s="2">
        <f>+'s1'!AT53</f>
        <v>0</v>
      </c>
      <c r="Q52" s="2">
        <f>+'s1'!AU53</f>
        <v>2350</v>
      </c>
      <c r="R52" s="2">
        <f>+'s1'!AV53</f>
        <v>0</v>
      </c>
      <c r="S52" s="2">
        <f t="shared" si="0"/>
        <v>56207.47</v>
      </c>
      <c r="T52" s="78"/>
    </row>
    <row r="53" spans="1:20" x14ac:dyDescent="0.2">
      <c r="A53" s="7" t="s">
        <v>345</v>
      </c>
      <c r="B53" s="2">
        <f>+'s1'!AF54</f>
        <v>0</v>
      </c>
      <c r="C53" s="2">
        <f>+'s1'!AG54</f>
        <v>0</v>
      </c>
      <c r="D53" s="2">
        <f>+'s1'!AH54</f>
        <v>0</v>
      </c>
      <c r="E53" s="2">
        <f>+'s1'!AI54</f>
        <v>0</v>
      </c>
      <c r="F53" s="2">
        <f>+'s1'!AJ54</f>
        <v>0</v>
      </c>
      <c r="G53" s="2">
        <f>+'s1'!AK54</f>
        <v>747.66</v>
      </c>
      <c r="H53" s="2">
        <f>+'s1'!AL54</f>
        <v>0</v>
      </c>
      <c r="I53" s="2">
        <f>+'s1'!AM54</f>
        <v>0</v>
      </c>
      <c r="J53" s="2">
        <f>+'s1'!AN54</f>
        <v>0</v>
      </c>
      <c r="K53" s="2">
        <f>+'s1'!AO54</f>
        <v>0</v>
      </c>
      <c r="L53" s="2">
        <f>+'s1'!AP54</f>
        <v>0</v>
      </c>
      <c r="M53" s="2">
        <f>+'s1'!AQ54</f>
        <v>0</v>
      </c>
      <c r="N53" s="2">
        <f>+'s1'!AR54</f>
        <v>5992.78</v>
      </c>
      <c r="O53" s="2">
        <f>+'s1'!AS54</f>
        <v>0</v>
      </c>
      <c r="P53" s="2">
        <f>+'s1'!AT54</f>
        <v>0</v>
      </c>
      <c r="Q53" s="2">
        <f>+'s1'!AU54</f>
        <v>0</v>
      </c>
      <c r="R53" s="2">
        <f>+'s1'!AV54</f>
        <v>4390.51</v>
      </c>
      <c r="S53" s="2">
        <f t="shared" si="0"/>
        <v>11130.95</v>
      </c>
      <c r="T53" s="2"/>
    </row>
    <row r="54" spans="1:20" s="20" customFormat="1" x14ac:dyDescent="0.2">
      <c r="A54" s="246" t="s">
        <v>455</v>
      </c>
      <c r="B54" s="2">
        <f>+'s1'!AF55</f>
        <v>0</v>
      </c>
      <c r="C54" s="2">
        <f>+'s1'!AG55</f>
        <v>0</v>
      </c>
      <c r="D54" s="2">
        <f>+'s1'!AH55</f>
        <v>114529.73</v>
      </c>
      <c r="E54" s="2">
        <f>+'s1'!AI55</f>
        <v>0</v>
      </c>
      <c r="F54" s="2">
        <f>+'s1'!AJ55</f>
        <v>0</v>
      </c>
      <c r="G54" s="2">
        <f>+'s1'!AK55</f>
        <v>0</v>
      </c>
      <c r="H54" s="2">
        <f>+'s1'!AL55</f>
        <v>0</v>
      </c>
      <c r="I54" s="2">
        <f>+'s1'!AM55</f>
        <v>0</v>
      </c>
      <c r="J54" s="2">
        <f>+'s1'!AN55</f>
        <v>0</v>
      </c>
      <c r="K54" s="2">
        <f>+'s1'!AO55</f>
        <v>0</v>
      </c>
      <c r="L54" s="2">
        <f>+'s1'!AP55</f>
        <v>0</v>
      </c>
      <c r="M54" s="2">
        <f>+'s1'!AQ55</f>
        <v>0</v>
      </c>
      <c r="N54" s="2">
        <f>+'s1'!AR55</f>
        <v>0</v>
      </c>
      <c r="O54" s="2">
        <f>+'s1'!AS55</f>
        <v>0</v>
      </c>
      <c r="P54" s="2">
        <f>+'s1'!AT55</f>
        <v>0</v>
      </c>
      <c r="Q54" s="2">
        <f>+'s1'!AU55</f>
        <v>0</v>
      </c>
      <c r="R54" s="2">
        <f>+'s1'!AV55</f>
        <v>0</v>
      </c>
      <c r="S54" s="2">
        <f t="shared" si="0"/>
        <v>114529.73</v>
      </c>
      <c r="T54" s="78"/>
    </row>
    <row r="55" spans="1:20" x14ac:dyDescent="0.2">
      <c r="A55" s="7" t="s">
        <v>432</v>
      </c>
      <c r="B55" s="2">
        <f>+'s1'!AF56</f>
        <v>0</v>
      </c>
      <c r="C55" s="2">
        <f>+'s1'!AG56</f>
        <v>0</v>
      </c>
      <c r="D55" s="2">
        <f>+'s1'!AH56</f>
        <v>0</v>
      </c>
      <c r="E55" s="2">
        <f>+'s1'!AI56</f>
        <v>0</v>
      </c>
      <c r="F55" s="2">
        <f>+'s1'!AJ56</f>
        <v>0</v>
      </c>
      <c r="G55" s="2">
        <f>+'s1'!AK56</f>
        <v>0</v>
      </c>
      <c r="H55" s="2">
        <f>+'s1'!AL56</f>
        <v>0</v>
      </c>
      <c r="I55" s="2">
        <f>+'s1'!AM56</f>
        <v>2160.5500000000002</v>
      </c>
      <c r="J55" s="2">
        <f>+'s1'!AN56</f>
        <v>0</v>
      </c>
      <c r="K55" s="2">
        <f>+'s1'!AO56</f>
        <v>0</v>
      </c>
      <c r="L55" s="2">
        <f>+'s1'!AP56</f>
        <v>0</v>
      </c>
      <c r="M55" s="2">
        <f>+'s1'!AQ56</f>
        <v>0</v>
      </c>
      <c r="N55" s="2">
        <f>+'s1'!AR56</f>
        <v>0</v>
      </c>
      <c r="O55" s="2">
        <f>+'s1'!AS56</f>
        <v>0</v>
      </c>
      <c r="P55" s="2">
        <f>+'s1'!AT56</f>
        <v>0</v>
      </c>
      <c r="Q55" s="2">
        <f>+'s1'!AU56</f>
        <v>0</v>
      </c>
      <c r="R55" s="2">
        <f>+'s1'!AV56</f>
        <v>0</v>
      </c>
      <c r="S55" s="2">
        <f t="shared" si="0"/>
        <v>2160.5500000000002</v>
      </c>
      <c r="T55" s="2"/>
    </row>
    <row r="56" spans="1:20" s="20" customFormat="1" x14ac:dyDescent="0.2">
      <c r="A56" s="1" t="s">
        <v>45</v>
      </c>
      <c r="B56" s="2">
        <f>+'s1'!AF57</f>
        <v>0</v>
      </c>
      <c r="C56" s="2">
        <f>+'s1'!AG57</f>
        <v>0</v>
      </c>
      <c r="D56" s="2">
        <f>+'s1'!AH57</f>
        <v>0</v>
      </c>
      <c r="E56" s="2">
        <f>+'s1'!AI57</f>
        <v>0</v>
      </c>
      <c r="F56" s="2">
        <f>+'s1'!AJ57</f>
        <v>3616.51</v>
      </c>
      <c r="G56" s="2">
        <f>+'s1'!AK57</f>
        <v>0</v>
      </c>
      <c r="H56" s="2">
        <f>+'s1'!AL57</f>
        <v>0</v>
      </c>
      <c r="I56" s="2">
        <f>+'s1'!AM57</f>
        <v>1975.68</v>
      </c>
      <c r="J56" s="2">
        <f>+'s1'!AN57</f>
        <v>0</v>
      </c>
      <c r="K56" s="2">
        <f>+'s1'!AO57</f>
        <v>0</v>
      </c>
      <c r="L56" s="2">
        <f>+'s1'!AP57</f>
        <v>0</v>
      </c>
      <c r="M56" s="2">
        <f>+'s1'!AQ57</f>
        <v>0</v>
      </c>
      <c r="N56" s="2">
        <f>+'s1'!AR57</f>
        <v>0</v>
      </c>
      <c r="O56" s="2">
        <f>+'s1'!AS57</f>
        <v>0</v>
      </c>
      <c r="P56" s="2">
        <f>+'s1'!AT57</f>
        <v>0</v>
      </c>
      <c r="Q56" s="2">
        <f>+'s1'!AU57</f>
        <v>0</v>
      </c>
      <c r="R56" s="2">
        <f>+'s1'!AV57</f>
        <v>0</v>
      </c>
      <c r="S56" s="2">
        <f t="shared" si="0"/>
        <v>5592.19</v>
      </c>
      <c r="T56" s="78"/>
    </row>
    <row r="57" spans="1:20" s="20" customFormat="1" x14ac:dyDescent="0.2">
      <c r="A57" s="18" t="s">
        <v>46</v>
      </c>
      <c r="B57" s="2">
        <f>+'s1'!AF58</f>
        <v>0</v>
      </c>
      <c r="C57" s="2">
        <f>+'s1'!AG58</f>
        <v>0</v>
      </c>
      <c r="D57" s="2">
        <f>+'s1'!AH58</f>
        <v>72313.679999999993</v>
      </c>
      <c r="E57" s="2">
        <f>+'s1'!AI58</f>
        <v>0</v>
      </c>
      <c r="F57" s="2">
        <f>+'s1'!AJ58</f>
        <v>1880.89</v>
      </c>
      <c r="G57" s="2">
        <f>+'s1'!AK58</f>
        <v>0</v>
      </c>
      <c r="H57" s="2">
        <f>+'s1'!AL58</f>
        <v>488.16</v>
      </c>
      <c r="I57" s="2">
        <f>+'s1'!AM58</f>
        <v>551.25</v>
      </c>
      <c r="J57" s="2">
        <f>+'s1'!AN58</f>
        <v>3573.42</v>
      </c>
      <c r="K57" s="2">
        <f>+'s1'!AO58</f>
        <v>331.4</v>
      </c>
      <c r="L57" s="2">
        <f>+'s1'!AP58</f>
        <v>0</v>
      </c>
      <c r="M57" s="2">
        <f>+'s1'!AQ58</f>
        <v>0</v>
      </c>
      <c r="N57" s="2">
        <f>+'s1'!AR58</f>
        <v>99.8</v>
      </c>
      <c r="O57" s="2">
        <f>+'s1'!AS58</f>
        <v>3437.86</v>
      </c>
      <c r="P57" s="2">
        <f>+'s1'!AT58</f>
        <v>0</v>
      </c>
      <c r="Q57" s="2">
        <f>+'s1'!AU58</f>
        <v>0</v>
      </c>
      <c r="R57" s="2">
        <f>+'s1'!AV58</f>
        <v>749.08</v>
      </c>
      <c r="S57" s="2">
        <f t="shared" si="0"/>
        <v>83425.539999999994</v>
      </c>
      <c r="T57" s="78"/>
    </row>
    <row r="58" spans="1:20" x14ac:dyDescent="0.2">
      <c r="A58" s="1" t="s">
        <v>775</v>
      </c>
      <c r="B58" s="2">
        <f>+'s1'!AF59</f>
        <v>0</v>
      </c>
      <c r="C58" s="2">
        <f>+'s1'!AG59</f>
        <v>0</v>
      </c>
      <c r="D58" s="2">
        <f>+'s1'!AH59</f>
        <v>0</v>
      </c>
      <c r="E58" s="2">
        <f>+'s1'!AI59</f>
        <v>0</v>
      </c>
      <c r="F58" s="2">
        <f>+'s1'!AJ59</f>
        <v>-199.02</v>
      </c>
      <c r="G58" s="2">
        <f>+'s1'!AK59</f>
        <v>0</v>
      </c>
      <c r="H58" s="2">
        <f>+'s1'!AL59</f>
        <v>0</v>
      </c>
      <c r="I58" s="2">
        <f>+'s1'!AM59</f>
        <v>0</v>
      </c>
      <c r="J58" s="2">
        <f>+'s1'!AN59</f>
        <v>0</v>
      </c>
      <c r="K58" s="2">
        <f>+'s1'!AO59</f>
        <v>0</v>
      </c>
      <c r="L58" s="2">
        <f>+'s1'!AP59</f>
        <v>0</v>
      </c>
      <c r="M58" s="2">
        <f>+'s1'!AQ59</f>
        <v>0</v>
      </c>
      <c r="N58" s="2">
        <f>+'s1'!AR59</f>
        <v>0</v>
      </c>
      <c r="O58" s="2">
        <f>+'s1'!AS59</f>
        <v>0</v>
      </c>
      <c r="P58" s="2">
        <f>+'s1'!AT59</f>
        <v>0</v>
      </c>
      <c r="Q58" s="2">
        <f>+'s1'!AU59</f>
        <v>0</v>
      </c>
      <c r="R58" s="2">
        <f>+'s1'!AV59</f>
        <v>0</v>
      </c>
      <c r="S58" s="2">
        <f>SUM(B58:R58)</f>
        <v>-199.02</v>
      </c>
      <c r="T58" s="2"/>
    </row>
    <row r="59" spans="1:20" s="20" customFormat="1" x14ac:dyDescent="0.2">
      <c r="A59" s="1" t="s">
        <v>47</v>
      </c>
      <c r="B59" s="2">
        <f>+'s1'!AF60</f>
        <v>0</v>
      </c>
      <c r="C59" s="2">
        <f>+'s1'!AG60</f>
        <v>0</v>
      </c>
      <c r="D59" s="2">
        <f>+'s1'!AH60</f>
        <v>70402.210000000006</v>
      </c>
      <c r="E59" s="2">
        <f>+'s1'!AI60</f>
        <v>0</v>
      </c>
      <c r="F59" s="2">
        <f>+'s1'!AJ60</f>
        <v>0</v>
      </c>
      <c r="G59" s="2">
        <f>+'s1'!AK60</f>
        <v>0</v>
      </c>
      <c r="H59" s="2">
        <f>+'s1'!AL60</f>
        <v>0</v>
      </c>
      <c r="I59" s="2">
        <f>+'s1'!AM60</f>
        <v>0</v>
      </c>
      <c r="J59" s="2">
        <f>+'s1'!AN60</f>
        <v>0</v>
      </c>
      <c r="K59" s="2">
        <f>+'s1'!AO60</f>
        <v>0</v>
      </c>
      <c r="L59" s="2">
        <f>+'s1'!AP60</f>
        <v>0</v>
      </c>
      <c r="M59" s="2">
        <f>+'s1'!AQ60</f>
        <v>0</v>
      </c>
      <c r="N59" s="2">
        <f>+'s1'!AR60</f>
        <v>3923.21</v>
      </c>
      <c r="O59" s="2">
        <f>+'s1'!AS60</f>
        <v>0</v>
      </c>
      <c r="P59" s="2">
        <f>+'s1'!AT60</f>
        <v>0</v>
      </c>
      <c r="Q59" s="2">
        <f>+'s1'!AU60</f>
        <v>0</v>
      </c>
      <c r="R59" s="2">
        <f>+'s1'!AV60</f>
        <v>0</v>
      </c>
      <c r="S59" s="2">
        <f t="shared" si="0"/>
        <v>74325.42</v>
      </c>
      <c r="T59" s="78"/>
    </row>
    <row r="60" spans="1:20" s="20" customFormat="1" x14ac:dyDescent="0.2">
      <c r="A60" s="1" t="s">
        <v>355</v>
      </c>
      <c r="B60" s="2">
        <f>+'s1'!AF61</f>
        <v>4502.7</v>
      </c>
      <c r="C60" s="2">
        <f>+'s1'!AG61</f>
        <v>0</v>
      </c>
      <c r="D60" s="2">
        <f>+'s1'!AH61</f>
        <v>33666.379999999997</v>
      </c>
      <c r="E60" s="2">
        <f>+'s1'!AI61</f>
        <v>0</v>
      </c>
      <c r="F60" s="2">
        <f>+'s1'!AJ61</f>
        <v>0</v>
      </c>
      <c r="G60" s="2">
        <f>+'s1'!AK61</f>
        <v>0</v>
      </c>
      <c r="H60" s="2">
        <f>+'s1'!AL61</f>
        <v>0</v>
      </c>
      <c r="I60" s="2">
        <f>+'s1'!AM61</f>
        <v>0</v>
      </c>
      <c r="J60" s="2">
        <f>+'s1'!AN61</f>
        <v>0</v>
      </c>
      <c r="K60" s="2">
        <f>+'s1'!AO61</f>
        <v>1617.63</v>
      </c>
      <c r="L60" s="2">
        <f>+'s1'!AP61</f>
        <v>0</v>
      </c>
      <c r="M60" s="2">
        <f>+'s1'!AQ61</f>
        <v>0</v>
      </c>
      <c r="N60" s="2">
        <f>+'s1'!AR61</f>
        <v>539</v>
      </c>
      <c r="O60" s="2">
        <f>+'s1'!AS61</f>
        <v>0</v>
      </c>
      <c r="P60" s="2">
        <f>+'s1'!AT61</f>
        <v>0</v>
      </c>
      <c r="Q60" s="2">
        <f>+'s1'!AU61</f>
        <v>0</v>
      </c>
      <c r="R60" s="2">
        <f>+'s1'!AV61</f>
        <v>0</v>
      </c>
      <c r="S60" s="2">
        <f t="shared" si="0"/>
        <v>40325.71</v>
      </c>
      <c r="T60" s="78"/>
    </row>
    <row r="61" spans="1:20" s="20" customFormat="1" x14ac:dyDescent="0.2">
      <c r="A61" s="1" t="s">
        <v>48</v>
      </c>
      <c r="B61" s="2">
        <f>+'s1'!AF62</f>
        <v>0</v>
      </c>
      <c r="C61" s="2">
        <f>+'s1'!AG62</f>
        <v>0</v>
      </c>
      <c r="D61" s="2">
        <f>+'s1'!AH62</f>
        <v>1137.69</v>
      </c>
      <c r="E61" s="2">
        <f>+'s1'!AI62</f>
        <v>0</v>
      </c>
      <c r="F61" s="2">
        <f>+'s1'!AJ62</f>
        <v>0</v>
      </c>
      <c r="G61" s="2">
        <f>+'s1'!AK62</f>
        <v>0</v>
      </c>
      <c r="H61" s="2">
        <f>+'s1'!AL62</f>
        <v>0</v>
      </c>
      <c r="I61" s="2">
        <f>+'s1'!AM62</f>
        <v>0</v>
      </c>
      <c r="J61" s="2">
        <f>+'s1'!AN62</f>
        <v>0</v>
      </c>
      <c r="K61" s="2">
        <f>+'s1'!AO62</f>
        <v>0</v>
      </c>
      <c r="L61" s="2">
        <f>+'s1'!AP62</f>
        <v>0</v>
      </c>
      <c r="M61" s="2">
        <f>+'s1'!AQ62</f>
        <v>0</v>
      </c>
      <c r="N61" s="2">
        <f>+'s1'!AR62</f>
        <v>0</v>
      </c>
      <c r="O61" s="2">
        <f>+'s1'!AS62</f>
        <v>0</v>
      </c>
      <c r="P61" s="2">
        <f>+'s1'!AT62</f>
        <v>0</v>
      </c>
      <c r="Q61" s="2">
        <f>+'s1'!AU62</f>
        <v>0</v>
      </c>
      <c r="R61" s="2">
        <f>+'s1'!AV62</f>
        <v>0</v>
      </c>
      <c r="S61" s="2">
        <f t="shared" si="0"/>
        <v>1137.69</v>
      </c>
      <c r="T61" s="78"/>
    </row>
    <row r="62" spans="1:20" s="20" customFormat="1" x14ac:dyDescent="0.2">
      <c r="A62" s="1" t="s">
        <v>347</v>
      </c>
      <c r="B62" s="2">
        <f>+'s1'!AF63</f>
        <v>4643.47</v>
      </c>
      <c r="C62" s="2">
        <f>+'s1'!AG63</f>
        <v>1713.64</v>
      </c>
      <c r="D62" s="2">
        <f>+'s1'!AH63</f>
        <v>0</v>
      </c>
      <c r="E62" s="2">
        <f>+'s1'!AI63</f>
        <v>1747.69</v>
      </c>
      <c r="F62" s="2">
        <f>+'s1'!AJ63</f>
        <v>0</v>
      </c>
      <c r="G62" s="2">
        <f>+'s1'!AK63</f>
        <v>0</v>
      </c>
      <c r="H62" s="2">
        <f>+'s1'!AL63</f>
        <v>0</v>
      </c>
      <c r="I62" s="2">
        <f>+'s1'!AM63</f>
        <v>0</v>
      </c>
      <c r="J62" s="2">
        <f>+'s1'!AN63</f>
        <v>0</v>
      </c>
      <c r="K62" s="2">
        <f>+'s1'!AO63</f>
        <v>0</v>
      </c>
      <c r="L62" s="2">
        <f>+'s1'!AP63</f>
        <v>72.319999999999993</v>
      </c>
      <c r="M62" s="2">
        <f>+'s1'!AQ63</f>
        <v>0</v>
      </c>
      <c r="N62" s="2">
        <f>+'s1'!AR63</f>
        <v>0</v>
      </c>
      <c r="O62" s="2">
        <f>+'s1'!AS63</f>
        <v>750.41</v>
      </c>
      <c r="P62" s="2">
        <f>+'s1'!AT63</f>
        <v>99.88</v>
      </c>
      <c r="Q62" s="2">
        <f>+'s1'!AU63</f>
        <v>2812.17</v>
      </c>
      <c r="R62" s="2">
        <f>+'s1'!AV63</f>
        <v>0</v>
      </c>
      <c r="S62" s="2">
        <f t="shared" si="0"/>
        <v>11839.58</v>
      </c>
      <c r="T62" s="78"/>
    </row>
    <row r="63" spans="1:20" x14ac:dyDescent="0.2">
      <c r="A63" s="1" t="s">
        <v>49</v>
      </c>
      <c r="B63" s="2">
        <f>+'s1'!AF64</f>
        <v>2700.33</v>
      </c>
      <c r="C63" s="2">
        <f>+'s1'!AG64</f>
        <v>0</v>
      </c>
      <c r="D63" s="2">
        <f>+'s1'!AH64</f>
        <v>14498.67</v>
      </c>
      <c r="E63" s="2">
        <f>+'s1'!AI64</f>
        <v>0</v>
      </c>
      <c r="F63" s="2">
        <f>+'s1'!AJ64</f>
        <v>12452.12</v>
      </c>
      <c r="G63" s="2">
        <f>+'s1'!AK64</f>
        <v>0</v>
      </c>
      <c r="H63" s="2">
        <f>+'s1'!AL64</f>
        <v>0</v>
      </c>
      <c r="I63" s="2">
        <f>+'s1'!AM64</f>
        <v>485.45</v>
      </c>
      <c r="J63" s="2">
        <f>+'s1'!AN64</f>
        <v>0</v>
      </c>
      <c r="K63" s="2">
        <f>+'s1'!AO64</f>
        <v>0</v>
      </c>
      <c r="L63" s="2">
        <f>+'s1'!AP64</f>
        <v>8422.1299999999992</v>
      </c>
      <c r="M63" s="2">
        <f>+'s1'!AQ64</f>
        <v>0</v>
      </c>
      <c r="N63" s="2">
        <f>+'s1'!AR64</f>
        <v>0</v>
      </c>
      <c r="O63" s="2">
        <f>+'s1'!AS64</f>
        <v>0</v>
      </c>
      <c r="P63" s="2">
        <f>+'s1'!AT64</f>
        <v>0</v>
      </c>
      <c r="Q63" s="2">
        <f>+'s1'!AU64</f>
        <v>94280.68</v>
      </c>
      <c r="R63" s="2">
        <f>+'s1'!AV64</f>
        <v>0</v>
      </c>
      <c r="S63" s="2">
        <f t="shared" si="0"/>
        <v>132839.38</v>
      </c>
      <c r="T63" s="2"/>
    </row>
    <row r="64" spans="1:20" x14ac:dyDescent="0.2">
      <c r="A64" s="1" t="s">
        <v>50</v>
      </c>
      <c r="B64" s="2">
        <f>+'s1'!AF65</f>
        <v>0</v>
      </c>
      <c r="C64" s="2">
        <f>+'s1'!AG65</f>
        <v>0</v>
      </c>
      <c r="D64" s="2">
        <f>+'s1'!AH65</f>
        <v>27810.17</v>
      </c>
      <c r="E64" s="2">
        <f>+'s1'!AI65</f>
        <v>0</v>
      </c>
      <c r="F64" s="2">
        <f>+'s1'!AJ65</f>
        <v>0</v>
      </c>
      <c r="G64" s="2">
        <f>+'s1'!AK65</f>
        <v>0</v>
      </c>
      <c r="H64" s="2">
        <f>+'s1'!AL65</f>
        <v>0</v>
      </c>
      <c r="I64" s="2">
        <f>+'s1'!AM65</f>
        <v>0</v>
      </c>
      <c r="J64" s="2">
        <f>+'s1'!AN65</f>
        <v>0</v>
      </c>
      <c r="K64" s="2">
        <f>+'s1'!AO65</f>
        <v>1113.99</v>
      </c>
      <c r="L64" s="2">
        <f>+'s1'!AP65</f>
        <v>0</v>
      </c>
      <c r="M64" s="2">
        <f>+'s1'!AQ65</f>
        <v>0</v>
      </c>
      <c r="N64" s="2">
        <f>+'s1'!AR65</f>
        <v>0</v>
      </c>
      <c r="O64" s="2">
        <f>+'s1'!AS65</f>
        <v>0</v>
      </c>
      <c r="P64" s="2">
        <f>+'s1'!AT65</f>
        <v>0</v>
      </c>
      <c r="Q64" s="2">
        <f>+'s1'!AU65</f>
        <v>0</v>
      </c>
      <c r="R64" s="2">
        <f>+'s1'!AV65</f>
        <v>2475.86</v>
      </c>
      <c r="S64" s="2">
        <f t="shared" si="0"/>
        <v>31400.02</v>
      </c>
      <c r="T64" s="1"/>
    </row>
    <row r="65" spans="1:20" x14ac:dyDescent="0.2">
      <c r="A65" s="1" t="s">
        <v>474</v>
      </c>
      <c r="B65" s="2">
        <f>+'s1'!AF66</f>
        <v>0</v>
      </c>
      <c r="C65" s="2">
        <f>+'s1'!AG66</f>
        <v>0</v>
      </c>
      <c r="D65" s="2">
        <f>+'s1'!AH66</f>
        <v>0</v>
      </c>
      <c r="E65" s="2">
        <f>+'s1'!AI66</f>
        <v>0</v>
      </c>
      <c r="F65" s="2">
        <f>+'s1'!AJ66</f>
        <v>0</v>
      </c>
      <c r="G65" s="2">
        <f>+'s1'!AK66</f>
        <v>0</v>
      </c>
      <c r="H65" s="2">
        <f>+'s1'!AL66</f>
        <v>0</v>
      </c>
      <c r="I65" s="2">
        <f>+'s1'!AM66</f>
        <v>0</v>
      </c>
      <c r="J65" s="2">
        <f>+'s1'!AN66</f>
        <v>0</v>
      </c>
      <c r="K65" s="2">
        <f>+'s1'!AO66</f>
        <v>0</v>
      </c>
      <c r="L65" s="2">
        <f>+'s1'!AP66</f>
        <v>0</v>
      </c>
      <c r="M65" s="2">
        <f>+'s1'!AQ66</f>
        <v>0</v>
      </c>
      <c r="N65" s="2">
        <f>+'s1'!AR66</f>
        <v>0</v>
      </c>
      <c r="O65" s="2">
        <f>+'s1'!AS66</f>
        <v>0</v>
      </c>
      <c r="P65" s="2">
        <f>+'s1'!AT66</f>
        <v>0</v>
      </c>
      <c r="Q65" s="2">
        <f>+'s1'!AU66</f>
        <v>0</v>
      </c>
      <c r="R65" s="2">
        <f>+'s1'!AV66</f>
        <v>563.95000000000005</v>
      </c>
      <c r="S65" s="2">
        <f t="shared" si="0"/>
        <v>563.95000000000005</v>
      </c>
      <c r="T65" s="2"/>
    </row>
    <row r="66" spans="1:20" x14ac:dyDescent="0.2">
      <c r="A66" s="1" t="s">
        <v>51</v>
      </c>
      <c r="B66" s="2">
        <f>+'s1'!AF67</f>
        <v>0</v>
      </c>
      <c r="C66" s="2">
        <f>+'s1'!AG67</f>
        <v>0</v>
      </c>
      <c r="D66" s="2">
        <f>+'s1'!AH67</f>
        <v>0</v>
      </c>
      <c r="E66" s="2">
        <f>+'s1'!AI67</f>
        <v>0</v>
      </c>
      <c r="F66" s="2">
        <f>+'s1'!AJ67</f>
        <v>0</v>
      </c>
      <c r="G66" s="2">
        <f>+'s1'!AK67</f>
        <v>0</v>
      </c>
      <c r="H66" s="2">
        <f>+'s1'!AL67</f>
        <v>0</v>
      </c>
      <c r="I66" s="2">
        <f>+'s1'!AM67</f>
        <v>0</v>
      </c>
      <c r="J66" s="2">
        <f>+'s1'!AN67</f>
        <v>0</v>
      </c>
      <c r="K66" s="2">
        <f>+'s1'!AO67</f>
        <v>0</v>
      </c>
      <c r="L66" s="2">
        <f>+'s1'!AP67</f>
        <v>76.819999999999993</v>
      </c>
      <c r="M66" s="2">
        <f>+'s1'!AQ67</f>
        <v>4250.01</v>
      </c>
      <c r="N66" s="2">
        <f>+'s1'!AR67</f>
        <v>2904.96</v>
      </c>
      <c r="O66" s="2">
        <f>+'s1'!AS67</f>
        <v>0</v>
      </c>
      <c r="P66" s="2">
        <f>+'s1'!AT67</f>
        <v>0</v>
      </c>
      <c r="Q66" s="2">
        <f>+'s1'!AU67</f>
        <v>0</v>
      </c>
      <c r="R66" s="2">
        <f>+'s1'!AV67</f>
        <v>0</v>
      </c>
      <c r="S66" s="2">
        <f t="shared" si="0"/>
        <v>7231.79</v>
      </c>
      <c r="T66" s="2"/>
    </row>
    <row r="67" spans="1:20" x14ac:dyDescent="0.2">
      <c r="A67" s="1" t="s">
        <v>433</v>
      </c>
      <c r="B67" s="2">
        <f>+'s1'!AF68</f>
        <v>0</v>
      </c>
      <c r="C67" s="2">
        <f>+'s1'!AG68</f>
        <v>0</v>
      </c>
      <c r="D67" s="2">
        <f>+'s1'!AH68</f>
        <v>7689.89</v>
      </c>
      <c r="E67" s="2">
        <f>+'s1'!AI68</f>
        <v>0</v>
      </c>
      <c r="F67" s="2">
        <f>+'s1'!AJ68</f>
        <v>0</v>
      </c>
      <c r="G67" s="2">
        <f>+'s1'!AK68</f>
        <v>0</v>
      </c>
      <c r="H67" s="2">
        <f>+'s1'!AL68</f>
        <v>0</v>
      </c>
      <c r="I67" s="2">
        <f>+'s1'!AM68</f>
        <v>0</v>
      </c>
      <c r="J67" s="2">
        <f>+'s1'!AN68</f>
        <v>0</v>
      </c>
      <c r="K67" s="2">
        <f>+'s1'!AO68</f>
        <v>0</v>
      </c>
      <c r="L67" s="2">
        <f>+'s1'!AP68</f>
        <v>0</v>
      </c>
      <c r="M67" s="2">
        <f>+'s1'!AQ68</f>
        <v>0</v>
      </c>
      <c r="N67" s="2">
        <f>+'s1'!AR68</f>
        <v>0</v>
      </c>
      <c r="O67" s="2">
        <f>+'s1'!AS68</f>
        <v>0</v>
      </c>
      <c r="P67" s="2">
        <f>+'s1'!AT68</f>
        <v>0</v>
      </c>
      <c r="Q67" s="2">
        <f>+'s1'!AU68</f>
        <v>744.32</v>
      </c>
      <c r="R67" s="2">
        <f>+'s1'!AV68</f>
        <v>0</v>
      </c>
      <c r="S67" s="2">
        <f t="shared" si="0"/>
        <v>8434.2099999999991</v>
      </c>
      <c r="T67" s="2"/>
    </row>
    <row r="68" spans="1:20" s="20" customFormat="1" x14ac:dyDescent="0.2">
      <c r="A68" s="1" t="s">
        <v>706</v>
      </c>
      <c r="B68" s="2">
        <f>+'s1'!AF69</f>
        <v>0</v>
      </c>
      <c r="C68" s="2">
        <f>+'s1'!AG69</f>
        <v>55.13</v>
      </c>
      <c r="D68" s="2">
        <f>+'s1'!AH69</f>
        <v>0</v>
      </c>
      <c r="E68" s="2">
        <f>+'s1'!AI69</f>
        <v>0</v>
      </c>
      <c r="F68" s="2">
        <f>+'s1'!AJ69</f>
        <v>0</v>
      </c>
      <c r="G68" s="2">
        <f>+'s1'!AK69</f>
        <v>0</v>
      </c>
      <c r="H68" s="2">
        <f>+'s1'!AL69</f>
        <v>0</v>
      </c>
      <c r="I68" s="2">
        <f>+'s1'!AM69</f>
        <v>0</v>
      </c>
      <c r="J68" s="2">
        <f>+'s1'!AN69</f>
        <v>0</v>
      </c>
      <c r="K68" s="2">
        <f>+'s1'!AO69</f>
        <v>0</v>
      </c>
      <c r="L68" s="2">
        <f>+'s1'!AP69</f>
        <v>4431.79</v>
      </c>
      <c r="M68" s="2">
        <f>+'s1'!AQ69</f>
        <v>0</v>
      </c>
      <c r="N68" s="2">
        <f>+'s1'!AR69</f>
        <v>0</v>
      </c>
      <c r="O68" s="2">
        <f>+'s1'!AS69</f>
        <v>0</v>
      </c>
      <c r="P68" s="2">
        <f>+'s1'!AT69</f>
        <v>0</v>
      </c>
      <c r="Q68" s="2">
        <f>+'s1'!AU69</f>
        <v>0</v>
      </c>
      <c r="R68" s="2">
        <f>+'s1'!AV69</f>
        <v>0</v>
      </c>
      <c r="S68" s="2">
        <f t="shared" si="0"/>
        <v>4486.92</v>
      </c>
      <c r="T68" s="78"/>
    </row>
    <row r="69" spans="1:20" x14ac:dyDescent="0.2">
      <c r="A69" s="18" t="s">
        <v>52</v>
      </c>
      <c r="B69" s="2">
        <f>+'s1'!AF70</f>
        <v>0</v>
      </c>
      <c r="C69" s="2">
        <f>+'s1'!AG70</f>
        <v>0</v>
      </c>
      <c r="D69" s="2">
        <f>+'s1'!AH70</f>
        <v>9073.49</v>
      </c>
      <c r="E69" s="2">
        <f>+'s1'!AI70</f>
        <v>0</v>
      </c>
      <c r="F69" s="2">
        <f>+'s1'!AJ70</f>
        <v>11138.95</v>
      </c>
      <c r="G69" s="2">
        <f>+'s1'!AK70</f>
        <v>0</v>
      </c>
      <c r="H69" s="2">
        <f>+'s1'!AL70</f>
        <v>0</v>
      </c>
      <c r="I69" s="2">
        <f>+'s1'!AM70</f>
        <v>21295.8</v>
      </c>
      <c r="J69" s="2">
        <f>+'s1'!AN70</f>
        <v>0</v>
      </c>
      <c r="K69" s="2">
        <f>+'s1'!AO70</f>
        <v>0</v>
      </c>
      <c r="L69" s="2">
        <f>+'s1'!AP70</f>
        <v>0</v>
      </c>
      <c r="M69" s="2">
        <f>+'s1'!AQ70</f>
        <v>0</v>
      </c>
      <c r="N69" s="2">
        <f>+'s1'!AR70</f>
        <v>0</v>
      </c>
      <c r="O69" s="2">
        <f>+'s1'!AS70</f>
        <v>0</v>
      </c>
      <c r="P69" s="2">
        <f>+'s1'!AT70</f>
        <v>0</v>
      </c>
      <c r="Q69" s="2">
        <f>+'s1'!AU70</f>
        <v>0</v>
      </c>
      <c r="R69" s="2">
        <f>+'s1'!AV70</f>
        <v>0</v>
      </c>
      <c r="S69" s="2">
        <f t="shared" si="0"/>
        <v>41508.239999999998</v>
      </c>
      <c r="T69" s="1"/>
    </row>
    <row r="70" spans="1:20" x14ac:dyDescent="0.2">
      <c r="A70" s="1" t="s">
        <v>729</v>
      </c>
      <c r="B70" s="2">
        <f>+'s1'!AF71</f>
        <v>0</v>
      </c>
      <c r="C70" s="2">
        <f>+'s1'!AG71</f>
        <v>0</v>
      </c>
      <c r="D70" s="2">
        <f>+'s1'!AH71</f>
        <v>0</v>
      </c>
      <c r="E70" s="2">
        <f>+'s1'!AI71</f>
        <v>11.8</v>
      </c>
      <c r="F70" s="2">
        <f>+'s1'!AJ71</f>
        <v>0</v>
      </c>
      <c r="G70" s="2">
        <f>+'s1'!AK71</f>
        <v>0</v>
      </c>
      <c r="H70" s="2">
        <f>+'s1'!AL71</f>
        <v>0</v>
      </c>
      <c r="I70" s="2">
        <f>+'s1'!AM71</f>
        <v>0</v>
      </c>
      <c r="J70" s="2">
        <f>+'s1'!AN71</f>
        <v>0</v>
      </c>
      <c r="K70" s="2">
        <f>+'s1'!AO71</f>
        <v>0</v>
      </c>
      <c r="L70" s="2">
        <f>+'s1'!AP71</f>
        <v>0</v>
      </c>
      <c r="M70" s="2">
        <f>+'s1'!AQ71</f>
        <v>0</v>
      </c>
      <c r="N70" s="2">
        <f>+'s1'!AR71</f>
        <v>0</v>
      </c>
      <c r="O70" s="2">
        <f>+'s1'!AS71</f>
        <v>0</v>
      </c>
      <c r="P70" s="2">
        <f>+'s1'!AT71</f>
        <v>0</v>
      </c>
      <c r="Q70" s="2">
        <f>+'s1'!AU71</f>
        <v>0</v>
      </c>
      <c r="R70" s="2">
        <f>+'s1'!AV71</f>
        <v>0</v>
      </c>
      <c r="S70" s="2">
        <f>SUM(B70:R70)</f>
        <v>11.8</v>
      </c>
      <c r="T70" s="2"/>
    </row>
    <row r="71" spans="1:20" x14ac:dyDescent="0.2">
      <c r="A71" s="1" t="s">
        <v>723</v>
      </c>
      <c r="B71" s="2">
        <f>+'s1'!AF72</f>
        <v>0</v>
      </c>
      <c r="C71" s="2">
        <f>+'s1'!AG72</f>
        <v>0</v>
      </c>
      <c r="D71" s="2">
        <f>+'s1'!AH72</f>
        <v>11516.27</v>
      </c>
      <c r="E71" s="2">
        <f>+'s1'!AI72</f>
        <v>0</v>
      </c>
      <c r="F71" s="2">
        <f>+'s1'!AJ72</f>
        <v>0</v>
      </c>
      <c r="G71" s="2">
        <f>+'s1'!AK72</f>
        <v>0</v>
      </c>
      <c r="H71" s="2">
        <f>+'s1'!AL72</f>
        <v>0</v>
      </c>
      <c r="I71" s="2">
        <f>+'s1'!AM72</f>
        <v>0</v>
      </c>
      <c r="J71" s="2">
        <f>+'s1'!AN72</f>
        <v>0</v>
      </c>
      <c r="K71" s="2">
        <f>+'s1'!AO72</f>
        <v>0</v>
      </c>
      <c r="L71" s="2">
        <f>+'s1'!AP72</f>
        <v>0</v>
      </c>
      <c r="M71" s="2">
        <f>+'s1'!AQ72</f>
        <v>0</v>
      </c>
      <c r="N71" s="2">
        <f>+'s1'!AR72</f>
        <v>0</v>
      </c>
      <c r="O71" s="2">
        <f>+'s1'!AS72</f>
        <v>0</v>
      </c>
      <c r="P71" s="2">
        <f>+'s1'!AT72</f>
        <v>0</v>
      </c>
      <c r="Q71" s="2">
        <f>+'s1'!AU72</f>
        <v>0</v>
      </c>
      <c r="R71" s="2">
        <f>+'s1'!AV72</f>
        <v>0</v>
      </c>
      <c r="S71" s="2">
        <f>SUM(B71:R71)</f>
        <v>11516.27</v>
      </c>
      <c r="T71" s="2"/>
    </row>
    <row r="72" spans="1:20" s="20" customFormat="1" x14ac:dyDescent="0.2">
      <c r="A72" s="1" t="s">
        <v>727</v>
      </c>
      <c r="B72" s="2">
        <f>+'s1'!AF73</f>
        <v>0</v>
      </c>
      <c r="C72" s="2">
        <f>+'s1'!AG73</f>
        <v>0</v>
      </c>
      <c r="D72" s="2">
        <f>+'s1'!AH73</f>
        <v>4496.25</v>
      </c>
      <c r="E72" s="2">
        <f>+'s1'!AI73</f>
        <v>0</v>
      </c>
      <c r="F72" s="2">
        <f>+'s1'!AJ73</f>
        <v>0</v>
      </c>
      <c r="G72" s="2">
        <f>+'s1'!AK73</f>
        <v>0</v>
      </c>
      <c r="H72" s="2">
        <f>+'s1'!AL73</f>
        <v>0</v>
      </c>
      <c r="I72" s="2">
        <f>+'s1'!AM73</f>
        <v>0</v>
      </c>
      <c r="J72" s="2">
        <f>+'s1'!AN73</f>
        <v>0</v>
      </c>
      <c r="K72" s="2">
        <f>+'s1'!AO73</f>
        <v>0</v>
      </c>
      <c r="L72" s="2">
        <f>+'s1'!AP73</f>
        <v>0</v>
      </c>
      <c r="M72" s="2">
        <f>+'s1'!AQ73</f>
        <v>0</v>
      </c>
      <c r="N72" s="2">
        <f>+'s1'!AR73</f>
        <v>0</v>
      </c>
      <c r="O72" s="2">
        <f>+'s1'!AS73</f>
        <v>0</v>
      </c>
      <c r="P72" s="2">
        <f>+'s1'!AT73</f>
        <v>0</v>
      </c>
      <c r="Q72" s="2">
        <f>+'s1'!AU73</f>
        <v>0</v>
      </c>
      <c r="R72" s="2">
        <f>+'s1'!AV73</f>
        <v>0</v>
      </c>
      <c r="S72" s="2">
        <f>SUM(B72:R72)</f>
        <v>4496.25</v>
      </c>
      <c r="T72" s="18"/>
    </row>
    <row r="73" spans="1:20" s="20" customFormat="1" x14ac:dyDescent="0.2">
      <c r="A73" s="1" t="s">
        <v>710</v>
      </c>
      <c r="B73" s="2">
        <f>+'s1'!AF74</f>
        <v>0</v>
      </c>
      <c r="C73" s="2">
        <f>+'s1'!AG74</f>
        <v>0</v>
      </c>
      <c r="D73" s="2">
        <f>+'s1'!AH74</f>
        <v>0</v>
      </c>
      <c r="E73" s="2">
        <f>+'s1'!AI74</f>
        <v>0</v>
      </c>
      <c r="F73" s="2">
        <f>+'s1'!AJ74</f>
        <v>0</v>
      </c>
      <c r="G73" s="2">
        <f>+'s1'!AK74</f>
        <v>0</v>
      </c>
      <c r="H73" s="2">
        <f>+'s1'!AL74</f>
        <v>0</v>
      </c>
      <c r="I73" s="2">
        <f>+'s1'!AM74</f>
        <v>0</v>
      </c>
      <c r="J73" s="2">
        <f>+'s1'!AN74</f>
        <v>0</v>
      </c>
      <c r="K73" s="2">
        <f>+'s1'!AO74</f>
        <v>0</v>
      </c>
      <c r="L73" s="2">
        <f>+'s1'!AP74</f>
        <v>17831.310000000001</v>
      </c>
      <c r="M73" s="2">
        <f>+'s1'!AQ74</f>
        <v>0</v>
      </c>
      <c r="N73" s="2">
        <f>+'s1'!AR74</f>
        <v>0</v>
      </c>
      <c r="O73" s="2">
        <f>+'s1'!AS74</f>
        <v>0</v>
      </c>
      <c r="P73" s="2">
        <f>+'s1'!AT74</f>
        <v>0</v>
      </c>
      <c r="Q73" s="2">
        <f>+'s1'!AU74</f>
        <v>0</v>
      </c>
      <c r="R73" s="2">
        <f>+'s1'!AV74</f>
        <v>0</v>
      </c>
      <c r="S73" s="2">
        <f>SUM(B73:R73)</f>
        <v>17831.310000000001</v>
      </c>
      <c r="T73" s="18"/>
    </row>
    <row r="74" spans="1:20" s="20" customFormat="1" x14ac:dyDescent="0.2">
      <c r="A74" s="1" t="s">
        <v>53</v>
      </c>
      <c r="B74" s="2">
        <f>+'s1'!AF75</f>
        <v>0</v>
      </c>
      <c r="C74" s="2">
        <f>+'s1'!AG75</f>
        <v>0</v>
      </c>
      <c r="D74" s="2">
        <f>+'s1'!AH75</f>
        <v>0</v>
      </c>
      <c r="E74" s="2">
        <f>+'s1'!AI75</f>
        <v>448.64</v>
      </c>
      <c r="F74" s="2">
        <f>+'s1'!AJ75</f>
        <v>0</v>
      </c>
      <c r="G74" s="2">
        <f>+'s1'!AK75</f>
        <v>0</v>
      </c>
      <c r="H74" s="2">
        <f>+'s1'!AL75</f>
        <v>0</v>
      </c>
      <c r="I74" s="2">
        <f>+'s1'!AM75</f>
        <v>0</v>
      </c>
      <c r="J74" s="2">
        <f>+'s1'!AN75</f>
        <v>0</v>
      </c>
      <c r="K74" s="2">
        <f>+'s1'!AO75</f>
        <v>0</v>
      </c>
      <c r="L74" s="2">
        <f>+'s1'!AP75</f>
        <v>103.72</v>
      </c>
      <c r="M74" s="2">
        <f>+'s1'!AQ75</f>
        <v>0</v>
      </c>
      <c r="N74" s="2">
        <f>+'s1'!AR75</f>
        <v>0</v>
      </c>
      <c r="O74" s="2">
        <f>+'s1'!AS75</f>
        <v>0</v>
      </c>
      <c r="P74" s="2">
        <f>+'s1'!AT75</f>
        <v>0</v>
      </c>
      <c r="Q74" s="2">
        <f>+'s1'!AU75</f>
        <v>0</v>
      </c>
      <c r="R74" s="2">
        <f>+'s1'!AV75</f>
        <v>0</v>
      </c>
      <c r="S74" s="2">
        <f t="shared" si="0"/>
        <v>552.36</v>
      </c>
      <c r="T74" s="18"/>
    </row>
    <row r="75" spans="1:20" x14ac:dyDescent="0.2">
      <c r="A75" s="1" t="s">
        <v>54</v>
      </c>
      <c r="B75" s="2">
        <f>+'s1'!AF76</f>
        <v>0</v>
      </c>
      <c r="C75" s="2">
        <f>+'s1'!AG76</f>
        <v>0</v>
      </c>
      <c r="D75" s="2">
        <f>+'s1'!AH76</f>
        <v>0</v>
      </c>
      <c r="E75" s="2">
        <f>+'s1'!AI76</f>
        <v>2136.87</v>
      </c>
      <c r="F75" s="2">
        <f>+'s1'!AJ76</f>
        <v>0</v>
      </c>
      <c r="G75" s="2">
        <f>+'s1'!AK76</f>
        <v>0</v>
      </c>
      <c r="H75" s="2">
        <f>+'s1'!AL76</f>
        <v>0</v>
      </c>
      <c r="I75" s="2">
        <f>+'s1'!AM76</f>
        <v>0</v>
      </c>
      <c r="J75" s="2">
        <f>+'s1'!AN76</f>
        <v>0</v>
      </c>
      <c r="K75" s="2">
        <f>+'s1'!AO76</f>
        <v>0</v>
      </c>
      <c r="L75" s="2">
        <f>+'s1'!AP76</f>
        <v>0</v>
      </c>
      <c r="M75" s="2">
        <f>+'s1'!AQ76</f>
        <v>0</v>
      </c>
      <c r="N75" s="2">
        <f>+'s1'!AR76</f>
        <v>0</v>
      </c>
      <c r="O75" s="2">
        <f>+'s1'!AS76</f>
        <v>0</v>
      </c>
      <c r="P75" s="2">
        <f>+'s1'!AT76</f>
        <v>0</v>
      </c>
      <c r="Q75" s="2">
        <f>+'s1'!AU76</f>
        <v>4390.16</v>
      </c>
      <c r="R75" s="2">
        <f>+'s1'!AV76</f>
        <v>0</v>
      </c>
      <c r="S75" s="2">
        <f t="shared" si="0"/>
        <v>6527.03</v>
      </c>
      <c r="T75" s="1"/>
    </row>
    <row r="76" spans="1:20" x14ac:dyDescent="0.2">
      <c r="A76" s="1" t="s">
        <v>608</v>
      </c>
      <c r="B76" s="2">
        <f>+'s1'!AF77</f>
        <v>0</v>
      </c>
      <c r="C76" s="2">
        <f>+'s1'!AG77</f>
        <v>0</v>
      </c>
      <c r="D76" s="2">
        <f>+'s1'!AH77</f>
        <v>0</v>
      </c>
      <c r="E76" s="2">
        <f>+'s1'!AI77</f>
        <v>0</v>
      </c>
      <c r="F76" s="2">
        <f>+'s1'!AJ77</f>
        <v>0</v>
      </c>
      <c r="G76" s="2">
        <f>+'s1'!AK77</f>
        <v>0</v>
      </c>
      <c r="H76" s="2">
        <f>+'s1'!AL77</f>
        <v>0</v>
      </c>
      <c r="I76" s="2">
        <f>+'s1'!AM77</f>
        <v>0</v>
      </c>
      <c r="J76" s="2">
        <f>+'s1'!AN77</f>
        <v>0</v>
      </c>
      <c r="K76" s="2">
        <f>+'s1'!AO77</f>
        <v>0</v>
      </c>
      <c r="L76" s="2">
        <f>+'s1'!AP77</f>
        <v>0</v>
      </c>
      <c r="M76" s="2">
        <f>+'s1'!AQ77</f>
        <v>0</v>
      </c>
      <c r="N76" s="2">
        <f>+'s1'!AR77</f>
        <v>0</v>
      </c>
      <c r="O76" s="2">
        <f>+'s1'!AS77</f>
        <v>0</v>
      </c>
      <c r="P76" s="2">
        <f>+'s1'!AT77</f>
        <v>19.600000000000001</v>
      </c>
      <c r="Q76" s="2">
        <f>+'s1'!AU77</f>
        <v>0</v>
      </c>
      <c r="R76" s="2">
        <f>+'s1'!AV77</f>
        <v>0</v>
      </c>
      <c r="S76" s="2">
        <f t="shared" si="0"/>
        <v>19.600000000000001</v>
      </c>
      <c r="T76" s="1"/>
    </row>
    <row r="77" spans="1:20" s="20" customFormat="1" x14ac:dyDescent="0.2">
      <c r="A77" s="1" t="s">
        <v>55</v>
      </c>
      <c r="B77" s="2">
        <f>+'s1'!AF78</f>
        <v>0</v>
      </c>
      <c r="C77" s="2">
        <f>+'s1'!AG78</f>
        <v>0</v>
      </c>
      <c r="D77" s="2">
        <f>+'s1'!AH78</f>
        <v>0</v>
      </c>
      <c r="E77" s="2">
        <f>+'s1'!AI78</f>
        <v>0</v>
      </c>
      <c r="F77" s="2">
        <f>+'s1'!AJ78</f>
        <v>0</v>
      </c>
      <c r="G77" s="2">
        <f>+'s1'!AK78</f>
        <v>0</v>
      </c>
      <c r="H77" s="2">
        <f>+'s1'!AL78</f>
        <v>47.43</v>
      </c>
      <c r="I77" s="2">
        <f>+'s1'!AM78</f>
        <v>0</v>
      </c>
      <c r="J77" s="2">
        <f>+'s1'!AN78</f>
        <v>0</v>
      </c>
      <c r="K77" s="2">
        <f>+'s1'!AO78</f>
        <v>0</v>
      </c>
      <c r="L77" s="2">
        <f>+'s1'!AP78</f>
        <v>0</v>
      </c>
      <c r="M77" s="2">
        <f>+'s1'!AQ78</f>
        <v>0</v>
      </c>
      <c r="N77" s="2">
        <f>+'s1'!AR78</f>
        <v>0</v>
      </c>
      <c r="O77" s="2">
        <f>+'s1'!AS78</f>
        <v>0</v>
      </c>
      <c r="P77" s="2">
        <f>+'s1'!AT78</f>
        <v>0</v>
      </c>
      <c r="Q77" s="2">
        <f>+'s1'!AU78</f>
        <v>0</v>
      </c>
      <c r="R77" s="2">
        <f>+'s1'!AV78</f>
        <v>3680.94</v>
      </c>
      <c r="S77" s="2">
        <f t="shared" si="0"/>
        <v>3728.37</v>
      </c>
      <c r="T77" s="18"/>
    </row>
    <row r="78" spans="1:20" x14ac:dyDescent="0.2">
      <c r="A78" s="1" t="s">
        <v>215</v>
      </c>
      <c r="B78" s="2">
        <f>+'s1'!AF79</f>
        <v>0</v>
      </c>
      <c r="C78" s="2">
        <f>+'s1'!AG79</f>
        <v>0</v>
      </c>
      <c r="D78" s="2">
        <f>+'s1'!AH79</f>
        <v>6.09</v>
      </c>
      <c r="E78" s="2">
        <f>+'s1'!AI79</f>
        <v>0</v>
      </c>
      <c r="F78" s="2">
        <f>+'s1'!AJ79</f>
        <v>0</v>
      </c>
      <c r="G78" s="2">
        <f>+'s1'!AK79</f>
        <v>0</v>
      </c>
      <c r="H78" s="2">
        <f>+'s1'!AL79</f>
        <v>0</v>
      </c>
      <c r="I78" s="2">
        <f>+'s1'!AM79</f>
        <v>0</v>
      </c>
      <c r="J78" s="2">
        <f>+'s1'!AN79</f>
        <v>0</v>
      </c>
      <c r="K78" s="2">
        <f>+'s1'!AO79</f>
        <v>0</v>
      </c>
      <c r="L78" s="2">
        <f>+'s1'!AP79</f>
        <v>0</v>
      </c>
      <c r="M78" s="2">
        <f>+'s1'!AQ79</f>
        <v>0</v>
      </c>
      <c r="N78" s="2">
        <f>+'s1'!AR79</f>
        <v>0</v>
      </c>
      <c r="O78" s="2">
        <f>+'s1'!AS79</f>
        <v>0</v>
      </c>
      <c r="P78" s="2">
        <f>+'s1'!AT79</f>
        <v>0</v>
      </c>
      <c r="Q78" s="2">
        <f>+'s1'!AU79</f>
        <v>0</v>
      </c>
      <c r="R78" s="2">
        <f>+'s1'!AV79</f>
        <v>0</v>
      </c>
      <c r="S78" s="2">
        <f>SUM(B78:R78)</f>
        <v>6.09</v>
      </c>
      <c r="T78" s="1"/>
    </row>
    <row r="79" spans="1:20" s="20" customFormat="1" x14ac:dyDescent="0.2">
      <c r="A79" s="18" t="s">
        <v>56</v>
      </c>
      <c r="B79" s="2">
        <f>+'s1'!AF80</f>
        <v>0</v>
      </c>
      <c r="C79" s="2">
        <f>+'s1'!AG80</f>
        <v>0</v>
      </c>
      <c r="D79" s="2">
        <f>+'s1'!AH80</f>
        <v>0</v>
      </c>
      <c r="E79" s="2">
        <f>+'s1'!AI80</f>
        <v>0</v>
      </c>
      <c r="F79" s="2">
        <f>+'s1'!AJ80</f>
        <v>0</v>
      </c>
      <c r="G79" s="2">
        <f>+'s1'!AK80</f>
        <v>0</v>
      </c>
      <c r="H79" s="2">
        <f>+'s1'!AL80</f>
        <v>0</v>
      </c>
      <c r="I79" s="2">
        <f>+'s1'!AM80</f>
        <v>0</v>
      </c>
      <c r="J79" s="2">
        <f>+'s1'!AN80</f>
        <v>0</v>
      </c>
      <c r="K79" s="2">
        <f>+'s1'!AO80</f>
        <v>0</v>
      </c>
      <c r="L79" s="2">
        <f>+'s1'!AP80</f>
        <v>0</v>
      </c>
      <c r="M79" s="2">
        <f>+'s1'!AQ80</f>
        <v>0</v>
      </c>
      <c r="N79" s="2">
        <f>+'s1'!AR80</f>
        <v>0</v>
      </c>
      <c r="O79" s="2">
        <f>+'s1'!AS80</f>
        <v>0</v>
      </c>
      <c r="P79" s="2">
        <f>+'s1'!AT80</f>
        <v>71.23</v>
      </c>
      <c r="Q79" s="2">
        <f>+'s1'!AU80</f>
        <v>3866.78</v>
      </c>
      <c r="R79" s="2">
        <f>+'s1'!AV80</f>
        <v>0</v>
      </c>
      <c r="S79" s="2">
        <f t="shared" si="0"/>
        <v>3938.01</v>
      </c>
      <c r="T79" s="78"/>
    </row>
    <row r="80" spans="1:20" x14ac:dyDescent="0.2">
      <c r="A80" s="1" t="s">
        <v>434</v>
      </c>
      <c r="B80" s="2">
        <f>+'s1'!AF81</f>
        <v>0</v>
      </c>
      <c r="C80" s="2">
        <f>+'s1'!AG81</f>
        <v>0</v>
      </c>
      <c r="D80" s="2">
        <f>+'s1'!AH81</f>
        <v>12351.88</v>
      </c>
      <c r="E80" s="2">
        <f>+'s1'!AI81</f>
        <v>0</v>
      </c>
      <c r="F80" s="2">
        <f>+'s1'!AJ81</f>
        <v>0</v>
      </c>
      <c r="G80" s="2">
        <f>+'s1'!AK81</f>
        <v>0</v>
      </c>
      <c r="H80" s="2">
        <f>+'s1'!AL81</f>
        <v>0</v>
      </c>
      <c r="I80" s="2">
        <f>+'s1'!AM81</f>
        <v>0</v>
      </c>
      <c r="J80" s="2">
        <f>+'s1'!AN81</f>
        <v>0</v>
      </c>
      <c r="K80" s="2">
        <f>+'s1'!AO81</f>
        <v>0</v>
      </c>
      <c r="L80" s="2">
        <f>+'s1'!AP81</f>
        <v>0</v>
      </c>
      <c r="M80" s="2">
        <f>+'s1'!AQ81</f>
        <v>0</v>
      </c>
      <c r="N80" s="2">
        <f>+'s1'!AR81</f>
        <v>0</v>
      </c>
      <c r="O80" s="2">
        <f>+'s1'!AS81</f>
        <v>0</v>
      </c>
      <c r="P80" s="2">
        <f>+'s1'!AT81</f>
        <v>0</v>
      </c>
      <c r="Q80" s="2">
        <f>+'s1'!AU81</f>
        <v>12661.73</v>
      </c>
      <c r="R80" s="2">
        <f>+'s1'!AV81</f>
        <v>0</v>
      </c>
      <c r="S80" s="2">
        <f t="shared" si="0"/>
        <v>25013.61</v>
      </c>
      <c r="T80" s="2"/>
    </row>
    <row r="81" spans="1:20" x14ac:dyDescent="0.2">
      <c r="A81" s="18" t="s">
        <v>787</v>
      </c>
      <c r="B81" s="2">
        <f>+'s1'!AF82</f>
        <v>0</v>
      </c>
      <c r="C81" s="2">
        <f>+'s1'!AG82</f>
        <v>0</v>
      </c>
      <c r="D81" s="2">
        <f>+'s1'!AH82</f>
        <v>144630.62</v>
      </c>
      <c r="E81" s="2">
        <f>+'s1'!AI82</f>
        <v>0</v>
      </c>
      <c r="F81" s="2">
        <f>+'s1'!AJ82</f>
        <v>0</v>
      </c>
      <c r="G81" s="2">
        <f>+'s1'!AK82</f>
        <v>0</v>
      </c>
      <c r="H81" s="2">
        <f>+'s1'!AL82</f>
        <v>0</v>
      </c>
      <c r="I81" s="2">
        <f>+'s1'!AM82</f>
        <v>0</v>
      </c>
      <c r="J81" s="2">
        <f>+'s1'!AN82</f>
        <v>0</v>
      </c>
      <c r="K81" s="2">
        <f>+'s1'!AO82</f>
        <v>483.18</v>
      </c>
      <c r="L81" s="2">
        <f>+'s1'!AP82</f>
        <v>0</v>
      </c>
      <c r="M81" s="2">
        <f>+'s1'!AQ82</f>
        <v>0</v>
      </c>
      <c r="N81" s="2">
        <f>+'s1'!AR82</f>
        <v>5756.72</v>
      </c>
      <c r="O81" s="2">
        <f>+'s1'!AS82</f>
        <v>0</v>
      </c>
      <c r="P81" s="2">
        <f>+'s1'!AT82</f>
        <v>0</v>
      </c>
      <c r="Q81" s="2">
        <f>+'s1'!AU82</f>
        <v>0</v>
      </c>
      <c r="R81" s="2">
        <f>+'s1'!AV82</f>
        <v>0</v>
      </c>
      <c r="S81" s="2">
        <f t="shared" si="0"/>
        <v>150870.51999999999</v>
      </c>
      <c r="T81" s="1"/>
    </row>
    <row r="82" spans="1:20" s="20" customFormat="1" x14ac:dyDescent="0.2">
      <c r="A82" s="1" t="s">
        <v>57</v>
      </c>
      <c r="B82" s="2">
        <f>+'s1'!AF83</f>
        <v>0</v>
      </c>
      <c r="C82" s="2">
        <f>+'s1'!AG83</f>
        <v>0</v>
      </c>
      <c r="D82" s="2">
        <f>+'s1'!AH83</f>
        <v>123769.21</v>
      </c>
      <c r="E82" s="2">
        <f>+'s1'!AI83</f>
        <v>0</v>
      </c>
      <c r="F82" s="2">
        <f>+'s1'!AJ83</f>
        <v>0</v>
      </c>
      <c r="G82" s="2">
        <f>+'s1'!AK83</f>
        <v>0</v>
      </c>
      <c r="H82" s="2">
        <f>+'s1'!AL83</f>
        <v>0</v>
      </c>
      <c r="I82" s="2">
        <f>+'s1'!AM83</f>
        <v>0</v>
      </c>
      <c r="J82" s="2">
        <f>+'s1'!AN83</f>
        <v>0</v>
      </c>
      <c r="K82" s="2">
        <f>+'s1'!AO83</f>
        <v>0</v>
      </c>
      <c r="L82" s="2">
        <f>+'s1'!AP83</f>
        <v>0</v>
      </c>
      <c r="M82" s="2">
        <f>+'s1'!AQ83</f>
        <v>0</v>
      </c>
      <c r="N82" s="2">
        <f>+'s1'!AR83</f>
        <v>0</v>
      </c>
      <c r="O82" s="2">
        <f>+'s1'!AS83</f>
        <v>0</v>
      </c>
      <c r="P82" s="2">
        <f>+'s1'!AT83</f>
        <v>0</v>
      </c>
      <c r="Q82" s="2">
        <f>+'s1'!AU83</f>
        <v>0</v>
      </c>
      <c r="R82" s="2">
        <f>+'s1'!AV83</f>
        <v>0</v>
      </c>
      <c r="S82" s="2">
        <f t="shared" si="0"/>
        <v>123769.21</v>
      </c>
      <c r="T82" s="78"/>
    </row>
    <row r="83" spans="1:20" s="20" customFormat="1" x14ac:dyDescent="0.2">
      <c r="A83" s="1" t="s">
        <v>435</v>
      </c>
      <c r="B83" s="2">
        <f>+'s1'!AF84</f>
        <v>0</v>
      </c>
      <c r="C83" s="2">
        <f>+'s1'!AG84</f>
        <v>0</v>
      </c>
      <c r="D83" s="2">
        <f>+'s1'!AH84</f>
        <v>18011.23</v>
      </c>
      <c r="E83" s="2">
        <f>+'s1'!AI84</f>
        <v>0</v>
      </c>
      <c r="F83" s="2">
        <f>+'s1'!AJ84</f>
        <v>12099.9</v>
      </c>
      <c r="G83" s="2">
        <f>+'s1'!AK84</f>
        <v>0</v>
      </c>
      <c r="H83" s="2">
        <f>+'s1'!AL84</f>
        <v>0</v>
      </c>
      <c r="I83" s="2">
        <f>+'s1'!AM84</f>
        <v>0</v>
      </c>
      <c r="J83" s="2">
        <f>+'s1'!AN84</f>
        <v>0</v>
      </c>
      <c r="K83" s="2">
        <f>+'s1'!AO84</f>
        <v>0</v>
      </c>
      <c r="L83" s="2">
        <f>+'s1'!AP84</f>
        <v>22584.76</v>
      </c>
      <c r="M83" s="2">
        <f>+'s1'!AQ84</f>
        <v>0</v>
      </c>
      <c r="N83" s="2">
        <f>+'s1'!AR84</f>
        <v>0</v>
      </c>
      <c r="O83" s="2">
        <f>+'s1'!AS84</f>
        <v>0</v>
      </c>
      <c r="P83" s="2">
        <f>+'s1'!AT84</f>
        <v>0</v>
      </c>
      <c r="Q83" s="2">
        <f>+'s1'!AU84</f>
        <v>0</v>
      </c>
      <c r="R83" s="2">
        <f>+'s1'!AV84</f>
        <v>0</v>
      </c>
      <c r="S83" s="2">
        <f t="shared" si="0"/>
        <v>52695.89</v>
      </c>
      <c r="T83" s="78"/>
    </row>
    <row r="84" spans="1:20" x14ac:dyDescent="0.2">
      <c r="A84" s="1" t="s">
        <v>436</v>
      </c>
      <c r="B84" s="2">
        <f>+'s1'!AF85</f>
        <v>8600.2900000000009</v>
      </c>
      <c r="C84" s="2">
        <f>+'s1'!AG85</f>
        <v>0</v>
      </c>
      <c r="D84" s="2">
        <f>+'s1'!AH85</f>
        <v>1026.1199999999999</v>
      </c>
      <c r="E84" s="2">
        <f>+'s1'!AI85</f>
        <v>0</v>
      </c>
      <c r="F84" s="2">
        <f>+'s1'!AJ85</f>
        <v>0</v>
      </c>
      <c r="G84" s="2">
        <f>+'s1'!AK85</f>
        <v>0</v>
      </c>
      <c r="H84" s="2">
        <f>+'s1'!AL85</f>
        <v>0</v>
      </c>
      <c r="I84" s="2">
        <f>+'s1'!AM85</f>
        <v>0</v>
      </c>
      <c r="J84" s="2">
        <f>+'s1'!AN85</f>
        <v>0</v>
      </c>
      <c r="K84" s="2">
        <f>+'s1'!AO85</f>
        <v>0</v>
      </c>
      <c r="L84" s="2">
        <f>+'s1'!AP85</f>
        <v>0</v>
      </c>
      <c r="M84" s="2">
        <f>+'s1'!AQ85</f>
        <v>0</v>
      </c>
      <c r="N84" s="2">
        <f>+'s1'!AR85</f>
        <v>0</v>
      </c>
      <c r="O84" s="2">
        <f>+'s1'!AS85</f>
        <v>0</v>
      </c>
      <c r="P84" s="2">
        <f>+'s1'!AT85</f>
        <v>0</v>
      </c>
      <c r="Q84" s="2">
        <f>+'s1'!AU85</f>
        <v>10263.83</v>
      </c>
      <c r="R84" s="2">
        <f>+'s1'!AV85</f>
        <v>0</v>
      </c>
      <c r="S84" s="2">
        <f t="shared" si="0"/>
        <v>19890.240000000002</v>
      </c>
      <c r="T84" s="2"/>
    </row>
    <row r="85" spans="1:20" x14ac:dyDescent="0.2">
      <c r="A85" s="1" t="s">
        <v>348</v>
      </c>
      <c r="B85" s="2">
        <f>+'s1'!AF86</f>
        <v>0</v>
      </c>
      <c r="C85" s="2">
        <f>+'s1'!AG86</f>
        <v>0</v>
      </c>
      <c r="D85" s="2">
        <f>+'s1'!AH86</f>
        <v>25360.32</v>
      </c>
      <c r="E85" s="2">
        <f>+'s1'!AI86</f>
        <v>0</v>
      </c>
      <c r="F85" s="2">
        <f>+'s1'!AJ86</f>
        <v>0</v>
      </c>
      <c r="G85" s="2">
        <f>+'s1'!AK86</f>
        <v>0</v>
      </c>
      <c r="H85" s="2">
        <f>+'s1'!AL86</f>
        <v>0</v>
      </c>
      <c r="I85" s="2">
        <f>+'s1'!AM86</f>
        <v>0</v>
      </c>
      <c r="J85" s="2">
        <f>+'s1'!AN86</f>
        <v>0</v>
      </c>
      <c r="K85" s="2">
        <f>+'s1'!AO86</f>
        <v>0</v>
      </c>
      <c r="L85" s="2">
        <f>+'s1'!AP86</f>
        <v>0</v>
      </c>
      <c r="M85" s="2">
        <f>+'s1'!AQ86</f>
        <v>0</v>
      </c>
      <c r="N85" s="2">
        <f>+'s1'!AR86</f>
        <v>2999.31</v>
      </c>
      <c r="O85" s="2">
        <f>+'s1'!AS86</f>
        <v>0</v>
      </c>
      <c r="P85" s="2">
        <f>+'s1'!AT86</f>
        <v>0</v>
      </c>
      <c r="Q85" s="2">
        <f>+'s1'!AU86</f>
        <v>0</v>
      </c>
      <c r="R85" s="2">
        <f>+'s1'!AV86</f>
        <v>0</v>
      </c>
      <c r="S85" s="2">
        <f t="shared" si="0"/>
        <v>28359.63</v>
      </c>
      <c r="T85" s="1"/>
    </row>
    <row r="86" spans="1:20" s="20" customFormat="1" x14ac:dyDescent="0.2">
      <c r="A86" s="1" t="s">
        <v>609</v>
      </c>
      <c r="B86" s="2">
        <f>+'s1'!AF87</f>
        <v>0</v>
      </c>
      <c r="C86" s="2">
        <f>+'s1'!AG87</f>
        <v>0</v>
      </c>
      <c r="D86" s="2">
        <f>+'s1'!AH87</f>
        <v>0</v>
      </c>
      <c r="E86" s="2">
        <f>+'s1'!AI87</f>
        <v>0</v>
      </c>
      <c r="F86" s="2">
        <f>+'s1'!AJ87</f>
        <v>0</v>
      </c>
      <c r="G86" s="2">
        <f>+'s1'!AK87</f>
        <v>0</v>
      </c>
      <c r="H86" s="2">
        <f>+'s1'!AL87</f>
        <v>0</v>
      </c>
      <c r="I86" s="2">
        <f>+'s1'!AM87</f>
        <v>0</v>
      </c>
      <c r="J86" s="2">
        <f>+'s1'!AN87</f>
        <v>0</v>
      </c>
      <c r="K86" s="2">
        <f>+'s1'!AO87</f>
        <v>0</v>
      </c>
      <c r="L86" s="2">
        <f>+'s1'!AP87</f>
        <v>0</v>
      </c>
      <c r="M86" s="2">
        <f>+'s1'!AQ87</f>
        <v>0</v>
      </c>
      <c r="N86" s="2">
        <f>+'s1'!AR87</f>
        <v>0</v>
      </c>
      <c r="O86" s="2">
        <f>+'s1'!AS87</f>
        <v>0</v>
      </c>
      <c r="P86" s="2">
        <f>+'s1'!AT87</f>
        <v>0</v>
      </c>
      <c r="Q86" s="2">
        <f>+'s1'!AU87</f>
        <v>1154.29</v>
      </c>
      <c r="R86" s="2">
        <f>+'s1'!AV87</f>
        <v>0</v>
      </c>
      <c r="S86" s="2">
        <f t="shared" si="0"/>
        <v>1154.29</v>
      </c>
      <c r="T86" s="18"/>
    </row>
    <row r="87" spans="1:20" x14ac:dyDescent="0.2">
      <c r="A87" s="18" t="s">
        <v>437</v>
      </c>
      <c r="B87" s="2">
        <f>+'s1'!AF88</f>
        <v>18458.41</v>
      </c>
      <c r="C87" s="2">
        <f>+'s1'!AG88</f>
        <v>0</v>
      </c>
      <c r="D87" s="2">
        <f>+'s1'!AH88</f>
        <v>0</v>
      </c>
      <c r="E87" s="2">
        <f>+'s1'!AI88</f>
        <v>0</v>
      </c>
      <c r="F87" s="2">
        <f>+'s1'!AJ88</f>
        <v>0</v>
      </c>
      <c r="G87" s="2">
        <f>+'s1'!AK88</f>
        <v>0</v>
      </c>
      <c r="H87" s="2">
        <f>+'s1'!AL88</f>
        <v>0</v>
      </c>
      <c r="I87" s="2">
        <f>+'s1'!AM88</f>
        <v>0</v>
      </c>
      <c r="J87" s="2">
        <f>+'s1'!AN88</f>
        <v>0</v>
      </c>
      <c r="K87" s="2">
        <f>+'s1'!AO88</f>
        <v>0</v>
      </c>
      <c r="L87" s="2">
        <f>+'s1'!AP88</f>
        <v>0</v>
      </c>
      <c r="M87" s="2">
        <f>+'s1'!AQ88</f>
        <v>0</v>
      </c>
      <c r="N87" s="2">
        <f>+'s1'!AR88</f>
        <v>0</v>
      </c>
      <c r="O87" s="2">
        <f>+'s1'!AS88</f>
        <v>0</v>
      </c>
      <c r="P87" s="2">
        <f>+'s1'!AT88</f>
        <v>0</v>
      </c>
      <c r="Q87" s="2">
        <f>+'s1'!AU88</f>
        <v>79632.960000000006</v>
      </c>
      <c r="R87" s="2">
        <f>+'s1'!AV88</f>
        <v>0</v>
      </c>
      <c r="S87" s="2">
        <f t="shared" si="0"/>
        <v>98091.37</v>
      </c>
      <c r="T87" s="1"/>
    </row>
    <row r="88" spans="1:20" s="20" customFormat="1" x14ac:dyDescent="0.2">
      <c r="A88" s="18" t="s">
        <v>58</v>
      </c>
      <c r="B88" s="2">
        <f>+'s1'!AF89</f>
        <v>0</v>
      </c>
      <c r="C88" s="2">
        <f>+'s1'!AG89</f>
        <v>0</v>
      </c>
      <c r="D88" s="2">
        <f>+'s1'!AH89</f>
        <v>678153.92</v>
      </c>
      <c r="E88" s="2">
        <f>+'s1'!AI89</f>
        <v>0</v>
      </c>
      <c r="F88" s="2">
        <f>+'s1'!AJ89</f>
        <v>0</v>
      </c>
      <c r="G88" s="2">
        <f>+'s1'!AK89</f>
        <v>557.54</v>
      </c>
      <c r="H88" s="2">
        <f>+'s1'!AL89</f>
        <v>0</v>
      </c>
      <c r="I88" s="2">
        <f>+'s1'!AM89</f>
        <v>0</v>
      </c>
      <c r="J88" s="2">
        <f>+'s1'!AN89</f>
        <v>242.02</v>
      </c>
      <c r="K88" s="2">
        <f>+'s1'!AO89</f>
        <v>83.73</v>
      </c>
      <c r="L88" s="2">
        <f>+'s1'!AP89</f>
        <v>0</v>
      </c>
      <c r="M88" s="2">
        <f>+'s1'!AQ89</f>
        <v>0</v>
      </c>
      <c r="N88" s="2">
        <f>+'s1'!AR89</f>
        <v>15041.39</v>
      </c>
      <c r="O88" s="2">
        <f>+'s1'!AS89</f>
        <v>0</v>
      </c>
      <c r="P88" s="2">
        <f>+'s1'!AT89</f>
        <v>0</v>
      </c>
      <c r="Q88" s="2">
        <f>+'s1'!AU89</f>
        <v>0</v>
      </c>
      <c r="R88" s="2">
        <f>+'s1'!AV89</f>
        <v>0</v>
      </c>
      <c r="S88" s="2">
        <f t="shared" si="0"/>
        <v>694078.6</v>
      </c>
      <c r="T88" s="78"/>
    </row>
    <row r="89" spans="1:20" x14ac:dyDescent="0.2">
      <c r="A89" s="1" t="s">
        <v>59</v>
      </c>
      <c r="B89" s="2">
        <f>+'s1'!AF90</f>
        <v>0</v>
      </c>
      <c r="C89" s="2">
        <f>+'s1'!AG90</f>
        <v>0</v>
      </c>
      <c r="D89" s="2">
        <f>+'s1'!AH90</f>
        <v>0</v>
      </c>
      <c r="E89" s="2">
        <f>+'s1'!AI90</f>
        <v>0</v>
      </c>
      <c r="F89" s="2">
        <f>+'s1'!AJ90</f>
        <v>4557.9399999999996</v>
      </c>
      <c r="G89" s="2">
        <f>+'s1'!AK90</f>
        <v>0</v>
      </c>
      <c r="H89" s="2">
        <f>+'s1'!AL90</f>
        <v>0</v>
      </c>
      <c r="I89" s="2">
        <f>+'s1'!AM90</f>
        <v>0</v>
      </c>
      <c r="J89" s="2">
        <f>+'s1'!AN90</f>
        <v>0</v>
      </c>
      <c r="K89" s="2">
        <f>+'s1'!AO90</f>
        <v>1872.39</v>
      </c>
      <c r="L89" s="2">
        <f>+'s1'!AP90</f>
        <v>0</v>
      </c>
      <c r="M89" s="2">
        <f>+'s1'!AQ90</f>
        <v>0</v>
      </c>
      <c r="N89" s="2">
        <f>+'s1'!AR90</f>
        <v>0</v>
      </c>
      <c r="O89" s="2">
        <f>+'s1'!AS90</f>
        <v>0</v>
      </c>
      <c r="P89" s="2">
        <f>+'s1'!AT90</f>
        <v>0</v>
      </c>
      <c r="Q89" s="2">
        <f>+'s1'!AU90</f>
        <v>0</v>
      </c>
      <c r="R89" s="2">
        <f>+'s1'!AV90</f>
        <v>23211.06</v>
      </c>
      <c r="S89" s="2">
        <f t="shared" si="0"/>
        <v>29641.39</v>
      </c>
      <c r="T89" s="2"/>
    </row>
    <row r="90" spans="1:20" x14ac:dyDescent="0.2">
      <c r="A90" s="1" t="s">
        <v>457</v>
      </c>
      <c r="B90" s="2">
        <f>+'s1'!AF91</f>
        <v>0</v>
      </c>
      <c r="C90" s="2">
        <f>+'s1'!AG91</f>
        <v>0</v>
      </c>
      <c r="D90" s="2">
        <f>+'s1'!AH91</f>
        <v>0</v>
      </c>
      <c r="E90" s="2">
        <f>+'s1'!AI91</f>
        <v>0</v>
      </c>
      <c r="F90" s="2">
        <f>+'s1'!AJ91</f>
        <v>0</v>
      </c>
      <c r="G90" s="2">
        <f>+'s1'!AK91</f>
        <v>0</v>
      </c>
      <c r="H90" s="2">
        <f>+'s1'!AL91</f>
        <v>0</v>
      </c>
      <c r="I90" s="2">
        <f>+'s1'!AM91</f>
        <v>0</v>
      </c>
      <c r="J90" s="2">
        <f>+'s1'!AN91</f>
        <v>0</v>
      </c>
      <c r="K90" s="2">
        <f>+'s1'!AO91</f>
        <v>0</v>
      </c>
      <c r="L90" s="2">
        <f>+'s1'!AP91</f>
        <v>0</v>
      </c>
      <c r="M90" s="2">
        <f>+'s1'!AQ91</f>
        <v>0</v>
      </c>
      <c r="N90" s="2">
        <f>+'s1'!AR91</f>
        <v>0</v>
      </c>
      <c r="O90" s="2">
        <f>+'s1'!AS91</f>
        <v>0</v>
      </c>
      <c r="P90" s="2">
        <f>+'s1'!AT91</f>
        <v>0</v>
      </c>
      <c r="Q90" s="2">
        <f>+'s1'!AU91</f>
        <v>1599.51</v>
      </c>
      <c r="R90" s="2">
        <f>+'s1'!AV91</f>
        <v>0</v>
      </c>
      <c r="S90" s="2">
        <f t="shared" ref="S90:S111" si="1">SUM(B90:R90)</f>
        <v>1599.51</v>
      </c>
      <c r="T90" s="2"/>
    </row>
    <row r="91" spans="1:20" s="20" customFormat="1" x14ac:dyDescent="0.2">
      <c r="A91" s="18" t="s">
        <v>60</v>
      </c>
      <c r="B91" s="2">
        <f>+'s1'!AF92</f>
        <v>37403.06</v>
      </c>
      <c r="C91" s="2">
        <f>+'s1'!AG92</f>
        <v>6879.16</v>
      </c>
      <c r="D91" s="2">
        <f>+'s1'!AH92</f>
        <v>179907.01</v>
      </c>
      <c r="E91" s="2">
        <f>+'s1'!AI92</f>
        <v>2739.14</v>
      </c>
      <c r="F91" s="2">
        <f>+'s1'!AJ92</f>
        <v>0</v>
      </c>
      <c r="G91" s="2">
        <f>+'s1'!AK92</f>
        <v>388.24</v>
      </c>
      <c r="H91" s="2">
        <f>+'s1'!AL92</f>
        <v>0</v>
      </c>
      <c r="I91" s="2">
        <f>+'s1'!AM92</f>
        <v>0</v>
      </c>
      <c r="J91" s="2">
        <f>+'s1'!AN92</f>
        <v>0</v>
      </c>
      <c r="K91" s="2">
        <f>+'s1'!AO92</f>
        <v>0</v>
      </c>
      <c r="L91" s="2">
        <f>+'s1'!AP92</f>
        <v>15059.27</v>
      </c>
      <c r="M91" s="2">
        <f>+'s1'!AQ92</f>
        <v>351.57</v>
      </c>
      <c r="N91" s="2">
        <f>+'s1'!AR92</f>
        <v>1546.36</v>
      </c>
      <c r="O91" s="2">
        <f>+'s1'!AS92</f>
        <v>5592.59</v>
      </c>
      <c r="P91" s="2">
        <f>+'s1'!AT92</f>
        <v>0</v>
      </c>
      <c r="Q91" s="2">
        <f>+'s1'!AU92</f>
        <v>39609.74</v>
      </c>
      <c r="R91" s="2">
        <f>+'s1'!AV92</f>
        <v>778.89</v>
      </c>
      <c r="S91" s="2">
        <f t="shared" si="1"/>
        <v>290255.03000000003</v>
      </c>
      <c r="T91" s="78"/>
    </row>
    <row r="92" spans="1:20" s="20" customFormat="1" x14ac:dyDescent="0.2">
      <c r="A92" s="1" t="s">
        <v>458</v>
      </c>
      <c r="B92" s="2">
        <f>+'s1'!AF93</f>
        <v>0</v>
      </c>
      <c r="C92" s="2">
        <f>+'s1'!AG93</f>
        <v>63.15</v>
      </c>
      <c r="D92" s="2">
        <f>+'s1'!AH93</f>
        <v>0</v>
      </c>
      <c r="E92" s="2">
        <f>+'s1'!AI93</f>
        <v>31.56</v>
      </c>
      <c r="F92" s="2">
        <f>+'s1'!AJ93</f>
        <v>0</v>
      </c>
      <c r="G92" s="2">
        <f>+'s1'!AK93</f>
        <v>0</v>
      </c>
      <c r="H92" s="2">
        <f>+'s1'!AL93</f>
        <v>0</v>
      </c>
      <c r="I92" s="2">
        <f>+'s1'!AM93</f>
        <v>0</v>
      </c>
      <c r="J92" s="2">
        <f>+'s1'!AN93</f>
        <v>0</v>
      </c>
      <c r="K92" s="2">
        <f>+'s1'!AO93</f>
        <v>0</v>
      </c>
      <c r="L92" s="2">
        <f>+'s1'!AP93</f>
        <v>6397.85</v>
      </c>
      <c r="M92" s="2">
        <f>+'s1'!AQ93</f>
        <v>29.99</v>
      </c>
      <c r="N92" s="2">
        <f>+'s1'!AR93</f>
        <v>0</v>
      </c>
      <c r="O92" s="2">
        <f>+'s1'!AS93</f>
        <v>0</v>
      </c>
      <c r="P92" s="2">
        <f>+'s1'!AT93</f>
        <v>41.32</v>
      </c>
      <c r="Q92" s="2">
        <f>+'s1'!AU93</f>
        <v>324.49</v>
      </c>
      <c r="R92" s="2">
        <f>+'s1'!AV93</f>
        <v>0</v>
      </c>
      <c r="S92" s="2">
        <f t="shared" si="1"/>
        <v>6888.36</v>
      </c>
      <c r="T92" s="18"/>
    </row>
    <row r="93" spans="1:20" s="20" customFormat="1" x14ac:dyDescent="0.2">
      <c r="A93" s="18" t="s">
        <v>61</v>
      </c>
      <c r="B93" s="2">
        <f>+'s1'!AF94</f>
        <v>0</v>
      </c>
      <c r="C93" s="2">
        <f>+'s1'!AG94</f>
        <v>0</v>
      </c>
      <c r="D93" s="2">
        <f>+'s1'!AH94</f>
        <v>0</v>
      </c>
      <c r="E93" s="2">
        <f>+'s1'!AI94</f>
        <v>0</v>
      </c>
      <c r="F93" s="2">
        <f>+'s1'!AJ94</f>
        <v>0</v>
      </c>
      <c r="G93" s="2">
        <f>+'s1'!AK94</f>
        <v>0</v>
      </c>
      <c r="H93" s="2">
        <f>+'s1'!AL94</f>
        <v>0</v>
      </c>
      <c r="I93" s="2">
        <f>+'s1'!AM94</f>
        <v>4430.46</v>
      </c>
      <c r="J93" s="2">
        <f>+'s1'!AN94</f>
        <v>0</v>
      </c>
      <c r="K93" s="2">
        <f>+'s1'!AO94</f>
        <v>0</v>
      </c>
      <c r="L93" s="2">
        <f>+'s1'!AP94</f>
        <v>0</v>
      </c>
      <c r="M93" s="2">
        <f>+'s1'!AQ94</f>
        <v>0</v>
      </c>
      <c r="N93" s="2">
        <f>+'s1'!AR94</f>
        <v>0</v>
      </c>
      <c r="O93" s="2">
        <f>+'s1'!AS94</f>
        <v>168.11</v>
      </c>
      <c r="P93" s="2">
        <f>+'s1'!AT94</f>
        <v>0</v>
      </c>
      <c r="Q93" s="2">
        <f>+'s1'!AU94</f>
        <v>0</v>
      </c>
      <c r="R93" s="2">
        <f>+'s1'!AV94</f>
        <v>0</v>
      </c>
      <c r="S93" s="2">
        <f t="shared" si="1"/>
        <v>4598.57</v>
      </c>
      <c r="T93" s="18"/>
    </row>
    <row r="94" spans="1:20" s="20" customFormat="1" x14ac:dyDescent="0.2">
      <c r="A94" s="1" t="s">
        <v>62</v>
      </c>
      <c r="B94" s="2">
        <f>+'s1'!AF95</f>
        <v>0</v>
      </c>
      <c r="C94" s="2">
        <f>+'s1'!AG95</f>
        <v>0</v>
      </c>
      <c r="D94" s="2">
        <f>+'s1'!AH95</f>
        <v>0</v>
      </c>
      <c r="E94" s="2">
        <f>+'s1'!AI95</f>
        <v>0</v>
      </c>
      <c r="F94" s="2">
        <f>+'s1'!AJ95</f>
        <v>0</v>
      </c>
      <c r="G94" s="2">
        <f>+'s1'!AK95</f>
        <v>0</v>
      </c>
      <c r="H94" s="2">
        <f>+'s1'!AL95</f>
        <v>0</v>
      </c>
      <c r="I94" s="2">
        <f>+'s1'!AM95</f>
        <v>0</v>
      </c>
      <c r="J94" s="2">
        <f>+'s1'!AN95</f>
        <v>0</v>
      </c>
      <c r="K94" s="2">
        <f>+'s1'!AO95</f>
        <v>0</v>
      </c>
      <c r="L94" s="2">
        <f>+'s1'!AP95</f>
        <v>0</v>
      </c>
      <c r="M94" s="2">
        <f>+'s1'!AQ95</f>
        <v>0</v>
      </c>
      <c r="N94" s="2">
        <f>+'s1'!AR95</f>
        <v>0</v>
      </c>
      <c r="O94" s="2">
        <f>+'s1'!AS95</f>
        <v>0</v>
      </c>
      <c r="P94" s="2">
        <f>+'s1'!AT95</f>
        <v>0</v>
      </c>
      <c r="Q94" s="2">
        <f>+'s1'!AU95</f>
        <v>0</v>
      </c>
      <c r="R94" s="2">
        <f>+'s1'!AV95</f>
        <v>458.9</v>
      </c>
      <c r="S94" s="2">
        <f t="shared" si="1"/>
        <v>458.9</v>
      </c>
      <c r="T94" s="18"/>
    </row>
    <row r="95" spans="1:20" s="20" customFormat="1" x14ac:dyDescent="0.2">
      <c r="A95" s="1" t="s">
        <v>63</v>
      </c>
      <c r="B95" s="2">
        <f>+'s1'!AF96</f>
        <v>0</v>
      </c>
      <c r="C95" s="2">
        <f>+'s1'!AG96</f>
        <v>0</v>
      </c>
      <c r="D95" s="2">
        <f>+'s1'!AH96</f>
        <v>0</v>
      </c>
      <c r="E95" s="2">
        <f>+'s1'!AI96</f>
        <v>0</v>
      </c>
      <c r="F95" s="2">
        <f>+'s1'!AJ96</f>
        <v>0</v>
      </c>
      <c r="G95" s="2">
        <f>+'s1'!AK96</f>
        <v>0</v>
      </c>
      <c r="H95" s="2">
        <f>+'s1'!AL96</f>
        <v>0</v>
      </c>
      <c r="I95" s="2">
        <f>+'s1'!AM96</f>
        <v>0</v>
      </c>
      <c r="J95" s="2">
        <f>+'s1'!AN96</f>
        <v>3628.11</v>
      </c>
      <c r="K95" s="2">
        <f>+'s1'!AO96</f>
        <v>0</v>
      </c>
      <c r="L95" s="2">
        <f>+'s1'!AP96</f>
        <v>0</v>
      </c>
      <c r="M95" s="2">
        <f>+'s1'!AQ96</f>
        <v>0</v>
      </c>
      <c r="N95" s="2">
        <f>+'s1'!AR96</f>
        <v>0</v>
      </c>
      <c r="O95" s="2">
        <f>+'s1'!AS96</f>
        <v>229.06</v>
      </c>
      <c r="P95" s="2">
        <f>+'s1'!AT96</f>
        <v>0</v>
      </c>
      <c r="Q95" s="2">
        <f>+'s1'!AU96</f>
        <v>0</v>
      </c>
      <c r="R95" s="2">
        <f>+'s1'!AV96</f>
        <v>0</v>
      </c>
      <c r="S95" s="2">
        <f t="shared" si="1"/>
        <v>3857.17</v>
      </c>
      <c r="T95" s="78"/>
    </row>
    <row r="96" spans="1:20" s="20" customFormat="1" x14ac:dyDescent="0.2">
      <c r="A96" s="18" t="s">
        <v>711</v>
      </c>
      <c r="B96" s="2">
        <f>+'s1'!AF97</f>
        <v>0</v>
      </c>
      <c r="C96" s="2">
        <f>+'s1'!AG97</f>
        <v>0</v>
      </c>
      <c r="D96" s="2">
        <f>+'s1'!AH97</f>
        <v>0</v>
      </c>
      <c r="E96" s="2">
        <f>+'s1'!AI97</f>
        <v>0</v>
      </c>
      <c r="F96" s="2">
        <f>+'s1'!AJ97</f>
        <v>0</v>
      </c>
      <c r="G96" s="2">
        <f>+'s1'!AK97</f>
        <v>0</v>
      </c>
      <c r="H96" s="2">
        <f>+'s1'!AL97</f>
        <v>0</v>
      </c>
      <c r="I96" s="2">
        <f>+'s1'!AM97</f>
        <v>0</v>
      </c>
      <c r="J96" s="2">
        <f>+'s1'!AN97</f>
        <v>0</v>
      </c>
      <c r="K96" s="2">
        <f>+'s1'!AO97</f>
        <v>0</v>
      </c>
      <c r="L96" s="2">
        <f>+'s1'!AP97</f>
        <v>0</v>
      </c>
      <c r="M96" s="2">
        <f>+'s1'!AQ97</f>
        <v>0</v>
      </c>
      <c r="N96" s="2">
        <f>+'s1'!AR97</f>
        <v>0</v>
      </c>
      <c r="O96" s="2">
        <f>+'s1'!AS97</f>
        <v>0</v>
      </c>
      <c r="P96" s="2">
        <f>+'s1'!AT97</f>
        <v>0</v>
      </c>
      <c r="Q96" s="2">
        <f>+'s1'!AU97</f>
        <v>40729.61</v>
      </c>
      <c r="R96" s="2">
        <f>+'s1'!AV97</f>
        <v>0</v>
      </c>
      <c r="S96" s="2">
        <f>SUM(B96:R96)</f>
        <v>40729.61</v>
      </c>
      <c r="T96" s="78"/>
    </row>
    <row r="97" spans="1:20" s="20" customFormat="1" x14ac:dyDescent="0.2">
      <c r="A97" s="18" t="s">
        <v>64</v>
      </c>
      <c r="B97" s="2">
        <f>+'s1'!AF98</f>
        <v>0</v>
      </c>
      <c r="C97" s="2">
        <f>+'s1'!AG98</f>
        <v>0</v>
      </c>
      <c r="D97" s="2">
        <f>+'s1'!AH98</f>
        <v>191.13</v>
      </c>
      <c r="E97" s="2">
        <f>+'s1'!AI98</f>
        <v>0</v>
      </c>
      <c r="F97" s="2">
        <f>+'s1'!AJ98</f>
        <v>0</v>
      </c>
      <c r="G97" s="2">
        <f>+'s1'!AK98</f>
        <v>0</v>
      </c>
      <c r="H97" s="2">
        <f>+'s1'!AL98</f>
        <v>0</v>
      </c>
      <c r="I97" s="2">
        <f>+'s1'!AM98</f>
        <v>0</v>
      </c>
      <c r="J97" s="2">
        <f>+'s1'!AN98</f>
        <v>0</v>
      </c>
      <c r="K97" s="2">
        <f>+'s1'!AO98</f>
        <v>0</v>
      </c>
      <c r="L97" s="2">
        <f>+'s1'!AP98</f>
        <v>0</v>
      </c>
      <c r="M97" s="2">
        <f>+'s1'!AQ98</f>
        <v>0</v>
      </c>
      <c r="N97" s="2">
        <f>+'s1'!AR98</f>
        <v>0</v>
      </c>
      <c r="O97" s="2">
        <f>+'s1'!AS98</f>
        <v>0</v>
      </c>
      <c r="P97" s="2">
        <f>+'s1'!AT98</f>
        <v>0</v>
      </c>
      <c r="Q97" s="2">
        <f>+'s1'!AU98</f>
        <v>0</v>
      </c>
      <c r="R97" s="2">
        <f>+'s1'!AV98</f>
        <v>0</v>
      </c>
      <c r="S97" s="2">
        <f t="shared" si="1"/>
        <v>191.13</v>
      </c>
      <c r="T97" s="78"/>
    </row>
    <row r="98" spans="1:20" s="20" customFormat="1" x14ac:dyDescent="0.2">
      <c r="A98" s="18" t="s">
        <v>573</v>
      </c>
      <c r="B98" s="2">
        <f>+'s1'!AF99</f>
        <v>0</v>
      </c>
      <c r="C98" s="2">
        <f>+'s1'!AG99</f>
        <v>0</v>
      </c>
      <c r="D98" s="2">
        <f>+'s1'!AH99</f>
        <v>0</v>
      </c>
      <c r="E98" s="2">
        <f>+'s1'!AI99</f>
        <v>0</v>
      </c>
      <c r="F98" s="2">
        <f>+'s1'!AJ99</f>
        <v>0</v>
      </c>
      <c r="G98" s="2">
        <f>+'s1'!AK99</f>
        <v>0</v>
      </c>
      <c r="H98" s="2">
        <f>+'s1'!AL99</f>
        <v>1249.1099999999999</v>
      </c>
      <c r="I98" s="2">
        <f>+'s1'!AM99</f>
        <v>0</v>
      </c>
      <c r="J98" s="2">
        <f>+'s1'!AN99</f>
        <v>0</v>
      </c>
      <c r="K98" s="2">
        <f>+'s1'!AO99</f>
        <v>0</v>
      </c>
      <c r="L98" s="2">
        <f>+'s1'!AP99</f>
        <v>0</v>
      </c>
      <c r="M98" s="2">
        <f>+'s1'!AQ99</f>
        <v>0</v>
      </c>
      <c r="N98" s="2">
        <f>+'s1'!AR99</f>
        <v>0</v>
      </c>
      <c r="O98" s="2">
        <f>+'s1'!AS99</f>
        <v>0</v>
      </c>
      <c r="P98" s="2">
        <f>+'s1'!AT99</f>
        <v>0</v>
      </c>
      <c r="Q98" s="2">
        <f>+'s1'!AU99</f>
        <v>0</v>
      </c>
      <c r="R98" s="2">
        <f>+'s1'!AV99</f>
        <v>0</v>
      </c>
      <c r="S98" s="2">
        <f t="shared" si="1"/>
        <v>1249.1099999999999</v>
      </c>
      <c r="T98" s="78"/>
    </row>
    <row r="99" spans="1:20" s="20" customFormat="1" x14ac:dyDescent="0.2">
      <c r="A99" s="18" t="s">
        <v>438</v>
      </c>
      <c r="B99" s="2">
        <f>+'s1'!AF100</f>
        <v>0</v>
      </c>
      <c r="C99" s="2">
        <f>+'s1'!AG100</f>
        <v>0</v>
      </c>
      <c r="D99" s="2">
        <f>+'s1'!AH100</f>
        <v>84672.79</v>
      </c>
      <c r="E99" s="2">
        <f>+'s1'!AI100</f>
        <v>0</v>
      </c>
      <c r="F99" s="2">
        <f>+'s1'!AJ100</f>
        <v>8671.31</v>
      </c>
      <c r="G99" s="2">
        <f>+'s1'!AK100</f>
        <v>0</v>
      </c>
      <c r="H99" s="2">
        <f>+'s1'!AL100</f>
        <v>0</v>
      </c>
      <c r="I99" s="2">
        <f>+'s1'!AM100</f>
        <v>0</v>
      </c>
      <c r="J99" s="2">
        <f>+'s1'!AN100</f>
        <v>0</v>
      </c>
      <c r="K99" s="2">
        <f>+'s1'!AO100</f>
        <v>0</v>
      </c>
      <c r="L99" s="2">
        <f>+'s1'!AP100</f>
        <v>22527.69</v>
      </c>
      <c r="M99" s="2">
        <f>+'s1'!AQ100</f>
        <v>0</v>
      </c>
      <c r="N99" s="2">
        <f>+'s1'!AR100</f>
        <v>7338.12</v>
      </c>
      <c r="O99" s="2">
        <f>+'s1'!AS100</f>
        <v>0</v>
      </c>
      <c r="P99" s="2">
        <f>+'s1'!AT100</f>
        <v>0</v>
      </c>
      <c r="Q99" s="2">
        <f>+'s1'!AU100</f>
        <v>0</v>
      </c>
      <c r="R99" s="2">
        <f>+'s1'!AV100</f>
        <v>0</v>
      </c>
      <c r="S99" s="2">
        <f t="shared" si="1"/>
        <v>123209.91</v>
      </c>
      <c r="T99" s="78"/>
    </row>
    <row r="100" spans="1:20" x14ac:dyDescent="0.2">
      <c r="A100" s="18" t="s">
        <v>772</v>
      </c>
      <c r="B100" s="2">
        <f>+'s1'!AF101</f>
        <v>0</v>
      </c>
      <c r="C100" s="2">
        <f>+'s1'!AG101</f>
        <v>0</v>
      </c>
      <c r="D100" s="2">
        <f>+'s1'!AH101</f>
        <v>-776.25</v>
      </c>
      <c r="E100" s="2">
        <f>+'s1'!AI101</f>
        <v>0</v>
      </c>
      <c r="F100" s="2">
        <f>+'s1'!AJ101</f>
        <v>0</v>
      </c>
      <c r="G100" s="2">
        <f>+'s1'!AK101</f>
        <v>0</v>
      </c>
      <c r="H100" s="2">
        <f>+'s1'!AL101</f>
        <v>0</v>
      </c>
      <c r="I100" s="2">
        <f>+'s1'!AM101</f>
        <v>0</v>
      </c>
      <c r="J100" s="2">
        <f>+'s1'!AN101</f>
        <v>0</v>
      </c>
      <c r="K100" s="2">
        <f>+'s1'!AO101</f>
        <v>0</v>
      </c>
      <c r="L100" s="2">
        <f>+'s1'!AP101</f>
        <v>0</v>
      </c>
      <c r="M100" s="2">
        <f>+'s1'!AQ101</f>
        <v>0</v>
      </c>
      <c r="N100" s="2">
        <f>+'s1'!AR101</f>
        <v>0</v>
      </c>
      <c r="O100" s="2">
        <f>+'s1'!AS101</f>
        <v>0</v>
      </c>
      <c r="P100" s="2">
        <f>+'s1'!AT101</f>
        <v>0</v>
      </c>
      <c r="Q100" s="2">
        <f>+'s1'!AU101</f>
        <v>0</v>
      </c>
      <c r="R100" s="2">
        <f>+'s1'!AV101</f>
        <v>0</v>
      </c>
      <c r="S100" s="2">
        <f>SUM(B100:R100)</f>
        <v>-776.25</v>
      </c>
      <c r="T100" s="1"/>
    </row>
    <row r="101" spans="1:20" x14ac:dyDescent="0.2">
      <c r="A101" s="18" t="s">
        <v>65</v>
      </c>
      <c r="B101" s="2">
        <f>+'s1'!AF102</f>
        <v>0</v>
      </c>
      <c r="C101" s="2">
        <f>+'s1'!AG102</f>
        <v>9654.4599999999991</v>
      </c>
      <c r="D101" s="2">
        <f>+'s1'!AH102</f>
        <v>0</v>
      </c>
      <c r="E101" s="2">
        <f>+'s1'!AI102</f>
        <v>0</v>
      </c>
      <c r="F101" s="2">
        <f>+'s1'!AJ102</f>
        <v>0</v>
      </c>
      <c r="G101" s="2">
        <f>+'s1'!AK102</f>
        <v>0</v>
      </c>
      <c r="H101" s="2">
        <f>+'s1'!AL102</f>
        <v>0</v>
      </c>
      <c r="I101" s="2">
        <f>+'s1'!AM102</f>
        <v>0</v>
      </c>
      <c r="J101" s="2">
        <f>+'s1'!AN102</f>
        <v>0</v>
      </c>
      <c r="K101" s="2">
        <f>+'s1'!AO102</f>
        <v>0</v>
      </c>
      <c r="L101" s="2">
        <f>+'s1'!AP102</f>
        <v>0</v>
      </c>
      <c r="M101" s="2">
        <f>+'s1'!AQ102</f>
        <v>0</v>
      </c>
      <c r="N101" s="2">
        <f>+'s1'!AR102</f>
        <v>0</v>
      </c>
      <c r="O101" s="2">
        <f>+'s1'!AS102</f>
        <v>0</v>
      </c>
      <c r="P101" s="2">
        <f>+'s1'!AT102</f>
        <v>0</v>
      </c>
      <c r="Q101" s="2">
        <f>+'s1'!AU102</f>
        <v>0</v>
      </c>
      <c r="R101" s="2">
        <f>+'s1'!AV102</f>
        <v>0</v>
      </c>
      <c r="S101" s="2">
        <f t="shared" si="1"/>
        <v>9654.4599999999991</v>
      </c>
      <c r="T101" s="2"/>
    </row>
    <row r="102" spans="1:20" x14ac:dyDescent="0.2">
      <c r="A102" s="18" t="s">
        <v>475</v>
      </c>
      <c r="B102" s="2">
        <f>+'s1'!AF103</f>
        <v>30648.35</v>
      </c>
      <c r="C102" s="2">
        <f>+'s1'!AG103</f>
        <v>0</v>
      </c>
      <c r="D102" s="2">
        <f>+'s1'!AH103</f>
        <v>127611.02</v>
      </c>
      <c r="E102" s="2">
        <f>+'s1'!AI103</f>
        <v>5304.39</v>
      </c>
      <c r="F102" s="2">
        <f>+'s1'!AJ103</f>
        <v>0</v>
      </c>
      <c r="G102" s="2">
        <f>+'s1'!AK103</f>
        <v>0</v>
      </c>
      <c r="H102" s="2">
        <f>+'s1'!AL103</f>
        <v>0</v>
      </c>
      <c r="I102" s="2">
        <f>+'s1'!AM103</f>
        <v>0</v>
      </c>
      <c r="J102" s="2">
        <f>+'s1'!AN103</f>
        <v>0</v>
      </c>
      <c r="K102" s="2">
        <f>+'s1'!AO103</f>
        <v>0</v>
      </c>
      <c r="L102" s="2">
        <f>+'s1'!AP103</f>
        <v>2152.4299999999998</v>
      </c>
      <c r="M102" s="2">
        <f>+'s1'!AQ103</f>
        <v>3403.29</v>
      </c>
      <c r="N102" s="2">
        <f>+'s1'!AR103</f>
        <v>240.69</v>
      </c>
      <c r="O102" s="2">
        <f>+'s1'!AS103</f>
        <v>0</v>
      </c>
      <c r="P102" s="2">
        <f>+'s1'!AT103</f>
        <v>0</v>
      </c>
      <c r="Q102" s="2">
        <f>+'s1'!AU103</f>
        <v>60034.21</v>
      </c>
      <c r="R102" s="2">
        <f>+'s1'!AV103</f>
        <v>0</v>
      </c>
      <c r="S102" s="2">
        <f t="shared" si="1"/>
        <v>229394.38</v>
      </c>
      <c r="T102" s="2"/>
    </row>
    <row r="103" spans="1:20" s="20" customFormat="1" x14ac:dyDescent="0.2">
      <c r="A103" s="18" t="s">
        <v>66</v>
      </c>
      <c r="B103" s="2">
        <f>+'s1'!AF104</f>
        <v>0</v>
      </c>
      <c r="C103" s="2">
        <f>+'s1'!AG104</f>
        <v>0</v>
      </c>
      <c r="D103" s="2">
        <f>+'s1'!AH104</f>
        <v>0</v>
      </c>
      <c r="E103" s="2">
        <f>+'s1'!AI104</f>
        <v>0</v>
      </c>
      <c r="F103" s="2">
        <f>+'s1'!AJ104</f>
        <v>633.71</v>
      </c>
      <c r="G103" s="2">
        <f>+'s1'!AK104</f>
        <v>0</v>
      </c>
      <c r="H103" s="2">
        <f>+'s1'!AL104</f>
        <v>0</v>
      </c>
      <c r="I103" s="2">
        <f>+'s1'!AM104</f>
        <v>0</v>
      </c>
      <c r="J103" s="2">
        <f>+'s1'!AN104</f>
        <v>0</v>
      </c>
      <c r="K103" s="2">
        <f>+'s1'!AO104</f>
        <v>0</v>
      </c>
      <c r="L103" s="2">
        <f>+'s1'!AP104</f>
        <v>0</v>
      </c>
      <c r="M103" s="2">
        <f>+'s1'!AQ104</f>
        <v>0</v>
      </c>
      <c r="N103" s="2">
        <f>+'s1'!AR104</f>
        <v>0</v>
      </c>
      <c r="O103" s="2">
        <f>+'s1'!AS104</f>
        <v>0</v>
      </c>
      <c r="P103" s="2">
        <f>+'s1'!AT104</f>
        <v>0</v>
      </c>
      <c r="Q103" s="2">
        <f>+'s1'!AU104</f>
        <v>0</v>
      </c>
      <c r="R103" s="2">
        <f>+'s1'!AV104</f>
        <v>26.46</v>
      </c>
      <c r="S103" s="2">
        <f t="shared" si="1"/>
        <v>660.17</v>
      </c>
      <c r="T103" s="18"/>
    </row>
    <row r="104" spans="1:20" s="20" customFormat="1" x14ac:dyDescent="0.2">
      <c r="A104" s="18" t="s">
        <v>82</v>
      </c>
      <c r="B104" s="2">
        <f>+'s1'!AF105</f>
        <v>0</v>
      </c>
      <c r="C104" s="2">
        <f>+'s1'!AG105</f>
        <v>0</v>
      </c>
      <c r="D104" s="2">
        <f>+'s1'!AH105</f>
        <v>16982.12</v>
      </c>
      <c r="E104" s="2">
        <f>+'s1'!AI105</f>
        <v>0</v>
      </c>
      <c r="F104" s="2">
        <f>+'s1'!AJ105</f>
        <v>0</v>
      </c>
      <c r="G104" s="2">
        <f>+'s1'!AK105</f>
        <v>0</v>
      </c>
      <c r="H104" s="2">
        <f>+'s1'!AL105</f>
        <v>0</v>
      </c>
      <c r="I104" s="2">
        <f>+'s1'!AM105</f>
        <v>0</v>
      </c>
      <c r="J104" s="2">
        <f>+'s1'!AN105</f>
        <v>0</v>
      </c>
      <c r="K104" s="2">
        <f>+'s1'!AO105</f>
        <v>0</v>
      </c>
      <c r="L104" s="2">
        <f>+'s1'!AP105</f>
        <v>0</v>
      </c>
      <c r="M104" s="2">
        <f>+'s1'!AQ105</f>
        <v>0</v>
      </c>
      <c r="N104" s="2">
        <f>+'s1'!AR105</f>
        <v>0</v>
      </c>
      <c r="O104" s="2">
        <f>+'s1'!AS105</f>
        <v>0</v>
      </c>
      <c r="P104" s="2">
        <f>+'s1'!AT105</f>
        <v>0</v>
      </c>
      <c r="Q104" s="2">
        <f>+'s1'!AU105</f>
        <v>0</v>
      </c>
      <c r="R104" s="2">
        <f>+'s1'!AV105</f>
        <v>0</v>
      </c>
      <c r="S104" s="2">
        <f t="shared" si="1"/>
        <v>16982.12</v>
      </c>
      <c r="T104" s="78"/>
    </row>
    <row r="105" spans="1:20" x14ac:dyDescent="0.2">
      <c r="A105" s="18" t="s">
        <v>349</v>
      </c>
      <c r="B105" s="2">
        <f>+'s1'!AF106</f>
        <v>0</v>
      </c>
      <c r="C105" s="2">
        <f>+'s1'!AG106</f>
        <v>0</v>
      </c>
      <c r="D105" s="2">
        <f>+'s1'!AH106</f>
        <v>16390.12</v>
      </c>
      <c r="E105" s="2">
        <f>+'s1'!AI106</f>
        <v>0</v>
      </c>
      <c r="F105" s="2">
        <f>+'s1'!AJ106</f>
        <v>0</v>
      </c>
      <c r="G105" s="2">
        <f>+'s1'!AK106</f>
        <v>0</v>
      </c>
      <c r="H105" s="2">
        <f>+'s1'!AL106</f>
        <v>0</v>
      </c>
      <c r="I105" s="2">
        <f>+'s1'!AM106</f>
        <v>0</v>
      </c>
      <c r="J105" s="2">
        <f>+'s1'!AN106</f>
        <v>0</v>
      </c>
      <c r="K105" s="2">
        <f>+'s1'!AO106</f>
        <v>0</v>
      </c>
      <c r="L105" s="2">
        <f>+'s1'!AP106</f>
        <v>0</v>
      </c>
      <c r="M105" s="2">
        <f>+'s1'!AQ106</f>
        <v>0</v>
      </c>
      <c r="N105" s="2">
        <f>+'s1'!AR106</f>
        <v>0</v>
      </c>
      <c r="O105" s="2">
        <f>+'s1'!AS106</f>
        <v>7682.93</v>
      </c>
      <c r="P105" s="2">
        <f>+'s1'!AT106</f>
        <v>0</v>
      </c>
      <c r="Q105" s="2">
        <f>+'s1'!AU106</f>
        <v>14625.15</v>
      </c>
      <c r="R105" s="2">
        <f>+'s1'!AV106</f>
        <v>0</v>
      </c>
      <c r="S105" s="2">
        <f t="shared" si="1"/>
        <v>38698.199999999997</v>
      </c>
      <c r="T105" s="1"/>
    </row>
    <row r="106" spans="1:20" x14ac:dyDescent="0.2">
      <c r="A106" s="18" t="s">
        <v>362</v>
      </c>
      <c r="B106" s="2">
        <f>+'s1'!AF107</f>
        <v>0</v>
      </c>
      <c r="C106" s="2">
        <f>+'s1'!AG107</f>
        <v>0</v>
      </c>
      <c r="D106" s="2">
        <f>+'s1'!AH107</f>
        <v>5821.82</v>
      </c>
      <c r="E106" s="2">
        <f>+'s1'!AI107</f>
        <v>5815.99</v>
      </c>
      <c r="F106" s="2">
        <f>+'s1'!AJ107</f>
        <v>0</v>
      </c>
      <c r="G106" s="2">
        <f>+'s1'!AK107</f>
        <v>0</v>
      </c>
      <c r="H106" s="2">
        <f>+'s1'!AL107</f>
        <v>0</v>
      </c>
      <c r="I106" s="2">
        <f>+'s1'!AM107</f>
        <v>10644.51</v>
      </c>
      <c r="J106" s="2">
        <f>+'s1'!AN107</f>
        <v>0</v>
      </c>
      <c r="K106" s="2">
        <f>+'s1'!AO107</f>
        <v>0</v>
      </c>
      <c r="L106" s="2">
        <f>+'s1'!AP107</f>
        <v>0</v>
      </c>
      <c r="M106" s="2">
        <f>+'s1'!AQ107</f>
        <v>0</v>
      </c>
      <c r="N106" s="2">
        <f>+'s1'!AR107</f>
        <v>0</v>
      </c>
      <c r="O106" s="2">
        <f>+'s1'!AS107</f>
        <v>0</v>
      </c>
      <c r="P106" s="2">
        <f>+'s1'!AT107</f>
        <v>0</v>
      </c>
      <c r="Q106" s="2">
        <f>+'s1'!AU107</f>
        <v>33086.639999999999</v>
      </c>
      <c r="R106" s="2">
        <f>+'s1'!AV107</f>
        <v>0</v>
      </c>
      <c r="S106" s="2">
        <f t="shared" si="1"/>
        <v>55368.959999999999</v>
      </c>
      <c r="T106" s="2"/>
    </row>
    <row r="107" spans="1:20" x14ac:dyDescent="0.2">
      <c r="A107" s="1" t="s">
        <v>67</v>
      </c>
      <c r="B107" s="2">
        <f>+'s1'!AF108</f>
        <v>0</v>
      </c>
      <c r="C107" s="2">
        <f>+'s1'!AG108</f>
        <v>0</v>
      </c>
      <c r="D107" s="2">
        <f>+'s1'!AH108</f>
        <v>2569</v>
      </c>
      <c r="E107" s="2">
        <f>+'s1'!AI108</f>
        <v>0</v>
      </c>
      <c r="F107" s="2">
        <f>+'s1'!AJ108</f>
        <v>0</v>
      </c>
      <c r="G107" s="2">
        <f>+'s1'!AK108</f>
        <v>0</v>
      </c>
      <c r="H107" s="2">
        <f>+'s1'!AL108</f>
        <v>0</v>
      </c>
      <c r="I107" s="2">
        <f>+'s1'!AM108</f>
        <v>0</v>
      </c>
      <c r="J107" s="2">
        <f>+'s1'!AN108</f>
        <v>0</v>
      </c>
      <c r="K107" s="2">
        <f>+'s1'!AO108</f>
        <v>0</v>
      </c>
      <c r="L107" s="2">
        <f>+'s1'!AP108</f>
        <v>0</v>
      </c>
      <c r="M107" s="2">
        <f>+'s1'!AQ108</f>
        <v>0</v>
      </c>
      <c r="N107" s="2">
        <f>+'s1'!AR108</f>
        <v>0</v>
      </c>
      <c r="O107" s="2">
        <f>+'s1'!AS108</f>
        <v>0</v>
      </c>
      <c r="P107" s="2">
        <f>+'s1'!AT108</f>
        <v>0</v>
      </c>
      <c r="Q107" s="2">
        <f>+'s1'!AU108</f>
        <v>0</v>
      </c>
      <c r="R107" s="2">
        <f>+'s1'!AV108</f>
        <v>0</v>
      </c>
      <c r="S107" s="2">
        <f t="shared" si="1"/>
        <v>2569</v>
      </c>
      <c r="T107" s="1"/>
    </row>
    <row r="108" spans="1:20" x14ac:dyDescent="0.2">
      <c r="A108" s="1" t="s">
        <v>68</v>
      </c>
      <c r="B108" s="2">
        <f>+'s1'!AF109</f>
        <v>0</v>
      </c>
      <c r="C108" s="2">
        <f>+'s1'!AG109</f>
        <v>3837.05</v>
      </c>
      <c r="D108" s="2">
        <f>+'s1'!AH109</f>
        <v>0</v>
      </c>
      <c r="E108" s="2">
        <f>+'s1'!AI109</f>
        <v>0</v>
      </c>
      <c r="F108" s="2">
        <f>+'s1'!AJ109</f>
        <v>0</v>
      </c>
      <c r="G108" s="2">
        <f>+'s1'!AK109</f>
        <v>0</v>
      </c>
      <c r="H108" s="2">
        <f>+'s1'!AL109</f>
        <v>0</v>
      </c>
      <c r="I108" s="2">
        <f>+'s1'!AM109</f>
        <v>0</v>
      </c>
      <c r="J108" s="2">
        <f>+'s1'!AN109</f>
        <v>0</v>
      </c>
      <c r="K108" s="2">
        <f>+'s1'!AO109</f>
        <v>0</v>
      </c>
      <c r="L108" s="2">
        <f>+'s1'!AP109</f>
        <v>5544.6</v>
      </c>
      <c r="M108" s="2">
        <f>+'s1'!AQ109</f>
        <v>5368.56</v>
      </c>
      <c r="N108" s="2">
        <f>+'s1'!AR109</f>
        <v>0</v>
      </c>
      <c r="O108" s="2">
        <f>+'s1'!AS109</f>
        <v>0</v>
      </c>
      <c r="P108" s="2">
        <f>+'s1'!AT109</f>
        <v>0</v>
      </c>
      <c r="Q108" s="2">
        <f>+'s1'!AU109</f>
        <v>4571.49</v>
      </c>
      <c r="R108" s="2">
        <f>+'s1'!AV109</f>
        <v>0</v>
      </c>
      <c r="S108" s="2">
        <f t="shared" si="1"/>
        <v>19321.7</v>
      </c>
      <c r="T108" s="1"/>
    </row>
    <row r="109" spans="1:20" x14ac:dyDescent="0.2">
      <c r="A109" s="1" t="s">
        <v>574</v>
      </c>
      <c r="B109" s="2">
        <f>+'s1'!AF110</f>
        <v>19737.04</v>
      </c>
      <c r="C109" s="2">
        <f>+'s1'!AG110</f>
        <v>0</v>
      </c>
      <c r="D109" s="2">
        <f>+'s1'!AH110</f>
        <v>388980.43</v>
      </c>
      <c r="E109" s="2">
        <f>+'s1'!AI110</f>
        <v>6355.14</v>
      </c>
      <c r="F109" s="2">
        <f>+'s1'!AJ110</f>
        <v>0</v>
      </c>
      <c r="G109" s="2">
        <f>+'s1'!AK110</f>
        <v>0</v>
      </c>
      <c r="H109" s="2">
        <f>+'s1'!AL110</f>
        <v>0</v>
      </c>
      <c r="I109" s="2">
        <f>+'s1'!AM110</f>
        <v>0</v>
      </c>
      <c r="J109" s="2">
        <f>+'s1'!AN110</f>
        <v>0</v>
      </c>
      <c r="K109" s="2">
        <f>+'s1'!AO110</f>
        <v>0</v>
      </c>
      <c r="L109" s="2">
        <f>+'s1'!AP110</f>
        <v>4656.87</v>
      </c>
      <c r="M109" s="2">
        <f>+'s1'!AQ110</f>
        <v>0</v>
      </c>
      <c r="N109" s="2">
        <f>+'s1'!AR110</f>
        <v>0</v>
      </c>
      <c r="O109" s="2">
        <f>+'s1'!AS110</f>
        <v>0</v>
      </c>
      <c r="P109" s="2">
        <f>+'s1'!AT110</f>
        <v>0</v>
      </c>
      <c r="Q109" s="2">
        <f>+'s1'!AU110</f>
        <v>148189.67000000001</v>
      </c>
      <c r="R109" s="2">
        <f>+'s1'!AV110</f>
        <v>0</v>
      </c>
      <c r="S109" s="2">
        <f t="shared" si="1"/>
        <v>567919.15</v>
      </c>
      <c r="T109" s="1"/>
    </row>
    <row r="110" spans="1:20" x14ac:dyDescent="0.2">
      <c r="A110" s="1" t="s">
        <v>709</v>
      </c>
      <c r="B110" s="2">
        <f>+'s1'!AF111</f>
        <v>0</v>
      </c>
      <c r="C110" s="2">
        <f>+'s1'!AG111</f>
        <v>0</v>
      </c>
      <c r="D110" s="2">
        <f>+'s1'!AH111</f>
        <v>4404.62</v>
      </c>
      <c r="E110" s="2">
        <f>+'s1'!AI111</f>
        <v>0</v>
      </c>
      <c r="F110" s="2">
        <f>+'s1'!AJ111</f>
        <v>0</v>
      </c>
      <c r="G110" s="2">
        <f>+'s1'!AK111</f>
        <v>0</v>
      </c>
      <c r="H110" s="2">
        <f>+'s1'!AL111</f>
        <v>0</v>
      </c>
      <c r="I110" s="2">
        <f>+'s1'!AM111</f>
        <v>0</v>
      </c>
      <c r="J110" s="2">
        <f>+'s1'!AN111</f>
        <v>0</v>
      </c>
      <c r="K110" s="2">
        <f>+'s1'!AO111</f>
        <v>0</v>
      </c>
      <c r="L110" s="2">
        <f>+'s1'!AP111</f>
        <v>0</v>
      </c>
      <c r="M110" s="2">
        <f>+'s1'!AQ111</f>
        <v>0</v>
      </c>
      <c r="N110" s="2">
        <f>+'s1'!AR111</f>
        <v>0</v>
      </c>
      <c r="O110" s="2">
        <f>+'s1'!AS111</f>
        <v>0</v>
      </c>
      <c r="P110" s="2">
        <f>+'s1'!AT111</f>
        <v>0</v>
      </c>
      <c r="Q110" s="2">
        <f>+'s1'!AU111</f>
        <v>0</v>
      </c>
      <c r="R110" s="2">
        <f>+'s1'!AV111</f>
        <v>0</v>
      </c>
      <c r="S110" s="2">
        <f>SUM(B110:R110)</f>
        <v>4404.62</v>
      </c>
      <c r="T110" s="1"/>
    </row>
    <row r="111" spans="1:20" x14ac:dyDescent="0.2">
      <c r="A111" s="1" t="s">
        <v>440</v>
      </c>
      <c r="B111" s="2">
        <f>+'s1'!AF112</f>
        <v>0</v>
      </c>
      <c r="C111" s="2">
        <f>+'s1'!AG112</f>
        <v>0</v>
      </c>
      <c r="D111" s="2">
        <f>+'s1'!AH112</f>
        <v>8091.03</v>
      </c>
      <c r="E111" s="2">
        <f>+'s1'!AI112</f>
        <v>0</v>
      </c>
      <c r="F111" s="2">
        <f>+'s1'!AJ112</f>
        <v>0</v>
      </c>
      <c r="G111" s="2">
        <f>+'s1'!AK112</f>
        <v>0</v>
      </c>
      <c r="H111" s="2">
        <f>+'s1'!AL112</f>
        <v>0</v>
      </c>
      <c r="I111" s="2">
        <f>+'s1'!AM112</f>
        <v>0</v>
      </c>
      <c r="J111" s="2">
        <f>+'s1'!AN112</f>
        <v>0</v>
      </c>
      <c r="K111" s="2">
        <f>+'s1'!AO112</f>
        <v>0</v>
      </c>
      <c r="L111" s="2">
        <f>+'s1'!AP112</f>
        <v>0</v>
      </c>
      <c r="M111" s="2">
        <f>+'s1'!AQ112</f>
        <v>0</v>
      </c>
      <c r="N111" s="2">
        <f>+'s1'!AR112</f>
        <v>0</v>
      </c>
      <c r="O111" s="2">
        <f>+'s1'!AS112</f>
        <v>0</v>
      </c>
      <c r="P111" s="2">
        <f>+'s1'!AT112</f>
        <v>0</v>
      </c>
      <c r="Q111" s="2">
        <f>+'s1'!AU112</f>
        <v>3043.69</v>
      </c>
      <c r="R111" s="2">
        <f>+'s1'!AV112</f>
        <v>0</v>
      </c>
      <c r="S111" s="2">
        <f t="shared" si="1"/>
        <v>11134.72</v>
      </c>
      <c r="T111" s="1"/>
    </row>
    <row r="112" spans="1:20" x14ac:dyDescent="0.2">
      <c r="A112" s="1" t="s">
        <v>492</v>
      </c>
      <c r="B112" s="2">
        <f>+'s1'!AF113</f>
        <v>0</v>
      </c>
      <c r="C112" s="2">
        <f>+'s1'!AG113</f>
        <v>0</v>
      </c>
      <c r="D112" s="2">
        <f>+'s1'!AH113</f>
        <v>19.850000000000001</v>
      </c>
      <c r="E112" s="2">
        <f>+'s1'!AI113</f>
        <v>0</v>
      </c>
      <c r="F112" s="2">
        <f>+'s1'!AJ113</f>
        <v>0</v>
      </c>
      <c r="G112" s="2">
        <f>+'s1'!AK113</f>
        <v>0</v>
      </c>
      <c r="H112" s="2">
        <f>+'s1'!AL113</f>
        <v>0</v>
      </c>
      <c r="I112" s="2">
        <f>+'s1'!AM113</f>
        <v>0</v>
      </c>
      <c r="J112" s="2">
        <f>+'s1'!AN113</f>
        <v>0</v>
      </c>
      <c r="K112" s="2">
        <f>+'s1'!AO113</f>
        <v>0</v>
      </c>
      <c r="L112" s="2">
        <f>+'s1'!AP113</f>
        <v>0</v>
      </c>
      <c r="M112" s="2">
        <f>+'s1'!AQ113</f>
        <v>0</v>
      </c>
      <c r="N112" s="2">
        <f>+'s1'!AR113</f>
        <v>0</v>
      </c>
      <c r="O112" s="2">
        <f>+'s1'!AS113</f>
        <v>0</v>
      </c>
      <c r="P112" s="2">
        <f>+'s1'!AT113</f>
        <v>0</v>
      </c>
      <c r="Q112" s="2">
        <f>+'s1'!AU113</f>
        <v>0</v>
      </c>
      <c r="R112" s="2">
        <f>+'s1'!AV113</f>
        <v>0</v>
      </c>
      <c r="S112" s="2">
        <f t="shared" ref="S112:S117" si="2">SUM(B112:R112)</f>
        <v>19.850000000000001</v>
      </c>
      <c r="T112" s="1"/>
    </row>
    <row r="113" spans="1:20" x14ac:dyDescent="0.2">
      <c r="A113" s="1" t="s">
        <v>83</v>
      </c>
      <c r="B113" s="2">
        <f>+'s1'!AF114</f>
        <v>0</v>
      </c>
      <c r="C113" s="2">
        <f>+'s1'!AG114</f>
        <v>0</v>
      </c>
      <c r="D113" s="2">
        <f>+'s1'!AH114</f>
        <v>0</v>
      </c>
      <c r="E113" s="2">
        <f>+'s1'!AI114</f>
        <v>0</v>
      </c>
      <c r="F113" s="2">
        <f>+'s1'!AJ114</f>
        <v>111.41</v>
      </c>
      <c r="G113" s="2">
        <f>+'s1'!AK114</f>
        <v>0</v>
      </c>
      <c r="H113" s="2">
        <f>+'s1'!AL114</f>
        <v>0</v>
      </c>
      <c r="I113" s="2">
        <f>+'s1'!AM114</f>
        <v>1940.4</v>
      </c>
      <c r="J113" s="2">
        <f>+'s1'!AN114</f>
        <v>0</v>
      </c>
      <c r="K113" s="2">
        <f>+'s1'!AO114</f>
        <v>0</v>
      </c>
      <c r="L113" s="2">
        <f>+'s1'!AP114</f>
        <v>0</v>
      </c>
      <c r="M113" s="2">
        <f>+'s1'!AQ114</f>
        <v>0</v>
      </c>
      <c r="N113" s="2">
        <f>+'s1'!AR114</f>
        <v>0</v>
      </c>
      <c r="O113" s="2">
        <f>+'s1'!AS114</f>
        <v>0</v>
      </c>
      <c r="P113" s="2">
        <f>+'s1'!AT114</f>
        <v>0</v>
      </c>
      <c r="Q113" s="2">
        <f>+'s1'!AU114</f>
        <v>0</v>
      </c>
      <c r="R113" s="2">
        <f>+'s1'!AV114</f>
        <v>0</v>
      </c>
      <c r="S113" s="2">
        <f t="shared" si="2"/>
        <v>2051.81</v>
      </c>
      <c r="T113" s="1"/>
    </row>
    <row r="114" spans="1:20" x14ac:dyDescent="0.2">
      <c r="A114" s="18" t="s">
        <v>575</v>
      </c>
      <c r="B114" s="2">
        <f>+'s1'!AF115</f>
        <v>0</v>
      </c>
      <c r="C114" s="2">
        <f>+'s1'!AG115</f>
        <v>0</v>
      </c>
      <c r="D114" s="2">
        <f>+'s1'!AH115</f>
        <v>22211.94</v>
      </c>
      <c r="E114" s="2">
        <f>+'s1'!AI115</f>
        <v>0</v>
      </c>
      <c r="F114" s="2">
        <f>+'s1'!AJ115</f>
        <v>0</v>
      </c>
      <c r="G114" s="2">
        <f>+'s1'!AK115</f>
        <v>0</v>
      </c>
      <c r="H114" s="2">
        <f>+'s1'!AL115</f>
        <v>0</v>
      </c>
      <c r="I114" s="2">
        <f>+'s1'!AM115</f>
        <v>0</v>
      </c>
      <c r="J114" s="2">
        <f>+'s1'!AN115</f>
        <v>0</v>
      </c>
      <c r="K114" s="2">
        <f>+'s1'!AO115</f>
        <v>0</v>
      </c>
      <c r="L114" s="2">
        <f>+'s1'!AP115</f>
        <v>0</v>
      </c>
      <c r="M114" s="2">
        <f>+'s1'!AQ115</f>
        <v>0</v>
      </c>
      <c r="N114" s="2">
        <f>+'s1'!AR115</f>
        <v>0</v>
      </c>
      <c r="O114" s="2">
        <f>+'s1'!AS115</f>
        <v>0</v>
      </c>
      <c r="P114" s="2">
        <f>+'s1'!AT115</f>
        <v>0</v>
      </c>
      <c r="Q114" s="2">
        <f>+'s1'!AU115</f>
        <v>24096.59</v>
      </c>
      <c r="R114" s="2">
        <f>+'s1'!AV115</f>
        <v>0</v>
      </c>
      <c r="S114" s="2">
        <f t="shared" si="2"/>
        <v>46308.53</v>
      </c>
      <c r="T114" s="1"/>
    </row>
    <row r="115" spans="1:20" x14ac:dyDescent="0.2">
      <c r="A115" s="18" t="s">
        <v>69</v>
      </c>
      <c r="B115" s="2">
        <f>+'s1'!AF116</f>
        <v>0</v>
      </c>
      <c r="C115" s="2">
        <f>+'s1'!AG116</f>
        <v>0</v>
      </c>
      <c r="D115" s="2">
        <f>+'s1'!AH116</f>
        <v>0</v>
      </c>
      <c r="E115" s="2">
        <f>+'s1'!AI116</f>
        <v>0</v>
      </c>
      <c r="F115" s="2">
        <f>+'s1'!AJ116</f>
        <v>0</v>
      </c>
      <c r="G115" s="2">
        <f>+'s1'!AK116</f>
        <v>0</v>
      </c>
      <c r="H115" s="2">
        <f>+'s1'!AL116</f>
        <v>0</v>
      </c>
      <c r="I115" s="2">
        <f>+'s1'!AM116</f>
        <v>0</v>
      </c>
      <c r="J115" s="2">
        <f>+'s1'!AN116</f>
        <v>0</v>
      </c>
      <c r="K115" s="2">
        <f>+'s1'!AO116</f>
        <v>0</v>
      </c>
      <c r="L115" s="2">
        <f>+'s1'!AP116</f>
        <v>0</v>
      </c>
      <c r="M115" s="2">
        <f>+'s1'!AQ116</f>
        <v>0</v>
      </c>
      <c r="N115" s="2">
        <f>+'s1'!AR116</f>
        <v>0</v>
      </c>
      <c r="O115" s="2">
        <f>+'s1'!AS116</f>
        <v>0</v>
      </c>
      <c r="P115" s="2">
        <f>+'s1'!AT116</f>
        <v>0</v>
      </c>
      <c r="Q115" s="2">
        <f>+'s1'!AU116</f>
        <v>12898.19</v>
      </c>
      <c r="R115" s="2">
        <f>+'s1'!AV116</f>
        <v>0</v>
      </c>
      <c r="S115" s="2">
        <f t="shared" si="2"/>
        <v>12898.19</v>
      </c>
      <c r="T115" s="1"/>
    </row>
    <row r="116" spans="1:20" x14ac:dyDescent="0.2">
      <c r="A116" s="1" t="s">
        <v>70</v>
      </c>
      <c r="B116" s="2">
        <f>+'s1'!AF117</f>
        <v>0</v>
      </c>
      <c r="C116" s="2">
        <f>+'s1'!AG117</f>
        <v>13732.3</v>
      </c>
      <c r="D116" s="2">
        <f>+'s1'!AH117</f>
        <v>0</v>
      </c>
      <c r="E116" s="2">
        <f>+'s1'!AI117</f>
        <v>0</v>
      </c>
      <c r="F116" s="2">
        <f>+'s1'!AJ117</f>
        <v>0</v>
      </c>
      <c r="G116" s="2">
        <f>+'s1'!AK117</f>
        <v>102.94</v>
      </c>
      <c r="H116" s="2">
        <f>+'s1'!AL117</f>
        <v>0</v>
      </c>
      <c r="I116" s="2">
        <f>+'s1'!AM117</f>
        <v>0</v>
      </c>
      <c r="J116" s="2">
        <f>+'s1'!AN117</f>
        <v>0</v>
      </c>
      <c r="K116" s="2">
        <f>+'s1'!AO117</f>
        <v>0</v>
      </c>
      <c r="L116" s="2">
        <f>+'s1'!AP117</f>
        <v>0</v>
      </c>
      <c r="M116" s="2">
        <f>+'s1'!AQ117</f>
        <v>5525.64</v>
      </c>
      <c r="N116" s="2">
        <f>+'s1'!AR117</f>
        <v>0</v>
      </c>
      <c r="O116" s="2">
        <f>+'s1'!AS117</f>
        <v>0</v>
      </c>
      <c r="P116" s="2">
        <f>+'s1'!AT117</f>
        <v>0</v>
      </c>
      <c r="Q116" s="2">
        <f>+'s1'!AU117</f>
        <v>0</v>
      </c>
      <c r="R116" s="2">
        <f>+'s1'!AV117</f>
        <v>0</v>
      </c>
      <c r="S116" s="2">
        <f t="shared" si="2"/>
        <v>19360.88</v>
      </c>
      <c r="T116" s="1"/>
    </row>
    <row r="117" spans="1:20" x14ac:dyDescent="0.2">
      <c r="A117" s="1" t="s">
        <v>360</v>
      </c>
      <c r="B117" s="2">
        <f>+'s1'!AF118</f>
        <v>0</v>
      </c>
      <c r="C117" s="2">
        <f>+'s1'!AG118</f>
        <v>0</v>
      </c>
      <c r="D117" s="2">
        <f>+'s1'!AH118</f>
        <v>12643.12</v>
      </c>
      <c r="E117" s="2">
        <f>+'s1'!AI118</f>
        <v>0</v>
      </c>
      <c r="F117" s="2">
        <f>+'s1'!AJ118</f>
        <v>0</v>
      </c>
      <c r="G117" s="2">
        <f>+'s1'!AK118</f>
        <v>0</v>
      </c>
      <c r="H117" s="2">
        <f>+'s1'!AL118</f>
        <v>0</v>
      </c>
      <c r="I117" s="2">
        <f>+'s1'!AM118</f>
        <v>0</v>
      </c>
      <c r="J117" s="2">
        <f>+'s1'!AN118</f>
        <v>0</v>
      </c>
      <c r="K117" s="2">
        <f>+'s1'!AO118</f>
        <v>0</v>
      </c>
      <c r="L117" s="2">
        <f>+'s1'!AP118</f>
        <v>0</v>
      </c>
      <c r="M117" s="2">
        <f>+'s1'!AQ118</f>
        <v>0</v>
      </c>
      <c r="N117" s="2">
        <f>+'s1'!AR118</f>
        <v>0</v>
      </c>
      <c r="O117" s="2">
        <f>+'s1'!AS118</f>
        <v>0</v>
      </c>
      <c r="P117" s="2">
        <f>+'s1'!AT118</f>
        <v>0</v>
      </c>
      <c r="Q117" s="2">
        <f>+'s1'!AU118</f>
        <v>0</v>
      </c>
      <c r="R117" s="2">
        <f>+'s1'!AV118</f>
        <v>0</v>
      </c>
      <c r="S117" s="2">
        <f t="shared" si="2"/>
        <v>12643.12</v>
      </c>
      <c r="T117" s="1"/>
    </row>
    <row r="118" spans="1:20" ht="27.75" customHeight="1" thickBot="1" x14ac:dyDescent="0.25">
      <c r="A118" s="21" t="s">
        <v>12</v>
      </c>
      <c r="B118" s="36">
        <f t="shared" ref="B118:S118" si="3">SUM(B11:B117)</f>
        <v>295974.59000000003</v>
      </c>
      <c r="C118" s="36">
        <f t="shared" si="3"/>
        <v>76038.73</v>
      </c>
      <c r="D118" s="36">
        <f t="shared" si="3"/>
        <v>5296021.38</v>
      </c>
      <c r="E118" s="36">
        <f t="shared" si="3"/>
        <v>87465.16</v>
      </c>
      <c r="F118" s="36">
        <f t="shared" si="3"/>
        <v>92006.56</v>
      </c>
      <c r="G118" s="36">
        <f t="shared" si="3"/>
        <v>1796.38</v>
      </c>
      <c r="H118" s="36">
        <f t="shared" si="3"/>
        <v>4240.82</v>
      </c>
      <c r="I118" s="36">
        <f t="shared" si="3"/>
        <v>105853.41</v>
      </c>
      <c r="J118" s="36">
        <f t="shared" si="3"/>
        <v>31411.26</v>
      </c>
      <c r="K118" s="36">
        <f t="shared" si="3"/>
        <v>5502.32</v>
      </c>
      <c r="L118" s="36">
        <f t="shared" si="3"/>
        <v>160767.16</v>
      </c>
      <c r="M118" s="36">
        <f t="shared" si="3"/>
        <v>22750.94</v>
      </c>
      <c r="N118" s="36">
        <f t="shared" si="3"/>
        <v>74078.17</v>
      </c>
      <c r="O118" s="36">
        <f t="shared" si="3"/>
        <v>26834.6</v>
      </c>
      <c r="P118" s="36">
        <f t="shared" si="3"/>
        <v>1431.94</v>
      </c>
      <c r="Q118" s="36">
        <f t="shared" si="3"/>
        <v>1382180.1</v>
      </c>
      <c r="R118" s="36">
        <f t="shared" si="3"/>
        <v>54984.79</v>
      </c>
      <c r="S118" s="36">
        <f t="shared" si="3"/>
        <v>7719338.3099999996</v>
      </c>
      <c r="T118" s="9">
        <f>SUM(B118:R118)</f>
        <v>7719338.3099999996</v>
      </c>
    </row>
    <row r="119" spans="1:20" hidden="1" x14ac:dyDescent="0.2">
      <c r="D119" t="s">
        <v>81</v>
      </c>
    </row>
    <row r="120" spans="1:20" hidden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7"/>
    </row>
    <row r="121" spans="1:20" hidden="1" x14ac:dyDescent="0.2">
      <c r="A121" s="1" t="s">
        <v>495</v>
      </c>
      <c r="B121" s="2">
        <f>CAG+_CAG1</f>
        <v>328860.65999999997</v>
      </c>
      <c r="C121" s="2">
        <f>CHG+_CHG1</f>
        <v>84487.48</v>
      </c>
      <c r="D121" s="2">
        <f>CLG+_CLG1</f>
        <v>5884233.1200000001</v>
      </c>
      <c r="E121" s="2">
        <f>DOG+_DOG1</f>
        <v>109331.46</v>
      </c>
      <c r="F121" s="2">
        <f>ELG+_ELG1</f>
        <v>115008.22</v>
      </c>
      <c r="G121" s="2">
        <f>ESG+_ESG1</f>
        <v>2245.48</v>
      </c>
      <c r="H121" s="2">
        <f>EUG+_EUG1</f>
        <v>5301.03</v>
      </c>
      <c r="I121" s="2">
        <f>HUG+_HUG1</f>
        <v>117614.89</v>
      </c>
      <c r="J121" s="2">
        <f>LAG+_LAG1</f>
        <v>34819.79</v>
      </c>
      <c r="K121" s="2">
        <f>LIG+_LIG1</f>
        <v>6877.9</v>
      </c>
      <c r="L121" s="2">
        <f>LYG+_LYG1</f>
        <v>178630.19</v>
      </c>
      <c r="M121" s="2">
        <f>MIG+_MIG1</f>
        <v>25278.81</v>
      </c>
      <c r="N121" s="2">
        <f>NYG+_NYG1</f>
        <v>92597.71</v>
      </c>
      <c r="O121" s="2">
        <f>PEG+_PEG1</f>
        <v>29816.22</v>
      </c>
      <c r="P121" s="2">
        <f>STG+_STG1</f>
        <v>1789.93</v>
      </c>
      <c r="Q121" s="2">
        <f>WAG+_WAG1+'s1'!I122</f>
        <v>1600295.91</v>
      </c>
      <c r="R121" s="2">
        <f>WHG+_WHG1</f>
        <v>61094.2</v>
      </c>
      <c r="S121" s="2">
        <f>COUNTYOPTION+COUNTY1+'s1'!I122</f>
        <v>8678283</v>
      </c>
    </row>
    <row r="122" spans="1:20" hidden="1" x14ac:dyDescent="0.2"/>
    <row r="123" spans="1:20" hidden="1" x14ac:dyDescent="0.2">
      <c r="A123" s="1"/>
      <c r="B123" s="2">
        <v>328860.65999999997</v>
      </c>
      <c r="C123" s="2">
        <v>84487.48</v>
      </c>
      <c r="D123" s="2">
        <v>5884233.1200000001</v>
      </c>
      <c r="E123" s="2">
        <v>109331.46</v>
      </c>
      <c r="F123" s="2">
        <v>115008.22</v>
      </c>
      <c r="G123" s="2">
        <v>2245.48</v>
      </c>
      <c r="H123" s="2">
        <v>5301.03</v>
      </c>
      <c r="I123" s="2">
        <v>117614.89</v>
      </c>
      <c r="J123" s="2">
        <v>34819.79</v>
      </c>
      <c r="K123" s="2">
        <v>6877.9</v>
      </c>
      <c r="L123" s="2">
        <v>178630.19</v>
      </c>
      <c r="M123" s="2">
        <v>25278.81</v>
      </c>
      <c r="N123" s="2">
        <v>92597.71</v>
      </c>
      <c r="O123" s="2">
        <v>29816.22</v>
      </c>
      <c r="P123" s="2">
        <v>1789.93</v>
      </c>
      <c r="Q123" s="2">
        <f>1535755.67+64540.24</f>
        <v>1600295.91</v>
      </c>
      <c r="R123" s="2">
        <v>61094.2</v>
      </c>
      <c r="S123" s="2">
        <v>8678283</v>
      </c>
    </row>
    <row r="124" spans="1:20" hidden="1" x14ac:dyDescent="0.2"/>
    <row r="125" spans="1:20" hidden="1" x14ac:dyDescent="0.2">
      <c r="B125" s="11">
        <f>B121-B123</f>
        <v>0</v>
      </c>
      <c r="C125" s="11">
        <f t="shared" ref="C125:S125" si="4">C121-C123</f>
        <v>0</v>
      </c>
      <c r="D125" s="11">
        <f t="shared" si="4"/>
        <v>0</v>
      </c>
      <c r="E125" s="11">
        <f t="shared" si="4"/>
        <v>0</v>
      </c>
      <c r="F125" s="11">
        <f t="shared" si="4"/>
        <v>0</v>
      </c>
      <c r="G125" s="11">
        <f t="shared" si="4"/>
        <v>0</v>
      </c>
      <c r="H125" s="11">
        <f t="shared" si="4"/>
        <v>0</v>
      </c>
      <c r="I125" s="11">
        <f t="shared" si="4"/>
        <v>0</v>
      </c>
      <c r="J125" s="11">
        <f t="shared" si="4"/>
        <v>0</v>
      </c>
      <c r="K125" s="11">
        <f t="shared" si="4"/>
        <v>0</v>
      </c>
      <c r="L125" s="11">
        <f t="shared" si="4"/>
        <v>0</v>
      </c>
      <c r="M125" s="11">
        <f t="shared" si="4"/>
        <v>0</v>
      </c>
      <c r="N125" s="11">
        <f t="shared" si="4"/>
        <v>0</v>
      </c>
      <c r="O125" s="11">
        <f t="shared" si="4"/>
        <v>0</v>
      </c>
      <c r="P125" s="11">
        <f t="shared" si="4"/>
        <v>0</v>
      </c>
      <c r="Q125" s="11">
        <f t="shared" si="4"/>
        <v>0</v>
      </c>
      <c r="R125" s="11">
        <f t="shared" si="4"/>
        <v>0</v>
      </c>
      <c r="S125" s="11">
        <f t="shared" si="4"/>
        <v>0</v>
      </c>
    </row>
    <row r="126" spans="1:20" hidden="1" x14ac:dyDescent="0.2"/>
    <row r="127" spans="1:20" hidden="1" x14ac:dyDescent="0.2"/>
    <row r="128" spans="1:20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</sheetData>
  <phoneticPr fontId="0" type="noConversion"/>
  <printOptions horizontalCentered="1"/>
  <pageMargins left="0.2" right="0.2" top="0.5" bottom="0.5" header="0.25" footer="0.25"/>
  <pageSetup scale="55" fitToHeight="3" orientation="landscape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27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9" sqref="A9"/>
    </sheetView>
  </sheetViews>
  <sheetFormatPr defaultRowHeight="12.75" x14ac:dyDescent="0.2"/>
  <cols>
    <col min="1" max="1" width="27.85546875" customWidth="1"/>
    <col min="2" max="2" width="13.42578125" customWidth="1"/>
    <col min="3" max="3" width="12.140625" customWidth="1"/>
    <col min="4" max="4" width="12.5703125" customWidth="1"/>
    <col min="5" max="5" width="10.42578125" customWidth="1"/>
    <col min="6" max="6" width="10.5703125" customWidth="1"/>
    <col min="7" max="7" width="13.85546875" customWidth="1"/>
    <col min="8" max="8" width="10.28515625" customWidth="1"/>
    <col min="9" max="9" width="12.140625" customWidth="1"/>
    <col min="10" max="10" width="9.85546875" customWidth="1"/>
    <col min="11" max="11" width="10.140625" customWidth="1"/>
    <col min="12" max="12" width="10.28515625" customWidth="1"/>
    <col min="13" max="13" width="10.5703125" customWidth="1"/>
    <col min="14" max="14" width="9.7109375" customWidth="1"/>
    <col min="15" max="15" width="11.140625" customWidth="1"/>
    <col min="16" max="16" width="10" customWidth="1"/>
    <col min="17" max="17" width="11.28515625" customWidth="1"/>
    <col min="18" max="18" width="11.7109375" customWidth="1"/>
    <col min="19" max="19" width="13.7109375" customWidth="1"/>
    <col min="20" max="20" width="11" hidden="1" customWidth="1"/>
    <col min="21" max="21" width="0" hidden="1" customWidth="1"/>
  </cols>
  <sheetData>
    <row r="1" spans="1:20" ht="15.75" x14ac:dyDescent="0.25">
      <c r="A1" s="63" t="s">
        <v>98</v>
      </c>
      <c r="B1" s="1"/>
      <c r="C1" s="1"/>
      <c r="D1" s="1"/>
      <c r="E1" s="1"/>
      <c r="F1" s="62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6" t="str">
        <f>ReportMonth</f>
        <v>JUNE 2004</v>
      </c>
      <c r="B2" s="1"/>
      <c r="C2" s="1"/>
      <c r="D2" s="1"/>
      <c r="E2" s="1"/>
      <c r="F2" s="62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43"/>
      <c r="H3" s="87"/>
      <c r="I3" s="87"/>
      <c r="J3" s="42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442</v>
      </c>
      <c r="B4" s="42"/>
      <c r="C4" s="42"/>
      <c r="D4" s="42"/>
      <c r="E4" s="42"/>
      <c r="F4" s="87"/>
      <c r="G4" s="43"/>
      <c r="H4" s="87"/>
      <c r="I4" s="87"/>
      <c r="J4" s="42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86</v>
      </c>
      <c r="B5" s="42"/>
      <c r="C5" s="42"/>
      <c r="D5" s="42"/>
      <c r="E5" s="42"/>
      <c r="F5" s="43"/>
      <c r="G5" s="87"/>
      <c r="H5" s="87"/>
      <c r="I5" s="87"/>
      <c r="J5" s="42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20" ht="19.5" customHeight="1" x14ac:dyDescent="0.25">
      <c r="A7" s="117" t="s">
        <v>99</v>
      </c>
      <c r="B7" s="42"/>
      <c r="C7" s="42"/>
      <c r="D7" s="42"/>
      <c r="E7" s="42"/>
      <c r="F7" s="43"/>
      <c r="G7" s="42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9" spans="1:20" x14ac:dyDescent="0.2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  <c r="S9" s="5"/>
      <c r="T9" s="1"/>
    </row>
    <row r="10" spans="1:20" x14ac:dyDescent="0.2">
      <c r="A10" s="1"/>
      <c r="B10" s="91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39" t="s">
        <v>29</v>
      </c>
      <c r="K10" s="39" t="s">
        <v>30</v>
      </c>
      <c r="L10" s="39" t="s">
        <v>31</v>
      </c>
      <c r="M10" s="39" t="s">
        <v>32</v>
      </c>
      <c r="N10" s="39" t="s">
        <v>33</v>
      </c>
      <c r="O10" s="39" t="s">
        <v>34</v>
      </c>
      <c r="P10" s="39" t="s">
        <v>35</v>
      </c>
      <c r="Q10" s="39" t="s">
        <v>36</v>
      </c>
      <c r="R10" s="91" t="s">
        <v>37</v>
      </c>
      <c r="S10" s="108" t="s">
        <v>12</v>
      </c>
      <c r="T10" s="1"/>
    </row>
    <row r="11" spans="1:20" x14ac:dyDescent="0.2">
      <c r="A11" s="109" t="s">
        <v>13</v>
      </c>
      <c r="B11" s="38" t="s">
        <v>19</v>
      </c>
      <c r="C11" s="38" t="s">
        <v>19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38" t="s">
        <v>19</v>
      </c>
      <c r="K11" s="38" t="s">
        <v>19</v>
      </c>
      <c r="L11" s="38" t="s">
        <v>19</v>
      </c>
      <c r="M11" s="38" t="s">
        <v>19</v>
      </c>
      <c r="N11" s="38" t="s">
        <v>19</v>
      </c>
      <c r="O11" s="38" t="s">
        <v>19</v>
      </c>
      <c r="P11" s="38" t="s">
        <v>19</v>
      </c>
      <c r="Q11" s="38" t="s">
        <v>19</v>
      </c>
      <c r="R11" s="38" t="s">
        <v>19</v>
      </c>
      <c r="S11" s="97" t="s">
        <v>100</v>
      </c>
      <c r="T11" s="1"/>
    </row>
    <row r="12" spans="1:20" x14ac:dyDescent="0.2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</row>
    <row r="13" spans="1:20" x14ac:dyDescent="0.2">
      <c r="A13" s="1" t="s">
        <v>736</v>
      </c>
      <c r="B13" s="2">
        <f>+'s1'!M13*0.0098</f>
        <v>0</v>
      </c>
      <c r="C13" s="2">
        <f>+'s1'!N13*0.0098</f>
        <v>0</v>
      </c>
      <c r="D13" s="2">
        <f>+'s1'!O13*0.0098</f>
        <v>36.090000000000003</v>
      </c>
      <c r="E13" s="2">
        <f>+'s1'!P13*0.0098</f>
        <v>0</v>
      </c>
      <c r="F13" s="2">
        <f>+'s1'!Q13*0.0098</f>
        <v>0</v>
      </c>
      <c r="G13" s="2">
        <f>+'s1'!R13*0.0098</f>
        <v>0</v>
      </c>
      <c r="H13" s="2">
        <f>+'s1'!S13*0.0098</f>
        <v>0</v>
      </c>
      <c r="I13" s="2">
        <f>+'s1'!T13*0.0098</f>
        <v>0</v>
      </c>
      <c r="J13" s="2">
        <f>+'s1'!U13*0.0098</f>
        <v>0</v>
      </c>
      <c r="K13" s="2">
        <f>+'s1'!V13*0.0098</f>
        <v>0</v>
      </c>
      <c r="L13" s="2">
        <f>+'s1'!W13*0.0098</f>
        <v>0</v>
      </c>
      <c r="M13" s="2">
        <f>+'s1'!X13*0.0098</f>
        <v>0</v>
      </c>
      <c r="N13" s="2">
        <f>+'s1'!Y13*0.0098</f>
        <v>0</v>
      </c>
      <c r="O13" s="2">
        <f>+'s1'!Z13*0.0098</f>
        <v>0</v>
      </c>
      <c r="P13" s="2">
        <f>+'s1'!AA13*0.0098</f>
        <v>0</v>
      </c>
      <c r="Q13" s="2">
        <f>+'s1'!AB13*0.0098</f>
        <v>0</v>
      </c>
      <c r="R13" s="2">
        <f>+'s1'!AC13*0.0098</f>
        <v>0</v>
      </c>
      <c r="S13" s="2">
        <f t="shared" ref="S13:S18" si="0">SUM(B13:R13)</f>
        <v>36.090000000000003</v>
      </c>
      <c r="T13" s="2"/>
    </row>
    <row r="14" spans="1:20" x14ac:dyDescent="0.2">
      <c r="A14" s="1" t="s">
        <v>342</v>
      </c>
      <c r="B14" s="2">
        <f>+'s1'!M14*0.0098</f>
        <v>0</v>
      </c>
      <c r="C14" s="2">
        <f>+'s1'!N14*0.0098</f>
        <v>0</v>
      </c>
      <c r="D14" s="2">
        <f>+'s1'!O14*0.0098</f>
        <v>0</v>
      </c>
      <c r="E14" s="2">
        <f>+'s1'!P14*0.0098</f>
        <v>0</v>
      </c>
      <c r="F14" s="2">
        <f>+'s1'!Q14*0.0098</f>
        <v>0</v>
      </c>
      <c r="G14" s="2">
        <f>+'s1'!R14*0.0098</f>
        <v>0</v>
      </c>
      <c r="H14" s="2">
        <f>+'s1'!S14*0.0098</f>
        <v>0</v>
      </c>
      <c r="I14" s="2">
        <f>+'s1'!T14*0.0098</f>
        <v>0</v>
      </c>
      <c r="J14" s="2">
        <f>+'s1'!U14*0.0098</f>
        <v>300.99</v>
      </c>
      <c r="K14" s="2">
        <f>+'s1'!V14*0.0098</f>
        <v>0</v>
      </c>
      <c r="L14" s="2">
        <f>+'s1'!W14*0.0098</f>
        <v>0</v>
      </c>
      <c r="M14" s="2">
        <f>+'s1'!X14*0.0098</f>
        <v>0</v>
      </c>
      <c r="N14" s="2">
        <f>+'s1'!Y14*0.0098</f>
        <v>0</v>
      </c>
      <c r="O14" s="2">
        <f>+'s1'!Z14*0.0098</f>
        <v>0</v>
      </c>
      <c r="P14" s="2">
        <f>+'s1'!AA14*0.0098</f>
        <v>0</v>
      </c>
      <c r="Q14" s="2">
        <f>+'s1'!AB14*0.0098</f>
        <v>0</v>
      </c>
      <c r="R14" s="2">
        <f>+'s1'!AC14*0.0098</f>
        <v>0</v>
      </c>
      <c r="S14" s="2">
        <f t="shared" si="0"/>
        <v>300.99</v>
      </c>
      <c r="T14" s="2"/>
    </row>
    <row r="15" spans="1:20" x14ac:dyDescent="0.2">
      <c r="A15" s="1" t="s">
        <v>740</v>
      </c>
      <c r="B15" s="2">
        <f>+'s1'!M15*0.0098</f>
        <v>0</v>
      </c>
      <c r="C15" s="2">
        <f>+'s1'!N15*0.0098</f>
        <v>0</v>
      </c>
      <c r="D15" s="2">
        <f>+'s1'!O15*0.0098</f>
        <v>0</v>
      </c>
      <c r="E15" s="2">
        <f>+'s1'!P15*0.0098</f>
        <v>0</v>
      </c>
      <c r="F15" s="2">
        <f>+'s1'!Q15*0.0098</f>
        <v>0</v>
      </c>
      <c r="G15" s="2">
        <f>+'s1'!R15*0.0098</f>
        <v>0</v>
      </c>
      <c r="H15" s="2">
        <f>+'s1'!S15*0.0098</f>
        <v>0</v>
      </c>
      <c r="I15" s="2">
        <f>+'s1'!T15*0.0098</f>
        <v>0</v>
      </c>
      <c r="J15" s="2">
        <f>+'s1'!U15*0.0098</f>
        <v>0</v>
      </c>
      <c r="K15" s="2">
        <f>+'s1'!V15*0.0098</f>
        <v>0</v>
      </c>
      <c r="L15" s="2">
        <f>+'s1'!W15*0.0098</f>
        <v>0</v>
      </c>
      <c r="M15" s="2">
        <f>+'s1'!X15*0.0098</f>
        <v>0</v>
      </c>
      <c r="N15" s="2">
        <f>+'s1'!Y15*0.0098</f>
        <v>0</v>
      </c>
      <c r="O15" s="2">
        <f>+'s1'!Z15*0.0098</f>
        <v>0</v>
      </c>
      <c r="P15" s="2">
        <f>+'s1'!AA15*0.0098</f>
        <v>0</v>
      </c>
      <c r="Q15" s="2">
        <f>+'s1'!AB15*0.0098</f>
        <v>0</v>
      </c>
      <c r="R15" s="2">
        <f>+'s1'!AC15*0.0098</f>
        <v>0</v>
      </c>
      <c r="S15" s="2">
        <f t="shared" si="0"/>
        <v>0</v>
      </c>
      <c r="T15" s="2"/>
    </row>
    <row r="16" spans="1:20" x14ac:dyDescent="0.2">
      <c r="A16" s="1" t="s">
        <v>741</v>
      </c>
      <c r="B16" s="2">
        <f>+'s1'!M16*0.0098</f>
        <v>0</v>
      </c>
      <c r="C16" s="2">
        <f>+'s1'!N16*0.0098</f>
        <v>0</v>
      </c>
      <c r="D16" s="2">
        <f>+'s1'!O16*0.0098</f>
        <v>0</v>
      </c>
      <c r="E16" s="2">
        <f>+'s1'!P16*0.0098</f>
        <v>0</v>
      </c>
      <c r="F16" s="2">
        <f>+'s1'!Q16*0.0098</f>
        <v>0</v>
      </c>
      <c r="G16" s="2">
        <f>+'s1'!R16*0.0098</f>
        <v>0</v>
      </c>
      <c r="H16" s="2">
        <f>+'s1'!S16*0.0098</f>
        <v>0</v>
      </c>
      <c r="I16" s="2">
        <f>+'s1'!T16*0.0098</f>
        <v>0</v>
      </c>
      <c r="J16" s="2">
        <f>+'s1'!U16*0.0098</f>
        <v>0</v>
      </c>
      <c r="K16" s="2">
        <f>+'s1'!V16*0.0098</f>
        <v>0</v>
      </c>
      <c r="L16" s="2">
        <f>+'s1'!W16*0.0098</f>
        <v>0</v>
      </c>
      <c r="M16" s="2">
        <f>+'s1'!X16*0.0098</f>
        <v>0</v>
      </c>
      <c r="N16" s="2">
        <f>+'s1'!Y16*0.0098</f>
        <v>0</v>
      </c>
      <c r="O16" s="2">
        <f>+'s1'!Z16*0.0098</f>
        <v>0</v>
      </c>
      <c r="P16" s="2">
        <f>+'s1'!AA16*0.0098</f>
        <v>0</v>
      </c>
      <c r="Q16" s="2">
        <f>+'s1'!AB16*0.0098</f>
        <v>0</v>
      </c>
      <c r="R16" s="2">
        <f>+'s1'!AC16*0.0098</f>
        <v>0</v>
      </c>
      <c r="S16" s="2">
        <f t="shared" si="0"/>
        <v>0</v>
      </c>
      <c r="T16" s="2"/>
    </row>
    <row r="17" spans="1:20" x14ac:dyDescent="0.2">
      <c r="A17" s="7" t="s">
        <v>38</v>
      </c>
      <c r="B17" s="2">
        <f>+'s1'!M17*0.0098</f>
        <v>0</v>
      </c>
      <c r="C17" s="2">
        <f>+'s1'!N17*0.0098</f>
        <v>0</v>
      </c>
      <c r="D17" s="2">
        <f>+'s1'!O17*0.0098</f>
        <v>1.62</v>
      </c>
      <c r="E17" s="2">
        <f>+'s1'!P17*0.0098</f>
        <v>0</v>
      </c>
      <c r="F17" s="2">
        <f>+'s1'!Q17*0.0098</f>
        <v>0</v>
      </c>
      <c r="G17" s="2">
        <f>+'s1'!R17*0.0098</f>
        <v>0</v>
      </c>
      <c r="H17" s="2">
        <f>+'s1'!S17*0.0098</f>
        <v>0</v>
      </c>
      <c r="I17" s="2">
        <f>+'s1'!T17*0.0098</f>
        <v>0</v>
      </c>
      <c r="J17" s="2">
        <f>+'s1'!U17*0.0098</f>
        <v>0</v>
      </c>
      <c r="K17" s="2">
        <f>+'s1'!V17*0.0098</f>
        <v>0</v>
      </c>
      <c r="L17" s="2">
        <f>+'s1'!W17*0.0098</f>
        <v>0</v>
      </c>
      <c r="M17" s="2">
        <f>+'s1'!X17*0.0098</f>
        <v>0</v>
      </c>
      <c r="N17" s="2">
        <f>+'s1'!Y17*0.0098</f>
        <v>0</v>
      </c>
      <c r="O17" s="2">
        <f>+'s1'!Z17*0.0098</f>
        <v>0</v>
      </c>
      <c r="P17" s="2">
        <f>+'s1'!AA17*0.0098</f>
        <v>0</v>
      </c>
      <c r="Q17" s="2">
        <f>+'s1'!AB17*0.0098</f>
        <v>0</v>
      </c>
      <c r="R17" s="2">
        <f>+'s1'!AC17*0.0098</f>
        <v>0</v>
      </c>
      <c r="S17" s="2">
        <f t="shared" si="0"/>
        <v>1.62</v>
      </c>
      <c r="T17" s="2"/>
    </row>
    <row r="18" spans="1:20" s="89" customFormat="1" x14ac:dyDescent="0.2">
      <c r="A18" s="18" t="s">
        <v>610</v>
      </c>
      <c r="B18" s="2">
        <f>+'s1'!M18*0.0098</f>
        <v>0</v>
      </c>
      <c r="C18" s="2">
        <f>+'s1'!N18*0.0098</f>
        <v>0</v>
      </c>
      <c r="D18" s="2">
        <f>+'s1'!O18*0.0098</f>
        <v>0</v>
      </c>
      <c r="E18" s="2">
        <f>+'s1'!P18*0.0098</f>
        <v>0</v>
      </c>
      <c r="F18" s="2">
        <f>+'s1'!Q18*0.0098</f>
        <v>0</v>
      </c>
      <c r="G18" s="2">
        <f>+'s1'!R18*0.0098</f>
        <v>0</v>
      </c>
      <c r="H18" s="2">
        <f>+'s1'!S18*0.0098</f>
        <v>0</v>
      </c>
      <c r="I18" s="2">
        <f>+'s1'!T18*0.0098</f>
        <v>0</v>
      </c>
      <c r="J18" s="2">
        <f>+'s1'!U18*0.0098</f>
        <v>0</v>
      </c>
      <c r="K18" s="2">
        <f>+'s1'!V18*0.0098</f>
        <v>0</v>
      </c>
      <c r="L18" s="2">
        <f>+'s1'!W18*0.0098</f>
        <v>0</v>
      </c>
      <c r="M18" s="2">
        <f>+'s1'!X18*0.0098</f>
        <v>0</v>
      </c>
      <c r="N18" s="2">
        <f>+'s1'!Y18*0.0098</f>
        <v>0</v>
      </c>
      <c r="O18" s="2">
        <f>+'s1'!Z18*0.0098</f>
        <v>0</v>
      </c>
      <c r="P18" s="2">
        <f>+'s1'!AA18*0.0098</f>
        <v>0</v>
      </c>
      <c r="Q18" s="2">
        <f>+'s1'!AB18*0.0098</f>
        <v>1.65</v>
      </c>
      <c r="R18" s="2">
        <f>+'s1'!AC18*0.0098</f>
        <v>0</v>
      </c>
      <c r="S18" s="78">
        <f t="shared" si="0"/>
        <v>1.65</v>
      </c>
      <c r="T18" s="10"/>
    </row>
    <row r="19" spans="1:20" s="20" customFormat="1" x14ac:dyDescent="0.2">
      <c r="A19" s="1" t="s">
        <v>490</v>
      </c>
      <c r="B19" s="2">
        <f>+'s1'!M19*0.0098</f>
        <v>0</v>
      </c>
      <c r="C19" s="2">
        <f>+'s1'!N19*0.0098</f>
        <v>0</v>
      </c>
      <c r="D19" s="2">
        <f>+'s1'!O19*0.0098</f>
        <v>2764.99</v>
      </c>
      <c r="E19" s="2">
        <f>+'s1'!P19*0.0098</f>
        <v>0</v>
      </c>
      <c r="F19" s="2">
        <f>+'s1'!Q19*0.0098</f>
        <v>0</v>
      </c>
      <c r="G19" s="2">
        <f>+'s1'!R19*0.0098</f>
        <v>0</v>
      </c>
      <c r="H19" s="2">
        <f>+'s1'!S19*0.0098</f>
        <v>0</v>
      </c>
      <c r="I19" s="2">
        <f>+'s1'!T19*0.0098</f>
        <v>0</v>
      </c>
      <c r="J19" s="2">
        <f>+'s1'!U19*0.0098</f>
        <v>0</v>
      </c>
      <c r="K19" s="2">
        <f>+'s1'!V19*0.0098</f>
        <v>0</v>
      </c>
      <c r="L19" s="2">
        <f>+'s1'!W19*0.0098</f>
        <v>0</v>
      </c>
      <c r="M19" s="2">
        <f>+'s1'!X19*0.0098</f>
        <v>0</v>
      </c>
      <c r="N19" s="2">
        <f>+'s1'!Y19*0.0098</f>
        <v>0</v>
      </c>
      <c r="O19" s="2">
        <f>+'s1'!Z19*0.0098</f>
        <v>0</v>
      </c>
      <c r="P19" s="2">
        <f>+'s1'!AA19*0.0098</f>
        <v>0</v>
      </c>
      <c r="Q19" s="2">
        <f>+'s1'!AB19*0.0098</f>
        <v>0</v>
      </c>
      <c r="R19" s="2">
        <f>+'s1'!AC19*0.0098</f>
        <v>0</v>
      </c>
      <c r="S19" s="78">
        <f t="shared" ref="S19:S31" si="1">SUM(B19:R19)</f>
        <v>2764.99</v>
      </c>
      <c r="T19" s="18"/>
    </row>
    <row r="20" spans="1:20" x14ac:dyDescent="0.2">
      <c r="A20" s="7" t="s">
        <v>605</v>
      </c>
      <c r="B20" s="2">
        <f>+'s1'!M20*0.0098</f>
        <v>0</v>
      </c>
      <c r="C20" s="2">
        <f>+'s1'!N20*0.0098</f>
        <v>0</v>
      </c>
      <c r="D20" s="2">
        <f>+'s1'!O20*0.0098</f>
        <v>0</v>
      </c>
      <c r="E20" s="2">
        <f>+'s1'!P20*0.0098</f>
        <v>0</v>
      </c>
      <c r="F20" s="2">
        <f>+'s1'!Q20*0.0098</f>
        <v>0</v>
      </c>
      <c r="G20" s="2">
        <f>+'s1'!R20*0.0098</f>
        <v>0</v>
      </c>
      <c r="H20" s="2">
        <f>+'s1'!S20*0.0098</f>
        <v>0</v>
      </c>
      <c r="I20" s="2">
        <f>+'s1'!T20*0.0098</f>
        <v>0</v>
      </c>
      <c r="J20" s="2">
        <f>+'s1'!U20*0.0098-30.26</f>
        <v>340.43</v>
      </c>
      <c r="K20" s="2">
        <f>+'s1'!V20*0.0098</f>
        <v>0</v>
      </c>
      <c r="L20" s="2">
        <f>+'s1'!W20*0.0098</f>
        <v>0</v>
      </c>
      <c r="M20" s="2">
        <f>+'s1'!X20*0.0098</f>
        <v>0</v>
      </c>
      <c r="N20" s="2">
        <f>+'s1'!Y20*0.0098</f>
        <v>0</v>
      </c>
      <c r="O20" s="2">
        <f>+'s1'!Z20*0.0098</f>
        <v>0</v>
      </c>
      <c r="P20" s="2">
        <f>+'s1'!AA20*0.0098</f>
        <v>0</v>
      </c>
      <c r="Q20" s="2">
        <f>+'s1'!AB20*0.0098</f>
        <v>0</v>
      </c>
      <c r="R20" s="2">
        <f>+'s1'!AC20*0.0098</f>
        <v>0</v>
      </c>
      <c r="S20" s="2">
        <f t="shared" si="1"/>
        <v>340.43</v>
      </c>
      <c r="T20" s="1"/>
    </row>
    <row r="21" spans="1:20" x14ac:dyDescent="0.2">
      <c r="A21" s="1" t="s">
        <v>714</v>
      </c>
      <c r="B21" s="2">
        <f>+'s1'!M21*0.0098</f>
        <v>0</v>
      </c>
      <c r="C21" s="2">
        <f>+'s1'!N21*0.0098</f>
        <v>0</v>
      </c>
      <c r="D21" s="2">
        <f>+'s1'!O21*0.0098</f>
        <v>0</v>
      </c>
      <c r="E21" s="2">
        <f>+'s1'!P21*0.0098</f>
        <v>0</v>
      </c>
      <c r="F21" s="2">
        <f>+'s1'!Q21*0.0098</f>
        <v>0</v>
      </c>
      <c r="G21" s="2">
        <f>+'s1'!R21*0.0098</f>
        <v>0</v>
      </c>
      <c r="H21" s="2">
        <f>+'s1'!S21*0.0098</f>
        <v>0</v>
      </c>
      <c r="I21" s="2">
        <f>+'s1'!T21*0.0098</f>
        <v>436.55</v>
      </c>
      <c r="J21" s="2">
        <f>+'s1'!U21*0.0098</f>
        <v>0</v>
      </c>
      <c r="K21" s="2">
        <f>+'s1'!V21*0.0098</f>
        <v>0</v>
      </c>
      <c r="L21" s="2">
        <f>+'s1'!W21*0.0098</f>
        <v>0</v>
      </c>
      <c r="M21" s="2">
        <f>+'s1'!X21*0.0098</f>
        <v>0</v>
      </c>
      <c r="N21" s="2">
        <f>+'s1'!Y21*0.0098</f>
        <v>0</v>
      </c>
      <c r="O21" s="2">
        <f>+'s1'!Z21*0.0098</f>
        <v>0</v>
      </c>
      <c r="P21" s="2">
        <f>+'s1'!AA21*0.0098</f>
        <v>0</v>
      </c>
      <c r="Q21" s="2">
        <f>+'s1'!AB21*0.0098</f>
        <v>974.15</v>
      </c>
      <c r="R21" s="2">
        <f>+'s1'!AC21*0.0098</f>
        <v>0</v>
      </c>
      <c r="S21" s="2">
        <f>SUM(B21:R21)</f>
        <v>1410.7</v>
      </c>
      <c r="T21" s="1"/>
    </row>
    <row r="22" spans="1:20" x14ac:dyDescent="0.2">
      <c r="A22" s="1" t="s">
        <v>39</v>
      </c>
      <c r="B22" s="2">
        <f>+'s1'!M22*0.0098</f>
        <v>0</v>
      </c>
      <c r="C22" s="2">
        <f>+'s1'!N22*0.0098</f>
        <v>0</v>
      </c>
      <c r="D22" s="2">
        <f>+'s1'!O22*0.0098</f>
        <v>0</v>
      </c>
      <c r="E22" s="2">
        <f>+'s1'!P22*0.0098</f>
        <v>0</v>
      </c>
      <c r="F22" s="2">
        <f>+'s1'!Q22*0.0098</f>
        <v>0</v>
      </c>
      <c r="G22" s="2">
        <f>+'s1'!R22*0.0098</f>
        <v>0</v>
      </c>
      <c r="H22" s="2">
        <f>+'s1'!S22*0.0098</f>
        <v>0</v>
      </c>
      <c r="I22" s="2">
        <f>+'s1'!T22*0.0098</f>
        <v>0</v>
      </c>
      <c r="J22" s="2">
        <f>+'s1'!U22*0.0098</f>
        <v>54.1</v>
      </c>
      <c r="K22" s="2">
        <f>+'s1'!V22*0.0098</f>
        <v>0</v>
      </c>
      <c r="L22" s="2">
        <f>+'s1'!W22*0.0098</f>
        <v>0</v>
      </c>
      <c r="M22" s="2">
        <f>+'s1'!X22*0.0098</f>
        <v>0</v>
      </c>
      <c r="N22" s="2">
        <f>+'s1'!Y22*0.0098</f>
        <v>0</v>
      </c>
      <c r="O22" s="2">
        <f>+'s1'!Z22*0.0098</f>
        <v>0</v>
      </c>
      <c r="P22" s="2">
        <f>+'s1'!AA22*0.0098</f>
        <v>0</v>
      </c>
      <c r="Q22" s="2">
        <f>+'s1'!AB22*0.0098</f>
        <v>0</v>
      </c>
      <c r="R22" s="2">
        <f>+'s1'!AC22*0.0098</f>
        <v>0</v>
      </c>
      <c r="S22" s="2">
        <f t="shared" si="1"/>
        <v>54.1</v>
      </c>
      <c r="T22" s="1"/>
    </row>
    <row r="23" spans="1:20" x14ac:dyDescent="0.2">
      <c r="A23" s="1" t="s">
        <v>429</v>
      </c>
      <c r="B23" s="2">
        <f>+'s1'!M23*0.0098</f>
        <v>0</v>
      </c>
      <c r="C23" s="2">
        <f>+'s1'!N23*0.0098</f>
        <v>0</v>
      </c>
      <c r="D23" s="2">
        <f>+'s1'!O23*0.0098</f>
        <v>11695.38</v>
      </c>
      <c r="E23" s="2">
        <f>+'s1'!P23*0.0098</f>
        <v>0</v>
      </c>
      <c r="F23" s="2">
        <f>+'s1'!Q23*0.0098</f>
        <v>0</v>
      </c>
      <c r="G23" s="2">
        <f>+'s1'!R23*0.0098</f>
        <v>0</v>
      </c>
      <c r="H23" s="2">
        <f>+'s1'!S23*0.0098</f>
        <v>0</v>
      </c>
      <c r="I23" s="2">
        <f>+'s1'!T23*0.0098</f>
        <v>0</v>
      </c>
      <c r="J23" s="2">
        <f>+'s1'!U23*0.0098</f>
        <v>0</v>
      </c>
      <c r="K23" s="2">
        <f>+'s1'!V23*0.0098</f>
        <v>0</v>
      </c>
      <c r="L23" s="2">
        <f>+'s1'!W23*0.0098</f>
        <v>0</v>
      </c>
      <c r="M23" s="2">
        <f>+'s1'!X23*0.0098</f>
        <v>0</v>
      </c>
      <c r="N23" s="2">
        <f>+'s1'!Y23*0.0098</f>
        <v>0</v>
      </c>
      <c r="O23" s="2">
        <f>+'s1'!Z23*0.0098</f>
        <v>0</v>
      </c>
      <c r="P23" s="2">
        <f>+'s1'!AA23*0.0098</f>
        <v>0</v>
      </c>
      <c r="Q23" s="2">
        <f>+'s1'!AB23*0.0098</f>
        <v>3553.68</v>
      </c>
      <c r="R23" s="2">
        <f>+'s1'!AC23*0.0098</f>
        <v>0</v>
      </c>
      <c r="S23" s="2">
        <f t="shared" si="1"/>
        <v>15249.06</v>
      </c>
      <c r="T23" s="1"/>
    </row>
    <row r="24" spans="1:20" x14ac:dyDescent="0.2">
      <c r="A24" s="1" t="s">
        <v>700</v>
      </c>
      <c r="B24" s="2">
        <f>+'s1'!M24*0.0098</f>
        <v>258.38</v>
      </c>
      <c r="C24" s="2">
        <f>+'s1'!N24*0.0098</f>
        <v>0</v>
      </c>
      <c r="D24" s="2">
        <f>+'s1'!O24*0.0098</f>
        <v>0</v>
      </c>
      <c r="E24" s="2">
        <f>+'s1'!P24*0.0098</f>
        <v>0</v>
      </c>
      <c r="F24" s="2">
        <f>+'s1'!Q24*0.0098</f>
        <v>0</v>
      </c>
      <c r="G24" s="2">
        <f>+'s1'!R24*0.0098</f>
        <v>0</v>
      </c>
      <c r="H24" s="2">
        <f>+'s1'!S24*0.0098</f>
        <v>0</v>
      </c>
      <c r="I24" s="2">
        <f>+'s1'!T24*0.0098</f>
        <v>0</v>
      </c>
      <c r="J24" s="2">
        <f>+'s1'!U24*0.0098</f>
        <v>0</v>
      </c>
      <c r="K24" s="2">
        <f>+'s1'!V24*0.0098</f>
        <v>0</v>
      </c>
      <c r="L24" s="2">
        <f>+'s1'!W24*0.0098</f>
        <v>0</v>
      </c>
      <c r="M24" s="2">
        <f>+'s1'!X24*0.0098</f>
        <v>0</v>
      </c>
      <c r="N24" s="2">
        <f>+'s1'!Y24*0.0098</f>
        <v>0</v>
      </c>
      <c r="O24" s="2">
        <f>+'s1'!Z24*0.0098</f>
        <v>0</v>
      </c>
      <c r="P24" s="2">
        <f>+'s1'!AA24*0.0098</f>
        <v>0</v>
      </c>
      <c r="Q24" s="2">
        <f>+'s1'!AB24*0.0098</f>
        <v>0</v>
      </c>
      <c r="R24" s="2">
        <f>+'s1'!AC24*0.0098</f>
        <v>0</v>
      </c>
      <c r="S24" s="2">
        <f>SUM(B24:R24)</f>
        <v>258.38</v>
      </c>
      <c r="T24" s="2"/>
    </row>
    <row r="25" spans="1:20" x14ac:dyDescent="0.2">
      <c r="A25" s="1" t="s">
        <v>443</v>
      </c>
      <c r="B25" s="2">
        <f>+'s1'!M25*0.0098</f>
        <v>0</v>
      </c>
      <c r="C25" s="2">
        <f>+'s1'!N25*0.0098</f>
        <v>2562.9699999999998</v>
      </c>
      <c r="D25" s="2">
        <f>+'s1'!O25*0.0098</f>
        <v>0</v>
      </c>
      <c r="E25" s="2">
        <f>+'s1'!P25*0.0098</f>
        <v>414.3</v>
      </c>
      <c r="F25" s="2">
        <f>+'s1'!Q25*0.0098</f>
        <v>0</v>
      </c>
      <c r="G25" s="2">
        <f>+'s1'!R25*0.0098</f>
        <v>0</v>
      </c>
      <c r="H25" s="2">
        <f>+'s1'!S25*0.0098</f>
        <v>0</v>
      </c>
      <c r="I25" s="2">
        <f>+'s1'!T25*0.0098</f>
        <v>0</v>
      </c>
      <c r="J25" s="2">
        <f>+'s1'!U25*0.0098</f>
        <v>0</v>
      </c>
      <c r="K25" s="2">
        <f>+'s1'!V25*0.0098</f>
        <v>0</v>
      </c>
      <c r="L25" s="2">
        <f>+'s1'!W25*0.0098</f>
        <v>0</v>
      </c>
      <c r="M25" s="2">
        <f>+'s1'!X25*0.0098</f>
        <v>0</v>
      </c>
      <c r="N25" s="2">
        <f>+'s1'!Y25*0.0098</f>
        <v>0</v>
      </c>
      <c r="O25" s="2">
        <f>+'s1'!Z25*0.0098</f>
        <v>0</v>
      </c>
      <c r="P25" s="2">
        <f>+'s1'!AA25*0.0098</f>
        <v>0</v>
      </c>
      <c r="Q25" s="2">
        <f>+'s1'!AB25*0.0098</f>
        <v>0</v>
      </c>
      <c r="R25" s="2">
        <f>+'s1'!AC25*0.0098</f>
        <v>0</v>
      </c>
      <c r="S25" s="2">
        <f t="shared" si="1"/>
        <v>2977.27</v>
      </c>
      <c r="T25" s="2"/>
    </row>
    <row r="26" spans="1:20" x14ac:dyDescent="0.2">
      <c r="A26" s="1" t="s">
        <v>444</v>
      </c>
      <c r="B26" s="2">
        <f>+'s1'!M26*0.0098</f>
        <v>5488.06</v>
      </c>
      <c r="C26" s="2">
        <f>+'s1'!N26*0.0098</f>
        <v>1319.7</v>
      </c>
      <c r="D26" s="2">
        <f>+'s1'!O26*0.0098</f>
        <v>-97.61</v>
      </c>
      <c r="E26" s="2">
        <f>+'s1'!P26*0.0098</f>
        <v>6976.54</v>
      </c>
      <c r="F26" s="2">
        <f>+'s1'!Q26*0.0098</f>
        <v>3207.96</v>
      </c>
      <c r="G26" s="2">
        <f>+'s1'!R26*0.0098</f>
        <v>0</v>
      </c>
      <c r="H26" s="2">
        <f>+'s1'!S26*0.0098</f>
        <v>583.65</v>
      </c>
      <c r="I26" s="2">
        <f>+'s1'!T26*0.0098</f>
        <v>2783.95</v>
      </c>
      <c r="J26" s="2">
        <f>+'s1'!U26*0.0098</f>
        <v>1770.32</v>
      </c>
      <c r="K26" s="2">
        <f>+'s1'!V26*0.0098</f>
        <v>0</v>
      </c>
      <c r="L26" s="2">
        <f>+'s1'!W26*0.0098</f>
        <v>2730.49</v>
      </c>
      <c r="M26" s="2">
        <f>+'s1'!X26*0.0098</f>
        <v>424.65</v>
      </c>
      <c r="N26" s="2">
        <f>+'s1'!Y26*0.0098</f>
        <v>133.02000000000001</v>
      </c>
      <c r="O26" s="2">
        <f>+'s1'!Z26*0.0098</f>
        <v>945.08</v>
      </c>
      <c r="P26" s="2">
        <f>+'s1'!AA26*0.0098</f>
        <v>0</v>
      </c>
      <c r="Q26" s="2">
        <f>+'s1'!AB26*0.0098</f>
        <v>55146.84</v>
      </c>
      <c r="R26" s="2">
        <f>+'s1'!AC26*0.0098</f>
        <v>565.41999999999996</v>
      </c>
      <c r="S26" s="2">
        <f t="shared" si="1"/>
        <v>81978.070000000007</v>
      </c>
      <c r="T26" s="1"/>
    </row>
    <row r="27" spans="1:20" x14ac:dyDescent="0.2">
      <c r="A27" s="1" t="s">
        <v>361</v>
      </c>
      <c r="B27" s="2">
        <f>+'s1'!M27*0.0098</f>
        <v>0</v>
      </c>
      <c r="C27" s="2">
        <f>+'s1'!N27*0.0098</f>
        <v>0</v>
      </c>
      <c r="D27" s="2">
        <f>+'s1'!O27*0.0098</f>
        <v>0</v>
      </c>
      <c r="E27" s="2">
        <f>+'s1'!P27*0.0098</f>
        <v>0</v>
      </c>
      <c r="F27" s="2">
        <f>+'s1'!Q27*0.0098</f>
        <v>0</v>
      </c>
      <c r="G27" s="2">
        <f>+'s1'!R27*0.0098</f>
        <v>0</v>
      </c>
      <c r="H27" s="2">
        <f>+'s1'!S27*0.0098</f>
        <v>0</v>
      </c>
      <c r="I27" s="2">
        <f>+'s1'!T27*0.0098</f>
        <v>0</v>
      </c>
      <c r="J27" s="2">
        <f>+'s1'!U27*0.0098</f>
        <v>0</v>
      </c>
      <c r="K27" s="2">
        <f>+'s1'!V27*0.0098</f>
        <v>0</v>
      </c>
      <c r="L27" s="2">
        <f>+'s1'!W27*0.0098</f>
        <v>1433.65</v>
      </c>
      <c r="M27" s="2">
        <f>+'s1'!X27*0.0098</f>
        <v>0</v>
      </c>
      <c r="N27" s="2">
        <f>+'s1'!Y27*0.0098</f>
        <v>0</v>
      </c>
      <c r="O27" s="2">
        <f>+'s1'!Z27*0.0098</f>
        <v>0</v>
      </c>
      <c r="P27" s="2">
        <f>+'s1'!AA27*0.0098</f>
        <v>0</v>
      </c>
      <c r="Q27" s="2">
        <f>+'s1'!AB27*0.0098</f>
        <v>0</v>
      </c>
      <c r="R27" s="2">
        <f>+'s1'!AC27*0.0098</f>
        <v>0</v>
      </c>
      <c r="S27" s="2">
        <f t="shared" si="1"/>
        <v>1433.65</v>
      </c>
      <c r="T27" s="2"/>
    </row>
    <row r="28" spans="1:20" s="20" customFormat="1" x14ac:dyDescent="0.2">
      <c r="A28" s="1" t="s">
        <v>445</v>
      </c>
      <c r="B28" s="2">
        <f>+'s1'!M28*0.0098</f>
        <v>11092.26</v>
      </c>
      <c r="C28" s="2">
        <f>+'s1'!N28*0.0098</f>
        <v>0</v>
      </c>
      <c r="D28" s="2">
        <f>+'s1'!O28*0.0098</f>
        <v>90210.44</v>
      </c>
      <c r="E28" s="2">
        <f>+'s1'!P28*0.0098</f>
        <v>6874.44</v>
      </c>
      <c r="F28" s="2">
        <f>+'s1'!Q28*0.0098</f>
        <v>0</v>
      </c>
      <c r="G28" s="2">
        <f>+'s1'!R28*0.0098</f>
        <v>0</v>
      </c>
      <c r="H28" s="2">
        <f>+'s1'!S28*0.0098</f>
        <v>0</v>
      </c>
      <c r="I28" s="2">
        <f>+'s1'!T28*0.0098</f>
        <v>0</v>
      </c>
      <c r="J28" s="2">
        <f>+'s1'!U28*0.0098</f>
        <v>0</v>
      </c>
      <c r="K28" s="2">
        <f>+'s1'!V28*0.0098</f>
        <v>0</v>
      </c>
      <c r="L28" s="2">
        <f>+'s1'!W28*0.0098</f>
        <v>0</v>
      </c>
      <c r="M28" s="2">
        <f>+'s1'!X28*0.0098</f>
        <v>0</v>
      </c>
      <c r="N28" s="2">
        <f>+'s1'!Y28*0.0098</f>
        <v>0</v>
      </c>
      <c r="O28" s="2">
        <f>+'s1'!Z28*0.0098</f>
        <v>0</v>
      </c>
      <c r="P28" s="2">
        <f>+'s1'!AA28*0.0098</f>
        <v>0</v>
      </c>
      <c r="Q28" s="2">
        <f>+'s1'!AB28*0.0098</f>
        <v>22887.1</v>
      </c>
      <c r="R28" s="2">
        <f>+'s1'!AC28*0.0098</f>
        <v>0</v>
      </c>
      <c r="S28" s="78">
        <f t="shared" si="1"/>
        <v>131064.24</v>
      </c>
      <c r="T28" s="18"/>
    </row>
    <row r="29" spans="1:20" x14ac:dyDescent="0.2">
      <c r="A29" s="1" t="s">
        <v>346</v>
      </c>
      <c r="B29" s="2">
        <f>+'s1'!M29*0.0098</f>
        <v>0</v>
      </c>
      <c r="C29" s="2">
        <f>+'s1'!N29*0.0098</f>
        <v>0</v>
      </c>
      <c r="D29" s="2">
        <f>+'s1'!O29*0.0098</f>
        <v>10215.64</v>
      </c>
      <c r="E29" s="2">
        <f>+'s1'!P29*0.0098</f>
        <v>0</v>
      </c>
      <c r="F29" s="2">
        <f>+'s1'!Q29*0.0098</f>
        <v>0</v>
      </c>
      <c r="G29" s="2">
        <f>+'s1'!R29*0.0098</f>
        <v>0</v>
      </c>
      <c r="H29" s="2">
        <f>+'s1'!S29*0.0098</f>
        <v>0</v>
      </c>
      <c r="I29" s="2">
        <f>+'s1'!T29*0.0098</f>
        <v>0</v>
      </c>
      <c r="J29" s="2">
        <f>+'s1'!U29*0.0098</f>
        <v>0</v>
      </c>
      <c r="K29" s="2">
        <f>+'s1'!V29*0.0098</f>
        <v>0</v>
      </c>
      <c r="L29" s="2">
        <f>+'s1'!W29*0.0098</f>
        <v>148.51</v>
      </c>
      <c r="M29" s="2">
        <f>+'s1'!X29*0.0098</f>
        <v>0</v>
      </c>
      <c r="N29" s="2">
        <f>+'s1'!Y29*0.0098</f>
        <v>0</v>
      </c>
      <c r="O29" s="2">
        <f>+'s1'!Z29*0.0098</f>
        <v>0</v>
      </c>
      <c r="P29" s="2">
        <f>+'s1'!AA29*0.0098</f>
        <v>0</v>
      </c>
      <c r="Q29" s="2">
        <f>+'s1'!AB29*0.0098</f>
        <v>0</v>
      </c>
      <c r="R29" s="2">
        <f>+'s1'!AC29*0.0098</f>
        <v>0</v>
      </c>
      <c r="S29" s="2">
        <f>SUM(B29:R29)</f>
        <v>10364.15</v>
      </c>
      <c r="T29" s="1"/>
    </row>
    <row r="30" spans="1:20" x14ac:dyDescent="0.2">
      <c r="A30" s="18" t="s">
        <v>491</v>
      </c>
      <c r="B30" s="2">
        <f>+'s1'!M30*0.0098</f>
        <v>0</v>
      </c>
      <c r="C30" s="2">
        <f>+'s1'!N30*0.0098</f>
        <v>0</v>
      </c>
      <c r="D30" s="2">
        <f>+'s1'!O30*0.0098</f>
        <v>0</v>
      </c>
      <c r="E30" s="2">
        <f>+'s1'!P30*0.0098</f>
        <v>0</v>
      </c>
      <c r="F30" s="2">
        <f>+'s1'!Q30*0.0098</f>
        <v>646.67999999999995</v>
      </c>
      <c r="G30" s="2">
        <f>+'s1'!R30*0.0098</f>
        <v>0</v>
      </c>
      <c r="H30" s="2">
        <f>+'s1'!S30*0.0098</f>
        <v>0</v>
      </c>
      <c r="I30" s="2">
        <f>+'s1'!T30*0.0098</f>
        <v>0</v>
      </c>
      <c r="J30" s="2">
        <f>+'s1'!U30*0.0098</f>
        <v>0</v>
      </c>
      <c r="K30" s="2">
        <f>+'s1'!V30*0.0098</f>
        <v>0</v>
      </c>
      <c r="L30" s="2">
        <f>+'s1'!W30*0.0098</f>
        <v>0</v>
      </c>
      <c r="M30" s="2">
        <f>+'s1'!X30*0.0098</f>
        <v>0</v>
      </c>
      <c r="N30" s="2">
        <f>+'s1'!Y30*0.0098</f>
        <v>0</v>
      </c>
      <c r="O30" s="2">
        <f>+'s1'!Z30*0.0098</f>
        <v>0</v>
      </c>
      <c r="P30" s="2">
        <f>+'s1'!AA30*0.0098</f>
        <v>0</v>
      </c>
      <c r="Q30" s="2">
        <f>+'s1'!AB30*0.0098</f>
        <v>0</v>
      </c>
      <c r="R30" s="2">
        <f>+'s1'!AC30*0.0098</f>
        <v>0</v>
      </c>
      <c r="S30" s="2">
        <f t="shared" si="1"/>
        <v>646.67999999999995</v>
      </c>
      <c r="T30" s="2"/>
    </row>
    <row r="31" spans="1:20" x14ac:dyDescent="0.2">
      <c r="A31" s="1" t="s">
        <v>293</v>
      </c>
      <c r="B31" s="2">
        <f>+'s1'!M31*0.0098</f>
        <v>0</v>
      </c>
      <c r="C31" s="2">
        <f>+'s1'!N31*0.0098</f>
        <v>0</v>
      </c>
      <c r="D31" s="2">
        <f>+'s1'!O31*0.0098</f>
        <v>1762.75</v>
      </c>
      <c r="E31" s="2">
        <f>+'s1'!P31*0.0098</f>
        <v>0</v>
      </c>
      <c r="F31" s="2">
        <f>+'s1'!Q31*0.0098</f>
        <v>0</v>
      </c>
      <c r="G31" s="2">
        <f>+'s1'!R31*0.0098</f>
        <v>0</v>
      </c>
      <c r="H31" s="2">
        <f>+'s1'!S31*0.0098</f>
        <v>0</v>
      </c>
      <c r="I31" s="2">
        <f>+'s1'!T31*0.0098</f>
        <v>0</v>
      </c>
      <c r="J31" s="2">
        <f>+'s1'!U31*0.0098</f>
        <v>0</v>
      </c>
      <c r="K31" s="2">
        <f>+'s1'!V31*0.0098</f>
        <v>0</v>
      </c>
      <c r="L31" s="2">
        <f>+'s1'!W31*0.0098</f>
        <v>0</v>
      </c>
      <c r="M31" s="2">
        <f>+'s1'!X31*0.0098</f>
        <v>0</v>
      </c>
      <c r="N31" s="2">
        <f>+'s1'!Y31*0.0098</f>
        <v>0</v>
      </c>
      <c r="O31" s="2">
        <f>+'s1'!Z31*0.0098</f>
        <v>0</v>
      </c>
      <c r="P31" s="2">
        <f>+'s1'!AA31*0.0098</f>
        <v>0</v>
      </c>
      <c r="Q31" s="2">
        <f>+'s1'!AB31*0.0098</f>
        <v>0</v>
      </c>
      <c r="R31" s="2">
        <f>+'s1'!AC31*0.0098</f>
        <v>0</v>
      </c>
      <c r="S31" s="2">
        <f t="shared" si="1"/>
        <v>1762.75</v>
      </c>
      <c r="T31" s="2"/>
    </row>
    <row r="32" spans="1:20" s="89" customFormat="1" x14ac:dyDescent="0.2">
      <c r="A32" s="18" t="s">
        <v>639</v>
      </c>
      <c r="B32" s="2">
        <f>+'s1'!M32*0.0098</f>
        <v>0</v>
      </c>
      <c r="C32" s="2">
        <f>+'s1'!N32*0.0098</f>
        <v>0</v>
      </c>
      <c r="D32" s="2">
        <f>+'s1'!O32*0.0098</f>
        <v>0</v>
      </c>
      <c r="E32" s="2">
        <f>+'s1'!P32*0.0098</f>
        <v>0</v>
      </c>
      <c r="F32" s="2">
        <f>+'s1'!Q32*0.0098</f>
        <v>11.95</v>
      </c>
      <c r="G32" s="2">
        <f>+'s1'!R32*0.0098</f>
        <v>0</v>
      </c>
      <c r="H32" s="2">
        <f>+'s1'!S32*0.0098</f>
        <v>0</v>
      </c>
      <c r="I32" s="2">
        <f>+'s1'!T32*0.0098</f>
        <v>0</v>
      </c>
      <c r="J32" s="2">
        <f>+'s1'!U32*0.0098</f>
        <v>0</v>
      </c>
      <c r="K32" s="2">
        <f>+'s1'!V32*0.0098</f>
        <v>0</v>
      </c>
      <c r="L32" s="2">
        <f>+'s1'!W32*0.0098</f>
        <v>0</v>
      </c>
      <c r="M32" s="2">
        <f>+'s1'!X32*0.0098</f>
        <v>0</v>
      </c>
      <c r="N32" s="2">
        <f>+'s1'!Y32*0.0098</f>
        <v>0</v>
      </c>
      <c r="O32" s="2">
        <f>+'s1'!Z32*0.0098</f>
        <v>0</v>
      </c>
      <c r="P32" s="2">
        <f>+'s1'!AA32*0.0098</f>
        <v>0</v>
      </c>
      <c r="Q32" s="2">
        <f>+'s1'!AB32*0.0098</f>
        <v>0</v>
      </c>
      <c r="R32" s="2">
        <f>+'s1'!AC32*0.0098</f>
        <v>0</v>
      </c>
      <c r="S32" s="78">
        <f>SUM(B32:R32)</f>
        <v>11.95</v>
      </c>
      <c r="T32" s="10"/>
    </row>
    <row r="33" spans="1:20" x14ac:dyDescent="0.2">
      <c r="A33" s="1" t="s">
        <v>40</v>
      </c>
      <c r="B33" s="2">
        <f>+'s1'!M33*0.0098</f>
        <v>1970.3</v>
      </c>
      <c r="C33" s="2">
        <f>+'s1'!N33*0.0098</f>
        <v>0</v>
      </c>
      <c r="D33" s="2">
        <f>+'s1'!O33*0.0098</f>
        <v>0</v>
      </c>
      <c r="E33" s="2">
        <f>+'s1'!P33*0.0098</f>
        <v>936.47</v>
      </c>
      <c r="F33" s="2">
        <f>+'s1'!Q33*0.0098</f>
        <v>0</v>
      </c>
      <c r="G33" s="2">
        <f>+'s1'!R33*0.0098</f>
        <v>0</v>
      </c>
      <c r="H33" s="2">
        <f>+'s1'!S33*0.0098</f>
        <v>0</v>
      </c>
      <c r="I33" s="2">
        <f>+'s1'!T33*0.0098</f>
        <v>227.47</v>
      </c>
      <c r="J33" s="2">
        <f>+'s1'!U33*0.0098</f>
        <v>115.63</v>
      </c>
      <c r="K33" s="2">
        <f>+'s1'!V33*0.0098</f>
        <v>0</v>
      </c>
      <c r="L33" s="2">
        <f>+'s1'!W33*0.0098</f>
        <v>1343.53</v>
      </c>
      <c r="M33" s="2">
        <f>+'s1'!X33*0.0098</f>
        <v>0</v>
      </c>
      <c r="N33" s="2">
        <f>+'s1'!Y33*0.0098</f>
        <v>0</v>
      </c>
      <c r="O33" s="2">
        <f>+'s1'!Z33*0.0098</f>
        <v>51.99</v>
      </c>
      <c r="P33" s="2">
        <f>+'s1'!AA33*0.0098</f>
        <v>299.98</v>
      </c>
      <c r="Q33" s="2">
        <f>+'s1'!AB33*0.0098</f>
        <v>346.32</v>
      </c>
      <c r="R33" s="2">
        <f>+'s1'!AC33*0.0098</f>
        <v>0</v>
      </c>
      <c r="S33" s="2">
        <f t="shared" ref="S33:S57" si="2">SUM(B33:R33)</f>
        <v>5291.69</v>
      </c>
      <c r="T33" s="2"/>
    </row>
    <row r="34" spans="1:20" x14ac:dyDescent="0.2">
      <c r="A34" s="1" t="s">
        <v>446</v>
      </c>
      <c r="B34" s="2">
        <f>+'s1'!M34*0.0098</f>
        <v>0</v>
      </c>
      <c r="C34" s="2">
        <f>+'s1'!N34*0.0098</f>
        <v>0</v>
      </c>
      <c r="D34" s="2">
        <f>+'s1'!O34*0.0098</f>
        <v>0</v>
      </c>
      <c r="E34" s="2">
        <f>+'s1'!P34*0.0098</f>
        <v>0</v>
      </c>
      <c r="F34" s="2">
        <f>+'s1'!Q34*0.0098</f>
        <v>1808.34</v>
      </c>
      <c r="G34" s="2">
        <f>+'s1'!R34*0.0098</f>
        <v>0</v>
      </c>
      <c r="H34" s="2">
        <f>+'s1'!S34*0.0098</f>
        <v>0</v>
      </c>
      <c r="I34" s="2">
        <f>+'s1'!T34*0.0098</f>
        <v>3469.44</v>
      </c>
      <c r="J34" s="2">
        <f>+'s1'!U34*0.0098</f>
        <v>0</v>
      </c>
      <c r="K34" s="2">
        <f>+'s1'!V34*0.0098</f>
        <v>0</v>
      </c>
      <c r="L34" s="2">
        <f>+'s1'!W34*0.0098</f>
        <v>0</v>
      </c>
      <c r="M34" s="2">
        <f>+'s1'!X34*0.0098</f>
        <v>0</v>
      </c>
      <c r="N34" s="2">
        <f>+'s1'!Y34*0.0098</f>
        <v>0</v>
      </c>
      <c r="O34" s="2">
        <f>+'s1'!Z34*0.0098</f>
        <v>0</v>
      </c>
      <c r="P34" s="2">
        <f>+'s1'!AA34*0.0098</f>
        <v>0</v>
      </c>
      <c r="Q34" s="2">
        <f>+'s1'!AB34*0.0098</f>
        <v>0</v>
      </c>
      <c r="R34" s="2">
        <f>+'s1'!AC34*0.0098</f>
        <v>0</v>
      </c>
      <c r="S34" s="2">
        <f>SUM(B34:R34)</f>
        <v>5277.78</v>
      </c>
      <c r="T34" s="2"/>
    </row>
    <row r="35" spans="1:20" x14ac:dyDescent="0.2">
      <c r="A35" s="1" t="s">
        <v>563</v>
      </c>
      <c r="B35" s="2">
        <f>+'s1'!M35*0.0098</f>
        <v>0</v>
      </c>
      <c r="C35" s="2">
        <f>+'s1'!N35*0.0098</f>
        <v>0</v>
      </c>
      <c r="D35" s="2">
        <f>+'s1'!O35*0.0098</f>
        <v>283.93</v>
      </c>
      <c r="E35" s="2">
        <f>+'s1'!P35*0.0098</f>
        <v>0</v>
      </c>
      <c r="F35" s="2">
        <f>+'s1'!Q35*0.0098</f>
        <v>0</v>
      </c>
      <c r="G35" s="2">
        <f>+'s1'!R35*0.0098</f>
        <v>0</v>
      </c>
      <c r="H35" s="2">
        <f>+'s1'!S35*0.0098</f>
        <v>0</v>
      </c>
      <c r="I35" s="2">
        <f>+'s1'!T35*0.0098</f>
        <v>0</v>
      </c>
      <c r="J35" s="2">
        <f>+'s1'!U35*0.0098</f>
        <v>0</v>
      </c>
      <c r="K35" s="2">
        <f>+'s1'!V35*0.0098</f>
        <v>0</v>
      </c>
      <c r="L35" s="2">
        <f>+'s1'!W35*0.0098</f>
        <v>0</v>
      </c>
      <c r="M35" s="2">
        <f>+'s1'!X35*0.0098</f>
        <v>0</v>
      </c>
      <c r="N35" s="2">
        <f>+'s1'!Y35*0.0098</f>
        <v>0</v>
      </c>
      <c r="O35" s="2">
        <f>+'s1'!Z35*0.0098</f>
        <v>0</v>
      </c>
      <c r="P35" s="2">
        <f>+'s1'!AA35*0.0098</f>
        <v>0</v>
      </c>
      <c r="Q35" s="2">
        <f>+'s1'!AB35*0.0098</f>
        <v>0</v>
      </c>
      <c r="R35" s="2">
        <f>+'s1'!AC35*0.0098</f>
        <v>0</v>
      </c>
      <c r="S35" s="2">
        <f t="shared" si="2"/>
        <v>283.93</v>
      </c>
      <c r="T35" s="2"/>
    </row>
    <row r="36" spans="1:20" x14ac:dyDescent="0.2">
      <c r="A36" s="1" t="s">
        <v>41</v>
      </c>
      <c r="B36" s="2">
        <f>+'s1'!M36*0.0098</f>
        <v>0</v>
      </c>
      <c r="C36" s="2">
        <f>+'s1'!N36*0.0098</f>
        <v>0</v>
      </c>
      <c r="D36" s="2">
        <f>+'s1'!O36*0.0098</f>
        <v>132918.79</v>
      </c>
      <c r="E36" s="2">
        <f>+'s1'!P36*0.0098</f>
        <v>0</v>
      </c>
      <c r="F36" s="2">
        <f>+'s1'!Q36*0.0098</f>
        <v>0</v>
      </c>
      <c r="G36" s="2">
        <f>+'s1'!R36*0.0098</f>
        <v>0</v>
      </c>
      <c r="H36" s="2">
        <f>+'s1'!S36*0.0098</f>
        <v>0</v>
      </c>
      <c r="I36" s="2">
        <f>+'s1'!T36*0.0098</f>
        <v>0</v>
      </c>
      <c r="J36" s="2">
        <f>+'s1'!U36*0.0098</f>
        <v>0</v>
      </c>
      <c r="K36" s="2">
        <f>+'s1'!V36*0.0098</f>
        <v>0</v>
      </c>
      <c r="L36" s="2">
        <f>+'s1'!W36*0.0098</f>
        <v>0</v>
      </c>
      <c r="M36" s="2">
        <f>+'s1'!X36*0.0098</f>
        <v>0</v>
      </c>
      <c r="N36" s="2">
        <f>+'s1'!Y36*0.0098</f>
        <v>2080.1</v>
      </c>
      <c r="O36" s="2">
        <f>+'s1'!Z36*0.0098</f>
        <v>0</v>
      </c>
      <c r="P36" s="2">
        <f>+'s1'!AA36*0.0098</f>
        <v>0</v>
      </c>
      <c r="Q36" s="2">
        <f>+'s1'!AB36*0.0098</f>
        <v>84.02</v>
      </c>
      <c r="R36" s="2">
        <f>+'s1'!AC36*0.0098</f>
        <v>0</v>
      </c>
      <c r="S36" s="2">
        <f t="shared" si="2"/>
        <v>135082.91</v>
      </c>
      <c r="T36" s="2"/>
    </row>
    <row r="37" spans="1:20" ht="13.5" customHeight="1" x14ac:dyDescent="0.2">
      <c r="A37" s="1" t="s">
        <v>42</v>
      </c>
      <c r="B37" s="2">
        <f>+'s1'!M37*0.0098</f>
        <v>0</v>
      </c>
      <c r="C37" s="2">
        <f>+'s1'!N37*0.0098</f>
        <v>0</v>
      </c>
      <c r="D37" s="2">
        <f>+'s1'!O37*0.0098</f>
        <v>0</v>
      </c>
      <c r="E37" s="2">
        <f>+'s1'!P37*0.0098</f>
        <v>0</v>
      </c>
      <c r="F37" s="2">
        <f>+'s1'!Q37*0.0098</f>
        <v>0</v>
      </c>
      <c r="G37" s="2">
        <f>+'s1'!R37*0.0098</f>
        <v>0</v>
      </c>
      <c r="H37" s="2">
        <f>+'s1'!S37*0.0098</f>
        <v>30.38</v>
      </c>
      <c r="I37" s="2">
        <f>+'s1'!T37*0.0098</f>
        <v>0</v>
      </c>
      <c r="J37" s="2">
        <f>+'s1'!U37*0.0098</f>
        <v>0</v>
      </c>
      <c r="K37" s="2">
        <f>+'s1'!V37*0.0098</f>
        <v>0</v>
      </c>
      <c r="L37" s="2">
        <f>+'s1'!W37*0.0098</f>
        <v>0</v>
      </c>
      <c r="M37" s="2">
        <f>+'s1'!X37*0.0098</f>
        <v>0</v>
      </c>
      <c r="N37" s="2">
        <f>+'s1'!Y37*0.0098</f>
        <v>26.36</v>
      </c>
      <c r="O37" s="2">
        <f>+'s1'!Z37*0.0098</f>
        <v>0</v>
      </c>
      <c r="P37" s="2">
        <f>+'s1'!AA37*0.0098</f>
        <v>0</v>
      </c>
      <c r="Q37" s="2">
        <f>+'s1'!AB37*0.0098</f>
        <v>0</v>
      </c>
      <c r="R37" s="2">
        <f>+'s1'!AC37*0.0098</f>
        <v>326.79000000000002</v>
      </c>
      <c r="S37" s="2">
        <f t="shared" si="2"/>
        <v>383.53</v>
      </c>
      <c r="T37" s="2"/>
    </row>
    <row r="38" spans="1:20" x14ac:dyDescent="0.2">
      <c r="A38" s="18" t="s">
        <v>43</v>
      </c>
      <c r="B38" s="2">
        <f>+'s1'!M38*0.0098</f>
        <v>0</v>
      </c>
      <c r="C38" s="2">
        <f>+'s1'!N38*0.0098</f>
        <v>0</v>
      </c>
      <c r="D38" s="2">
        <f>+'s1'!O38*0.0098</f>
        <v>13329.4</v>
      </c>
      <c r="E38" s="2">
        <f>+'s1'!P38*0.0098</f>
        <v>0</v>
      </c>
      <c r="F38" s="2">
        <f>+'s1'!Q38*0.0098</f>
        <v>0</v>
      </c>
      <c r="G38" s="2">
        <f>+'s1'!R38*0.0098</f>
        <v>0</v>
      </c>
      <c r="H38" s="2">
        <f>+'s1'!S38*0.0098</f>
        <v>0</v>
      </c>
      <c r="I38" s="2">
        <f>+'s1'!T38*0.0098</f>
        <v>0</v>
      </c>
      <c r="J38" s="2">
        <f>+'s1'!U38*0.0098</f>
        <v>0</v>
      </c>
      <c r="K38" s="2">
        <f>+'s1'!V38*0.0098</f>
        <v>0</v>
      </c>
      <c r="L38" s="2">
        <f>+'s1'!W38*0.0098</f>
        <v>0</v>
      </c>
      <c r="M38" s="2">
        <f>+'s1'!X38*0.0098</f>
        <v>0</v>
      </c>
      <c r="N38" s="2">
        <f>+'s1'!Y38*0.0098</f>
        <v>0</v>
      </c>
      <c r="O38" s="2">
        <f>+'s1'!Z38*0.0098</f>
        <v>0</v>
      </c>
      <c r="P38" s="2">
        <f>+'s1'!AA38*0.0098</f>
        <v>0</v>
      </c>
      <c r="Q38" s="2">
        <f>+'s1'!AB38*0.0098</f>
        <v>0</v>
      </c>
      <c r="R38" s="2">
        <f>+'s1'!AC38*0.0098</f>
        <v>0</v>
      </c>
      <c r="S38" s="2">
        <f t="shared" si="2"/>
        <v>13329.4</v>
      </c>
      <c r="T38" s="2"/>
    </row>
    <row r="39" spans="1:20" s="89" customFormat="1" x14ac:dyDescent="0.2">
      <c r="A39" s="18" t="s">
        <v>615</v>
      </c>
      <c r="B39" s="2">
        <f>+'s1'!M39*0.0098</f>
        <v>0</v>
      </c>
      <c r="C39" s="2">
        <f>+'s1'!N39*0.0098</f>
        <v>0</v>
      </c>
      <c r="D39" s="2">
        <f>+'s1'!O39*0.0098</f>
        <v>4.9800000000000004</v>
      </c>
      <c r="E39" s="2">
        <f>+'s1'!P39*0.0098</f>
        <v>0</v>
      </c>
      <c r="F39" s="2">
        <f>+'s1'!Q39*0.0098</f>
        <v>0</v>
      </c>
      <c r="G39" s="2">
        <f>+'s1'!R39*0.0098</f>
        <v>0</v>
      </c>
      <c r="H39" s="2">
        <f>+'s1'!S39*0.0098</f>
        <v>0</v>
      </c>
      <c r="I39" s="2">
        <f>+'s1'!T39*0.0098</f>
        <v>0</v>
      </c>
      <c r="J39" s="2">
        <f>+'s1'!U39*0.0098</f>
        <v>0</v>
      </c>
      <c r="K39" s="2">
        <f>+'s1'!V39*0.0098</f>
        <v>0</v>
      </c>
      <c r="L39" s="2">
        <f>+'s1'!W39*0.0098</f>
        <v>0</v>
      </c>
      <c r="M39" s="2">
        <f>+'s1'!X39*0.0098</f>
        <v>0</v>
      </c>
      <c r="N39" s="2">
        <f>+'s1'!Y39*0.0098</f>
        <v>0</v>
      </c>
      <c r="O39" s="2">
        <f>+'s1'!Z39*0.0098</f>
        <v>0</v>
      </c>
      <c r="P39" s="2">
        <f>+'s1'!AA39*0.0098</f>
        <v>0</v>
      </c>
      <c r="Q39" s="2">
        <f>+'s1'!AB39*0.0098</f>
        <v>10.78</v>
      </c>
      <c r="R39" s="2">
        <f>+'s1'!AC39*0.0098</f>
        <v>0</v>
      </c>
      <c r="S39" s="78">
        <f>SUM(B39:R39)</f>
        <v>15.76</v>
      </c>
      <c r="T39" s="10"/>
    </row>
    <row r="40" spans="1:20" x14ac:dyDescent="0.2">
      <c r="A40" s="18" t="s">
        <v>606</v>
      </c>
      <c r="B40" s="2">
        <f>+'s1'!M40*0.0098</f>
        <v>0</v>
      </c>
      <c r="C40" s="2">
        <f>+'s1'!N40*0.0098</f>
        <v>0</v>
      </c>
      <c r="D40" s="2">
        <f>+'s1'!O40*0.0098</f>
        <v>239.63</v>
      </c>
      <c r="E40" s="2">
        <f>+'s1'!P40*0.0098</f>
        <v>0</v>
      </c>
      <c r="F40" s="2">
        <f>+'s1'!Q40*0.0098</f>
        <v>0</v>
      </c>
      <c r="G40" s="2">
        <f>+'s1'!R40*0.0098</f>
        <v>0</v>
      </c>
      <c r="H40" s="2">
        <f>+'s1'!S40*0.0098</f>
        <v>0</v>
      </c>
      <c r="I40" s="2">
        <f>+'s1'!T40*0.0098</f>
        <v>0</v>
      </c>
      <c r="J40" s="2">
        <f>+'s1'!U40*0.0098</f>
        <v>0</v>
      </c>
      <c r="K40" s="2">
        <f>+'s1'!V40*0.0098</f>
        <v>0</v>
      </c>
      <c r="L40" s="2">
        <f>+'s1'!W40*0.0098</f>
        <v>0</v>
      </c>
      <c r="M40" s="2">
        <f>+'s1'!X40*0.0098</f>
        <v>0</v>
      </c>
      <c r="N40" s="2">
        <f>+'s1'!Y40*0.0098</f>
        <v>0</v>
      </c>
      <c r="O40" s="2">
        <f>+'s1'!Z40*0.0098</f>
        <v>0</v>
      </c>
      <c r="P40" s="2">
        <f>+'s1'!AA40*0.0098</f>
        <v>0</v>
      </c>
      <c r="Q40" s="2">
        <f>+'s1'!AB40*0.0098</f>
        <v>2624.06</v>
      </c>
      <c r="R40" s="2">
        <f>+'s1'!AC40*0.0098</f>
        <v>0</v>
      </c>
      <c r="S40" s="2">
        <f t="shared" si="2"/>
        <v>2863.69</v>
      </c>
      <c r="T40" s="2"/>
    </row>
    <row r="41" spans="1:20" x14ac:dyDescent="0.2">
      <c r="A41" s="1" t="s">
        <v>44</v>
      </c>
      <c r="B41" s="2">
        <f>+'s1'!M41*0.0098</f>
        <v>0</v>
      </c>
      <c r="C41" s="2">
        <f>+'s1'!N41*0.0098</f>
        <v>0</v>
      </c>
      <c r="D41" s="2">
        <f>+'s1'!O41*0.0098</f>
        <v>0</v>
      </c>
      <c r="E41" s="2">
        <f>+'s1'!P41*0.0098</f>
        <v>0</v>
      </c>
      <c r="F41" s="2">
        <f>+'s1'!Q41*0.0098</f>
        <v>1441.85</v>
      </c>
      <c r="G41" s="2">
        <f>+'s1'!R41*0.0098</f>
        <v>0</v>
      </c>
      <c r="H41" s="2">
        <f>+'s1'!S41*0.0098</f>
        <v>0</v>
      </c>
      <c r="I41" s="2">
        <f>+'s1'!T41*0.0098</f>
        <v>0</v>
      </c>
      <c r="J41" s="2">
        <f>+'s1'!U41*0.0098</f>
        <v>0</v>
      </c>
      <c r="K41" s="2">
        <f>+'s1'!V41*0.0098</f>
        <v>0</v>
      </c>
      <c r="L41" s="2">
        <f>+'s1'!W41*0.0098</f>
        <v>0</v>
      </c>
      <c r="M41" s="2">
        <f>+'s1'!X41*0.0098</f>
        <v>0</v>
      </c>
      <c r="N41" s="2">
        <f>+'s1'!Y41*0.0098</f>
        <v>0</v>
      </c>
      <c r="O41" s="2">
        <f>+'s1'!Z41*0.0098</f>
        <v>0</v>
      </c>
      <c r="P41" s="2">
        <f>+'s1'!AA41*0.0098</f>
        <v>0</v>
      </c>
      <c r="Q41" s="2">
        <f>+'s1'!AB41*0.0098</f>
        <v>0</v>
      </c>
      <c r="R41" s="2">
        <f>+'s1'!AC41*0.0098</f>
        <v>0</v>
      </c>
      <c r="S41" s="2">
        <f>SUM(B41:R41)</f>
        <v>1441.85</v>
      </c>
      <c r="T41" s="1"/>
    </row>
    <row r="42" spans="1:20" x14ac:dyDescent="0.2">
      <c r="A42" s="1" t="s">
        <v>447</v>
      </c>
      <c r="B42" s="2">
        <f>+'s1'!M42*0.0098</f>
        <v>0</v>
      </c>
      <c r="C42" s="2">
        <f>+'s1'!N42*0.0098</f>
        <v>0</v>
      </c>
      <c r="D42" s="2">
        <f>+'s1'!O42*0.0098</f>
        <v>23.97</v>
      </c>
      <c r="E42" s="2">
        <f>+'s1'!P42*0.0098</f>
        <v>0</v>
      </c>
      <c r="F42" s="2">
        <f>+'s1'!Q42*0.0098</f>
        <v>0</v>
      </c>
      <c r="G42" s="2">
        <f>+'s1'!R42*0.0098</f>
        <v>0</v>
      </c>
      <c r="H42" s="2">
        <f>+'s1'!S42*0.0098</f>
        <v>0</v>
      </c>
      <c r="I42" s="2">
        <f>+'s1'!T42*0.0098</f>
        <v>0</v>
      </c>
      <c r="J42" s="2">
        <f>+'s1'!U42*0.0098</f>
        <v>0</v>
      </c>
      <c r="K42" s="2">
        <f>+'s1'!V42*0.0098</f>
        <v>0</v>
      </c>
      <c r="L42" s="2">
        <f>+'s1'!W42*0.0098</f>
        <v>0</v>
      </c>
      <c r="M42" s="2">
        <f>+'s1'!X42*0.0098</f>
        <v>0</v>
      </c>
      <c r="N42" s="2">
        <f>+'s1'!Y42*0.0098</f>
        <v>0</v>
      </c>
      <c r="O42" s="2">
        <f>+'s1'!Z42*0.0098</f>
        <v>0</v>
      </c>
      <c r="P42" s="2">
        <f>+'s1'!AA42*0.0098</f>
        <v>0</v>
      </c>
      <c r="Q42" s="2">
        <f>+'s1'!AB42*0.0098</f>
        <v>0</v>
      </c>
      <c r="R42" s="2">
        <f>+'s1'!AC42*0.0098</f>
        <v>0</v>
      </c>
      <c r="S42" s="2">
        <f t="shared" si="2"/>
        <v>23.97</v>
      </c>
      <c r="T42" s="1"/>
    </row>
    <row r="43" spans="1:20" x14ac:dyDescent="0.2">
      <c r="A43" s="1" t="s">
        <v>430</v>
      </c>
      <c r="B43" s="2">
        <f>+'s1'!M43*0.0098</f>
        <v>0</v>
      </c>
      <c r="C43" s="2">
        <f>+'s1'!N43*0.0098</f>
        <v>0</v>
      </c>
      <c r="D43" s="2">
        <f>+'s1'!O43*0.0098</f>
        <v>20915.52</v>
      </c>
      <c r="E43" s="2">
        <f>+'s1'!P43*0.0098</f>
        <v>0</v>
      </c>
      <c r="F43" s="2">
        <f>+'s1'!Q43*0.0098</f>
        <v>0</v>
      </c>
      <c r="G43" s="2">
        <f>+'s1'!R43*0.0098</f>
        <v>0</v>
      </c>
      <c r="H43" s="2">
        <f>+'s1'!S43*0.0098</f>
        <v>0</v>
      </c>
      <c r="I43" s="2">
        <f>+'s1'!T43*0.0098</f>
        <v>0</v>
      </c>
      <c r="J43" s="2">
        <f>+'s1'!U43*0.0098</f>
        <v>0</v>
      </c>
      <c r="K43" s="2">
        <f>+'s1'!V43*0.0098</f>
        <v>0</v>
      </c>
      <c r="L43" s="2">
        <f>+'s1'!W43*0.0098</f>
        <v>0</v>
      </c>
      <c r="M43" s="2">
        <f>+'s1'!X43*0.0098</f>
        <v>0</v>
      </c>
      <c r="N43" s="2">
        <f>+'s1'!Y43*0.0098</f>
        <v>1063.48</v>
      </c>
      <c r="O43" s="2">
        <f>+'s1'!Z43*0.0098</f>
        <v>0</v>
      </c>
      <c r="P43" s="2">
        <f>+'s1'!AA43*0.0098</f>
        <v>0</v>
      </c>
      <c r="Q43" s="2">
        <f>+'s1'!AB43*0.0098</f>
        <v>0</v>
      </c>
      <c r="R43" s="2">
        <f>+'s1'!AC43*0.0098</f>
        <v>0</v>
      </c>
      <c r="S43" s="2">
        <f>SUM(B43:R43)</f>
        <v>21979</v>
      </c>
      <c r="T43" s="1"/>
    </row>
    <row r="44" spans="1:20" x14ac:dyDescent="0.2">
      <c r="A44" s="1" t="s">
        <v>448</v>
      </c>
      <c r="B44" s="2">
        <f>+'s1'!M44*0.0098</f>
        <v>0</v>
      </c>
      <c r="C44" s="2">
        <f>+'s1'!N44*0.0098</f>
        <v>0</v>
      </c>
      <c r="D44" s="2">
        <f>+'s1'!O44*0.0098</f>
        <v>1455.01</v>
      </c>
      <c r="E44" s="2">
        <f>+'s1'!P44*0.0098</f>
        <v>0</v>
      </c>
      <c r="F44" s="2">
        <f>+'s1'!Q44*0.0098</f>
        <v>596.44000000000005</v>
      </c>
      <c r="G44" s="2">
        <f>+'s1'!R44*0.0098</f>
        <v>0</v>
      </c>
      <c r="H44" s="2">
        <f>+'s1'!S44*0.0098</f>
        <v>0</v>
      </c>
      <c r="I44" s="2">
        <f>+'s1'!T44*0.0098</f>
        <v>0</v>
      </c>
      <c r="J44" s="2">
        <f>+'s1'!U44*0.0098</f>
        <v>0</v>
      </c>
      <c r="K44" s="2">
        <f>+'s1'!V44*0.0098</f>
        <v>0</v>
      </c>
      <c r="L44" s="2">
        <f>+'s1'!W44*0.0098</f>
        <v>0</v>
      </c>
      <c r="M44" s="2">
        <f>+'s1'!X44*0.0098</f>
        <v>0</v>
      </c>
      <c r="N44" s="2">
        <f>+'s1'!Y44*0.0098</f>
        <v>0</v>
      </c>
      <c r="O44" s="2">
        <f>+'s1'!Z44*0.0098</f>
        <v>0</v>
      </c>
      <c r="P44" s="2">
        <f>+'s1'!AA44*0.0098</f>
        <v>0</v>
      </c>
      <c r="Q44" s="2">
        <f>+'s1'!AB44*0.0098</f>
        <v>235.11</v>
      </c>
      <c r="R44" s="2">
        <f>+'s1'!AC44*0.0098</f>
        <v>0</v>
      </c>
      <c r="S44" s="2">
        <f t="shared" si="2"/>
        <v>2286.56</v>
      </c>
      <c r="T44" s="1"/>
    </row>
    <row r="45" spans="1:20" x14ac:dyDescent="0.2">
      <c r="A45" s="1" t="s">
        <v>715</v>
      </c>
      <c r="B45" s="2">
        <f>+'s1'!M45*0.0098</f>
        <v>0</v>
      </c>
      <c r="C45" s="2">
        <f>+'s1'!N45*0.0098</f>
        <v>0</v>
      </c>
      <c r="D45" s="2">
        <f>+'s1'!O45*0.0098</f>
        <v>0</v>
      </c>
      <c r="E45" s="2">
        <f>+'s1'!P45*0.0098</f>
        <v>0</v>
      </c>
      <c r="F45" s="2">
        <f>+'s1'!Q45*0.0098-1.97</f>
        <v>22.12</v>
      </c>
      <c r="G45" s="2">
        <f>+'s1'!R45*0.0098</f>
        <v>0</v>
      </c>
      <c r="H45" s="2">
        <f>+'s1'!S45*0.0098</f>
        <v>0</v>
      </c>
      <c r="I45" s="2">
        <f>+'s1'!T45*0.0098</f>
        <v>0</v>
      </c>
      <c r="J45" s="2">
        <f>+'s1'!U45*0.0098</f>
        <v>0</v>
      </c>
      <c r="K45" s="2">
        <f>+'s1'!V45*0.0098</f>
        <v>0</v>
      </c>
      <c r="L45" s="2">
        <f>+'s1'!W45*0.0098</f>
        <v>0</v>
      </c>
      <c r="M45" s="2">
        <f>+'s1'!X45*0.0098</f>
        <v>0</v>
      </c>
      <c r="N45" s="2">
        <f>+'s1'!Y45*0.0098</f>
        <v>0</v>
      </c>
      <c r="O45" s="2">
        <f>+'s1'!Z45*0.0098</f>
        <v>0</v>
      </c>
      <c r="P45" s="2">
        <f>+'s1'!AA45*0.0098</f>
        <v>0</v>
      </c>
      <c r="Q45" s="2">
        <f>+'s1'!AB45*0.0098</f>
        <v>0</v>
      </c>
      <c r="R45" s="2">
        <f>+'s1'!AC45*0.0098</f>
        <v>0</v>
      </c>
      <c r="S45" s="2">
        <f>SUM(B45:R45)</f>
        <v>22.12</v>
      </c>
      <c r="T45" s="1"/>
    </row>
    <row r="46" spans="1:20" x14ac:dyDescent="0.2">
      <c r="A46" s="1" t="s">
        <v>454</v>
      </c>
      <c r="B46" s="2">
        <f>+'s1'!M46*0.0098</f>
        <v>0</v>
      </c>
      <c r="C46" s="2">
        <f>+'s1'!N46*0.0098</f>
        <v>0</v>
      </c>
      <c r="D46" s="2">
        <f>+'s1'!O46*0.0098</f>
        <v>0</v>
      </c>
      <c r="E46" s="2">
        <f>+'s1'!P46*0.0098</f>
        <v>0</v>
      </c>
      <c r="F46" s="2">
        <f>+'s1'!Q46*0.0098</f>
        <v>0</v>
      </c>
      <c r="G46" s="2">
        <f>+'s1'!R46*0.0098</f>
        <v>0</v>
      </c>
      <c r="H46" s="2">
        <f>+'s1'!S46*0.0098</f>
        <v>0</v>
      </c>
      <c r="I46" s="2">
        <f>+'s1'!T46*0.0098</f>
        <v>12.51</v>
      </c>
      <c r="J46" s="2">
        <f>+'s1'!U46*0.0098</f>
        <v>0</v>
      </c>
      <c r="K46" s="2">
        <f>+'s1'!V46*0.0098</f>
        <v>0</v>
      </c>
      <c r="L46" s="2">
        <f>+'s1'!W46*0.0098</f>
        <v>0</v>
      </c>
      <c r="M46" s="2">
        <f>+'s1'!X46*0.0098</f>
        <v>0</v>
      </c>
      <c r="N46" s="2">
        <f>+'s1'!Y46*0.0098</f>
        <v>0</v>
      </c>
      <c r="O46" s="2">
        <f>+'s1'!Z46*0.0098</f>
        <v>0</v>
      </c>
      <c r="P46" s="2">
        <f>+'s1'!AA46*0.0098</f>
        <v>0</v>
      </c>
      <c r="Q46" s="2">
        <f>+'s1'!AB46*0.0098</f>
        <v>2.21</v>
      </c>
      <c r="R46" s="2">
        <f>+'s1'!AC46*0.0098</f>
        <v>0</v>
      </c>
      <c r="S46" s="2">
        <f t="shared" si="2"/>
        <v>14.72</v>
      </c>
      <c r="T46" s="1"/>
    </row>
    <row r="47" spans="1:20" x14ac:dyDescent="0.2">
      <c r="A47" s="1" t="s">
        <v>728</v>
      </c>
      <c r="B47" s="2">
        <f>+'s1'!M47*0.0098</f>
        <v>0</v>
      </c>
      <c r="C47" s="2">
        <f>+'s1'!N47*0.0098</f>
        <v>0</v>
      </c>
      <c r="D47" s="2">
        <f>+'s1'!O47*0.0098</f>
        <v>0</v>
      </c>
      <c r="E47" s="2">
        <f>+'s1'!P47*0.0098</f>
        <v>0</v>
      </c>
      <c r="F47" s="2">
        <f>+'s1'!Q47*0.0098</f>
        <v>0</v>
      </c>
      <c r="G47" s="2">
        <f>+'s1'!R47*0.0098</f>
        <v>0</v>
      </c>
      <c r="H47" s="2">
        <f>+'s1'!S47*0.0098</f>
        <v>0</v>
      </c>
      <c r="I47" s="2">
        <f>+'s1'!T47*0.0098</f>
        <v>0</v>
      </c>
      <c r="J47" s="2">
        <f>+'s1'!U47*0.0098</f>
        <v>0</v>
      </c>
      <c r="K47" s="2">
        <f>+'s1'!V47*0.0098</f>
        <v>0</v>
      </c>
      <c r="L47" s="2">
        <f>+'s1'!W47*0.0098</f>
        <v>0</v>
      </c>
      <c r="M47" s="2">
        <f>+'s1'!X47*0.0098</f>
        <v>0</v>
      </c>
      <c r="N47" s="2">
        <f>+'s1'!Y47*0.0098</f>
        <v>0</v>
      </c>
      <c r="O47" s="2">
        <f>+'s1'!Z47*0.0098</f>
        <v>0</v>
      </c>
      <c r="P47" s="2">
        <f>+'s1'!AA47*0.0098</f>
        <v>0</v>
      </c>
      <c r="Q47" s="2">
        <f>+'s1'!AB47*0.0098</f>
        <v>0</v>
      </c>
      <c r="R47" s="2">
        <f>+'s1'!AC47*0.0098-55.98</f>
        <v>1179.9100000000001</v>
      </c>
      <c r="S47" s="2">
        <f>SUM(B47:R47)</f>
        <v>1179.9100000000001</v>
      </c>
      <c r="T47" s="1"/>
    </row>
    <row r="48" spans="1:20" x14ac:dyDescent="0.2">
      <c r="A48" s="18" t="s">
        <v>497</v>
      </c>
      <c r="B48" s="2">
        <f>+'s1'!M48*0.0098</f>
        <v>0</v>
      </c>
      <c r="C48" s="2">
        <f>+'s1'!N48*0.0098</f>
        <v>573.30999999999995</v>
      </c>
      <c r="D48" s="2">
        <f>+'s1'!O48*0.0098</f>
        <v>28982.18</v>
      </c>
      <c r="E48" s="2">
        <f>+'s1'!P48*0.0098</f>
        <v>0</v>
      </c>
      <c r="F48" s="2">
        <f>+'s1'!Q48*0.0098</f>
        <v>0</v>
      </c>
      <c r="G48" s="2">
        <f>+'s1'!R48*0.0098</f>
        <v>0</v>
      </c>
      <c r="H48" s="2">
        <f>+'s1'!S48*0.0098</f>
        <v>0</v>
      </c>
      <c r="I48" s="2">
        <f>+'s1'!T48*0.0098</f>
        <v>0</v>
      </c>
      <c r="J48" s="2">
        <f>+'s1'!U48*0.0098</f>
        <v>0</v>
      </c>
      <c r="K48" s="2">
        <f>+'s1'!V48*0.0098</f>
        <v>0</v>
      </c>
      <c r="L48" s="2">
        <f>+'s1'!W48*0.0098</f>
        <v>0</v>
      </c>
      <c r="M48" s="2">
        <f>+'s1'!X48*0.0098</f>
        <v>0</v>
      </c>
      <c r="N48" s="2">
        <f>+'s1'!Y48*0.0098</f>
        <v>0</v>
      </c>
      <c r="O48" s="2">
        <f>+'s1'!Z48*0.0098</f>
        <v>0</v>
      </c>
      <c r="P48" s="2">
        <f>+'s1'!AA48*0.0098</f>
        <v>0</v>
      </c>
      <c r="Q48" s="2">
        <f>+'s1'!AB48*0.0098</f>
        <v>1602.34</v>
      </c>
      <c r="R48" s="2">
        <f>+'s1'!AC48*0.0098</f>
        <v>0</v>
      </c>
      <c r="S48" s="2">
        <f t="shared" si="2"/>
        <v>31157.83</v>
      </c>
      <c r="T48" s="2"/>
    </row>
    <row r="49" spans="1:20" s="89" customFormat="1" x14ac:dyDescent="0.2">
      <c r="A49" s="18" t="s">
        <v>705</v>
      </c>
      <c r="B49" s="2">
        <f>+'s1'!M49*0.0098</f>
        <v>0</v>
      </c>
      <c r="C49" s="2">
        <f>+'s1'!N49*0.0098</f>
        <v>0</v>
      </c>
      <c r="D49" s="2">
        <f>+'s1'!O49*0.0098</f>
        <v>0</v>
      </c>
      <c r="E49" s="2">
        <f>+'s1'!P49*0.0098</f>
        <v>0</v>
      </c>
      <c r="F49" s="2">
        <f>+'s1'!Q49*0.0098</f>
        <v>0</v>
      </c>
      <c r="G49" s="2">
        <f>+'s1'!R49*0.0098</f>
        <v>0</v>
      </c>
      <c r="H49" s="2">
        <f>+'s1'!S49*0.0098</f>
        <v>0</v>
      </c>
      <c r="I49" s="2">
        <f>+'s1'!T49*0.0098</f>
        <v>0</v>
      </c>
      <c r="J49" s="2">
        <f>+'s1'!U49*0.0098</f>
        <v>0</v>
      </c>
      <c r="K49" s="2">
        <f>+'s1'!V49*0.0098</f>
        <v>0</v>
      </c>
      <c r="L49" s="2">
        <f>+'s1'!W49*0.0098</f>
        <v>0</v>
      </c>
      <c r="M49" s="2">
        <f>+'s1'!X49*0.0098</f>
        <v>0</v>
      </c>
      <c r="N49" s="2">
        <f>+'s1'!Y49*0.0098</f>
        <v>1644.39</v>
      </c>
      <c r="O49" s="2">
        <f>+'s1'!Z49*0.0098</f>
        <v>0</v>
      </c>
      <c r="P49" s="2">
        <f>+'s1'!AA49*0.0098</f>
        <v>0</v>
      </c>
      <c r="Q49" s="2">
        <f>+'s1'!AB49*0.0098</f>
        <v>0</v>
      </c>
      <c r="R49" s="2">
        <f>+'s1'!AC49*0.0098</f>
        <v>0</v>
      </c>
      <c r="S49" s="78">
        <f>SUM(B49:R49)</f>
        <v>1644.39</v>
      </c>
      <c r="T49" s="10"/>
    </row>
    <row r="50" spans="1:20" x14ac:dyDescent="0.2">
      <c r="A50" s="1" t="s">
        <v>754</v>
      </c>
      <c r="B50" s="2">
        <f>+'s1'!M50*0.0098</f>
        <v>0</v>
      </c>
      <c r="C50" s="2">
        <f>+'s1'!N50*0.0098</f>
        <v>0</v>
      </c>
      <c r="D50" s="2">
        <f>+'s1'!O50*0.0098</f>
        <v>0</v>
      </c>
      <c r="E50" s="2">
        <f>+'s1'!P50*0.0098</f>
        <v>0</v>
      </c>
      <c r="F50" s="2">
        <f>+'s1'!Q50*0.0098</f>
        <v>0</v>
      </c>
      <c r="G50" s="2">
        <f>+'s1'!R50*0.0098</f>
        <v>0</v>
      </c>
      <c r="H50" s="2">
        <f>+'s1'!S50*0.0098</f>
        <v>0</v>
      </c>
      <c r="I50" s="2">
        <f>+'s1'!T50*0.0098</f>
        <v>0</v>
      </c>
      <c r="J50" s="2">
        <f>+'s1'!U50*0.0098</f>
        <v>0</v>
      </c>
      <c r="K50" s="2">
        <f>+'s1'!V50*0.0098</f>
        <v>0</v>
      </c>
      <c r="L50" s="2">
        <f>+'s1'!W50*0.0098</f>
        <v>0</v>
      </c>
      <c r="M50" s="2">
        <f>+'s1'!X50*0.0098</f>
        <v>0</v>
      </c>
      <c r="N50" s="2">
        <f>+'s1'!Y50*0.0098</f>
        <v>0</v>
      </c>
      <c r="O50" s="2">
        <f>+'s1'!Z50*0.0098</f>
        <v>0</v>
      </c>
      <c r="P50" s="2">
        <f>+'s1'!AA50*0.0098</f>
        <v>0</v>
      </c>
      <c r="Q50" s="2">
        <f>+'s1'!AB50*0.0098</f>
        <v>0</v>
      </c>
      <c r="R50" s="2">
        <f>+'s1'!AC50*0.0098</f>
        <v>0</v>
      </c>
      <c r="S50" s="2">
        <f>SUM(B50:R50)</f>
        <v>0</v>
      </c>
      <c r="T50" s="2"/>
    </row>
    <row r="51" spans="1:20" x14ac:dyDescent="0.2">
      <c r="A51" s="1" t="s">
        <v>431</v>
      </c>
      <c r="B51" s="2">
        <f>+'s1'!M51*0.0098</f>
        <v>0</v>
      </c>
      <c r="C51" s="2">
        <f>+'s1'!N51*0.0098</f>
        <v>0</v>
      </c>
      <c r="D51" s="2">
        <f>+'s1'!O51*0.0098</f>
        <v>19720.5</v>
      </c>
      <c r="E51" s="2">
        <f>+'s1'!P51*0.0098</f>
        <v>0</v>
      </c>
      <c r="F51" s="2">
        <f>+'s1'!Q51*0.0098</f>
        <v>0</v>
      </c>
      <c r="G51" s="2">
        <f>+'s1'!R51*0.0098</f>
        <v>0</v>
      </c>
      <c r="H51" s="2">
        <f>+'s1'!S51*0.0098</f>
        <v>0</v>
      </c>
      <c r="I51" s="2">
        <f>+'s1'!T51*0.0098</f>
        <v>0</v>
      </c>
      <c r="J51" s="2">
        <f>+'s1'!U51*0.0098</f>
        <v>0</v>
      </c>
      <c r="K51" s="2">
        <f>+'s1'!V51*0.0098</f>
        <v>0</v>
      </c>
      <c r="L51" s="2">
        <f>+'s1'!W51*0.0098</f>
        <v>0</v>
      </c>
      <c r="M51" s="2">
        <f>+'s1'!X51*0.0098</f>
        <v>0</v>
      </c>
      <c r="N51" s="2">
        <f>+'s1'!Y51*0.0098</f>
        <v>750.08</v>
      </c>
      <c r="O51" s="2">
        <f>+'s1'!Z51*0.0098</f>
        <v>0</v>
      </c>
      <c r="P51" s="2">
        <f>+'s1'!AA51*0.0098</f>
        <v>0</v>
      </c>
      <c r="Q51" s="2">
        <f>+'s1'!AB51*0.0098</f>
        <v>0</v>
      </c>
      <c r="R51" s="2">
        <f>+'s1'!AC51*0.0098</f>
        <v>0</v>
      </c>
      <c r="S51" s="2">
        <f t="shared" si="2"/>
        <v>20470.580000000002</v>
      </c>
      <c r="T51" s="2"/>
    </row>
    <row r="52" spans="1:20" x14ac:dyDescent="0.2">
      <c r="A52" s="18" t="s">
        <v>500</v>
      </c>
      <c r="B52" s="2">
        <f>+'s1'!M52*0.0098</f>
        <v>0</v>
      </c>
      <c r="C52" s="2">
        <f>+'s1'!N52*0.0098</f>
        <v>0</v>
      </c>
      <c r="D52" s="2">
        <f>+'s1'!O52*0.0098</f>
        <v>0</v>
      </c>
      <c r="E52" s="2">
        <f>+'s1'!P52*0.0098</f>
        <v>0</v>
      </c>
      <c r="F52" s="2">
        <f>+'s1'!Q52*0.0098</f>
        <v>0</v>
      </c>
      <c r="G52" s="2">
        <f>+'s1'!R52*0.0098</f>
        <v>0</v>
      </c>
      <c r="H52" s="2">
        <f>+'s1'!S52*0.0098</f>
        <v>0</v>
      </c>
      <c r="I52" s="2">
        <f>+'s1'!T52*0.0098</f>
        <v>0</v>
      </c>
      <c r="J52" s="2">
        <f>+'s1'!U52*0.0098</f>
        <v>0</v>
      </c>
      <c r="K52" s="2">
        <f>+'s1'!V52*0.0098</f>
        <v>0</v>
      </c>
      <c r="L52" s="2">
        <f>+'s1'!W52*0.0098</f>
        <v>0</v>
      </c>
      <c r="M52" s="2">
        <f>+'s1'!X52*0.0098</f>
        <v>0</v>
      </c>
      <c r="N52" s="2">
        <f>+'s1'!Y52*0.0098</f>
        <v>1226.53</v>
      </c>
      <c r="O52" s="2">
        <f>+'s1'!Z52*0.0098</f>
        <v>0</v>
      </c>
      <c r="P52" s="2">
        <f>+'s1'!AA52*0.0098</f>
        <v>0</v>
      </c>
      <c r="Q52" s="2">
        <f>+'s1'!AB52*0.0098</f>
        <v>0</v>
      </c>
      <c r="R52" s="2">
        <f>+'s1'!AC52*0.0098</f>
        <v>0</v>
      </c>
      <c r="S52" s="2">
        <f t="shared" si="2"/>
        <v>1226.53</v>
      </c>
      <c r="T52" s="2"/>
    </row>
    <row r="53" spans="1:20" x14ac:dyDescent="0.2">
      <c r="A53" s="18" t="s">
        <v>607</v>
      </c>
      <c r="B53" s="2">
        <f>+'s1'!M53*0.0098</f>
        <v>0</v>
      </c>
      <c r="C53" s="2">
        <f>+'s1'!N53*0.0098</f>
        <v>0</v>
      </c>
      <c r="D53" s="2">
        <f>+'s1'!O53*0.0098</f>
        <v>5076.5600000000004</v>
      </c>
      <c r="E53" s="2">
        <f>+'s1'!P53*0.0098</f>
        <v>516.74</v>
      </c>
      <c r="F53" s="2">
        <f>+'s1'!Q53*0.0098</f>
        <v>1525.37</v>
      </c>
      <c r="G53" s="2">
        <f>+'s1'!R53*0.0098</f>
        <v>0</v>
      </c>
      <c r="H53" s="2">
        <f>+'s1'!S53*0.0098</f>
        <v>0</v>
      </c>
      <c r="I53" s="2">
        <f>+'s1'!T53*0.0098</f>
        <v>0</v>
      </c>
      <c r="J53" s="2">
        <f>+'s1'!U53*0.0098</f>
        <v>0</v>
      </c>
      <c r="K53" s="2">
        <f>+'s1'!V53*0.0098</f>
        <v>0</v>
      </c>
      <c r="L53" s="2">
        <f>+'s1'!W53*0.0098</f>
        <v>0</v>
      </c>
      <c r="M53" s="2">
        <f>+'s1'!X53*0.0098</f>
        <v>0</v>
      </c>
      <c r="N53" s="2">
        <f>+'s1'!Y53*0.0098</f>
        <v>0</v>
      </c>
      <c r="O53" s="2">
        <f>+'s1'!Z53*0.0098</f>
        <v>0</v>
      </c>
      <c r="P53" s="2">
        <f>+'s1'!AA53*0.0098</f>
        <v>0</v>
      </c>
      <c r="Q53" s="2">
        <f>+'s1'!AB53*0.0098</f>
        <v>261.11</v>
      </c>
      <c r="R53" s="2">
        <f>+'s1'!AC53*0.0098</f>
        <v>0</v>
      </c>
      <c r="S53" s="2">
        <f>SUM(B53:R53)</f>
        <v>7379.78</v>
      </c>
      <c r="T53" s="2"/>
    </row>
    <row r="54" spans="1:20" x14ac:dyDescent="0.2">
      <c r="A54" s="7" t="s">
        <v>345</v>
      </c>
      <c r="B54" s="2">
        <f>+'s1'!M54*0.0098</f>
        <v>0</v>
      </c>
      <c r="C54" s="2">
        <f>+'s1'!N54*0.0098</f>
        <v>0</v>
      </c>
      <c r="D54" s="2">
        <f>+'s1'!O54*0.0098</f>
        <v>0</v>
      </c>
      <c r="E54" s="2">
        <f>+'s1'!P54*0.0098</f>
        <v>0</v>
      </c>
      <c r="F54" s="2">
        <f>+'s1'!Q54*0.0098</f>
        <v>0</v>
      </c>
      <c r="G54" s="2">
        <f>+'s1'!R54*0.0098</f>
        <v>186.92</v>
      </c>
      <c r="H54" s="2">
        <f>+'s1'!S54*0.0098</f>
        <v>0</v>
      </c>
      <c r="I54" s="2">
        <f>+'s1'!T54*0.0098</f>
        <v>0</v>
      </c>
      <c r="J54" s="2">
        <f>+'s1'!U54*0.0098</f>
        <v>0</v>
      </c>
      <c r="K54" s="2">
        <f>+'s1'!V54*0.0098</f>
        <v>0</v>
      </c>
      <c r="L54" s="2">
        <f>+'s1'!W54*0.0098</f>
        <v>0</v>
      </c>
      <c r="M54" s="2">
        <f>+'s1'!X54*0.0098</f>
        <v>0</v>
      </c>
      <c r="N54" s="2">
        <f>+'s1'!Y54*0.0098</f>
        <v>1498.19</v>
      </c>
      <c r="O54" s="2">
        <f>+'s1'!Z54*0.0098</f>
        <v>0</v>
      </c>
      <c r="P54" s="2">
        <f>+'s1'!AA54*0.0098</f>
        <v>0</v>
      </c>
      <c r="Q54" s="2">
        <f>+'s1'!AB54*0.0098</f>
        <v>0</v>
      </c>
      <c r="R54" s="2">
        <f>+'s1'!AC54*0.0098</f>
        <v>487.83</v>
      </c>
      <c r="S54" s="2">
        <f>SUM(B54:R54)</f>
        <v>2172.94</v>
      </c>
      <c r="T54" s="2"/>
    </row>
    <row r="55" spans="1:20" x14ac:dyDescent="0.2">
      <c r="A55" s="246" t="s">
        <v>455</v>
      </c>
      <c r="B55" s="2">
        <f>+'s1'!M55*0.0098</f>
        <v>0</v>
      </c>
      <c r="C55" s="2">
        <f>+'s1'!N55*0.0098</f>
        <v>0</v>
      </c>
      <c r="D55" s="2">
        <f>+'s1'!O55*0.0098</f>
        <v>12725.53</v>
      </c>
      <c r="E55" s="2">
        <f>+'s1'!P55*0.0098</f>
        <v>0</v>
      </c>
      <c r="F55" s="2">
        <f>+'s1'!Q55*0.0098</f>
        <v>0</v>
      </c>
      <c r="G55" s="2">
        <f>+'s1'!R55*0.0098</f>
        <v>0</v>
      </c>
      <c r="H55" s="2">
        <f>+'s1'!S55*0.0098</f>
        <v>0</v>
      </c>
      <c r="I55" s="2">
        <f>+'s1'!T55*0.0098</f>
        <v>0</v>
      </c>
      <c r="J55" s="2">
        <f>+'s1'!U55*0.0098</f>
        <v>0</v>
      </c>
      <c r="K55" s="2">
        <f>+'s1'!V55*0.0098</f>
        <v>0</v>
      </c>
      <c r="L55" s="2">
        <f>+'s1'!W55*0.0098</f>
        <v>0</v>
      </c>
      <c r="M55" s="2">
        <f>+'s1'!X55*0.0098</f>
        <v>0</v>
      </c>
      <c r="N55" s="2">
        <f>+'s1'!Y55*0.0098</f>
        <v>0</v>
      </c>
      <c r="O55" s="2">
        <f>+'s1'!Z55*0.0098</f>
        <v>0</v>
      </c>
      <c r="P55" s="2">
        <f>+'s1'!AA55*0.0098</f>
        <v>0</v>
      </c>
      <c r="Q55" s="2">
        <f>+'s1'!AB55*0.0098</f>
        <v>0</v>
      </c>
      <c r="R55" s="2">
        <f>+'s1'!AC55*0.0098</f>
        <v>0</v>
      </c>
      <c r="S55" s="2">
        <f>SUM(B55:R55)</f>
        <v>12725.53</v>
      </c>
      <c r="T55" s="2"/>
    </row>
    <row r="56" spans="1:20" x14ac:dyDescent="0.2">
      <c r="A56" s="7" t="s">
        <v>432</v>
      </c>
      <c r="B56" s="2">
        <f>+'s1'!M56*0.0098</f>
        <v>0</v>
      </c>
      <c r="C56" s="2">
        <f>+'s1'!N56*0.0098</f>
        <v>0</v>
      </c>
      <c r="D56" s="2">
        <f>+'s1'!O56*0.0098</f>
        <v>0</v>
      </c>
      <c r="E56" s="2">
        <f>+'s1'!P56*0.0098</f>
        <v>0</v>
      </c>
      <c r="F56" s="2">
        <f>+'s1'!Q56*0.0098</f>
        <v>0</v>
      </c>
      <c r="G56" s="2">
        <f>+'s1'!R56*0.0098</f>
        <v>0</v>
      </c>
      <c r="H56" s="2">
        <f>+'s1'!S56*0.0098</f>
        <v>0</v>
      </c>
      <c r="I56" s="2">
        <f>+'s1'!T56*0.0098</f>
        <v>240.06</v>
      </c>
      <c r="J56" s="2">
        <f>+'s1'!U56*0.0098</f>
        <v>0</v>
      </c>
      <c r="K56" s="2">
        <f>+'s1'!V56*0.0098</f>
        <v>0</v>
      </c>
      <c r="L56" s="2">
        <f>+'s1'!W56*0.0098</f>
        <v>0</v>
      </c>
      <c r="M56" s="2">
        <f>+'s1'!X56*0.0098</f>
        <v>0</v>
      </c>
      <c r="N56" s="2">
        <f>+'s1'!Y56*0.0098</f>
        <v>0</v>
      </c>
      <c r="O56" s="2">
        <f>+'s1'!Z56*0.0098</f>
        <v>0</v>
      </c>
      <c r="P56" s="2">
        <f>+'s1'!AA56*0.0098</f>
        <v>0</v>
      </c>
      <c r="Q56" s="2">
        <f>+'s1'!AB56*0.0098</f>
        <v>0</v>
      </c>
      <c r="R56" s="2">
        <f>+'s1'!AC56*0.0098</f>
        <v>0</v>
      </c>
      <c r="S56" s="2">
        <f t="shared" si="2"/>
        <v>240.06</v>
      </c>
      <c r="T56" s="2"/>
    </row>
    <row r="57" spans="1:20" x14ac:dyDescent="0.2">
      <c r="A57" s="1" t="s">
        <v>45</v>
      </c>
      <c r="B57" s="2">
        <f>+'s1'!M57*0.0098</f>
        <v>0</v>
      </c>
      <c r="C57" s="2">
        <f>+'s1'!N57*0.0098</f>
        <v>0</v>
      </c>
      <c r="D57" s="2">
        <f>+'s1'!O57*0.0098</f>
        <v>0</v>
      </c>
      <c r="E57" s="2">
        <f>+'s1'!P57*0.0098</f>
        <v>0</v>
      </c>
      <c r="F57" s="2">
        <f>+'s1'!Q57*0.0098</f>
        <v>904.13</v>
      </c>
      <c r="G57" s="2">
        <f>+'s1'!R57*0.0098</f>
        <v>0</v>
      </c>
      <c r="H57" s="2">
        <f>+'s1'!S57*0.0098</f>
        <v>0</v>
      </c>
      <c r="I57" s="2">
        <f>+'s1'!T57*0.0098</f>
        <v>219.52</v>
      </c>
      <c r="J57" s="2">
        <f>+'s1'!U57*0.0098</f>
        <v>0</v>
      </c>
      <c r="K57" s="2">
        <f>+'s1'!V57*0.0098</f>
        <v>0</v>
      </c>
      <c r="L57" s="2">
        <f>+'s1'!W57*0.0098</f>
        <v>0</v>
      </c>
      <c r="M57" s="2">
        <f>+'s1'!X57*0.0098</f>
        <v>0</v>
      </c>
      <c r="N57" s="2">
        <f>+'s1'!Y57*0.0098</f>
        <v>0</v>
      </c>
      <c r="O57" s="2">
        <f>+'s1'!Z57*0.0098</f>
        <v>0</v>
      </c>
      <c r="P57" s="2">
        <f>+'s1'!AA57*0.0098</f>
        <v>0</v>
      </c>
      <c r="Q57" s="2">
        <f>+'s1'!AB57*0.0098</f>
        <v>0</v>
      </c>
      <c r="R57" s="2">
        <f>+'s1'!AC57*0.0098</f>
        <v>0</v>
      </c>
      <c r="S57" s="2">
        <f t="shared" si="2"/>
        <v>1123.6500000000001</v>
      </c>
      <c r="T57" s="2"/>
    </row>
    <row r="58" spans="1:20" x14ac:dyDescent="0.2">
      <c r="A58" s="18" t="s">
        <v>46</v>
      </c>
      <c r="B58" s="2">
        <f>+'s1'!M58*0.0098</f>
        <v>0</v>
      </c>
      <c r="C58" s="2">
        <f>+'s1'!N58*0.0098</f>
        <v>0</v>
      </c>
      <c r="D58" s="2">
        <f>+'s1'!O58*0.0098</f>
        <v>8034.85</v>
      </c>
      <c r="E58" s="2">
        <f>+'s1'!P58*0.0098</f>
        <v>0</v>
      </c>
      <c r="F58" s="2">
        <f>+'s1'!Q58*0.0098</f>
        <v>470.22</v>
      </c>
      <c r="G58" s="2">
        <f>+'s1'!R58*0.0098</f>
        <v>0</v>
      </c>
      <c r="H58" s="2">
        <f>+'s1'!S58*0.0098</f>
        <v>122.04</v>
      </c>
      <c r="I58" s="2">
        <f>+'s1'!T58*0.0098</f>
        <v>61.25</v>
      </c>
      <c r="J58" s="2">
        <f>+'s1'!U58*0.0098</f>
        <v>397.05</v>
      </c>
      <c r="K58" s="2">
        <f>+'s1'!V58*0.0098</f>
        <v>82.85</v>
      </c>
      <c r="L58" s="2">
        <f>+'s1'!W58*0.0098</f>
        <v>0</v>
      </c>
      <c r="M58" s="2">
        <f>+'s1'!X58*0.0098</f>
        <v>0</v>
      </c>
      <c r="N58" s="2">
        <f>+'s1'!Y58*0.0098</f>
        <v>24.95</v>
      </c>
      <c r="O58" s="2">
        <f>+'s1'!Z58*0.0098</f>
        <v>381.98</v>
      </c>
      <c r="P58" s="2">
        <f>+'s1'!AA58*0.0098</f>
        <v>0</v>
      </c>
      <c r="Q58" s="2">
        <f>+'s1'!AB58*0.0098</f>
        <v>0</v>
      </c>
      <c r="R58" s="2">
        <f>+'s1'!AC58*0.0098</f>
        <v>83.23</v>
      </c>
      <c r="S58" s="2">
        <f t="shared" ref="S58:S77" si="3">SUM(B58:R58)</f>
        <v>9658.42</v>
      </c>
      <c r="T58" s="2"/>
    </row>
    <row r="59" spans="1:20" x14ac:dyDescent="0.2">
      <c r="A59" s="1" t="s">
        <v>775</v>
      </c>
      <c r="B59" s="2">
        <f>+'s1'!M59*0.0098</f>
        <v>0</v>
      </c>
      <c r="C59" s="2">
        <f>+'s1'!N59*0.0098</f>
        <v>0</v>
      </c>
      <c r="D59" s="2">
        <f>+'s1'!O59*0.0098</f>
        <v>0</v>
      </c>
      <c r="E59" s="2">
        <f>+'s1'!P59*0.0098</f>
        <v>0</v>
      </c>
      <c r="F59" s="2">
        <f>+'s1'!Q59*0.0098</f>
        <v>-49.75</v>
      </c>
      <c r="G59" s="2">
        <f>+'s1'!R59*0.0098</f>
        <v>0</v>
      </c>
      <c r="H59" s="2">
        <f>+'s1'!S59*0.0098</f>
        <v>0</v>
      </c>
      <c r="I59" s="2">
        <f>+'s1'!T59*0.0098</f>
        <v>0</v>
      </c>
      <c r="J59" s="2">
        <f>+'s1'!U59*0.0098</f>
        <v>0</v>
      </c>
      <c r="K59" s="2">
        <f>+'s1'!V59*0.0098</f>
        <v>0</v>
      </c>
      <c r="L59" s="2">
        <f>+'s1'!W59*0.0098</f>
        <v>0</v>
      </c>
      <c r="M59" s="2">
        <f>+'s1'!X59*0.0098</f>
        <v>0</v>
      </c>
      <c r="N59" s="2">
        <f>+'s1'!Y59*0.0098</f>
        <v>0</v>
      </c>
      <c r="O59" s="2">
        <f>+'s1'!Z59*0.0098</f>
        <v>0</v>
      </c>
      <c r="P59" s="2">
        <f>+'s1'!AA59*0.0098</f>
        <v>0</v>
      </c>
      <c r="Q59" s="2">
        <f>+'s1'!AB59*0.0098</f>
        <v>0</v>
      </c>
      <c r="R59" s="2">
        <f>+'s1'!AC59*0.0098</f>
        <v>0</v>
      </c>
      <c r="S59" s="2">
        <f>SUM(B59:R59)</f>
        <v>-49.75</v>
      </c>
      <c r="T59" s="2"/>
    </row>
    <row r="60" spans="1:20" x14ac:dyDescent="0.2">
      <c r="A60" s="1" t="s">
        <v>47</v>
      </c>
      <c r="B60" s="2">
        <f>+'s1'!M60*0.0098</f>
        <v>0</v>
      </c>
      <c r="C60" s="2">
        <f>+'s1'!N60*0.0098</f>
        <v>0</v>
      </c>
      <c r="D60" s="2">
        <f>+'s1'!O60*0.0098</f>
        <v>7822.47</v>
      </c>
      <c r="E60" s="2">
        <f>+'s1'!P60*0.0098</f>
        <v>0</v>
      </c>
      <c r="F60" s="2">
        <f>+'s1'!Q60*0.0098</f>
        <v>0</v>
      </c>
      <c r="G60" s="2">
        <f>+'s1'!R60*0.0098</f>
        <v>0</v>
      </c>
      <c r="H60" s="2">
        <f>+'s1'!S60*0.0098</f>
        <v>0</v>
      </c>
      <c r="I60" s="2">
        <f>+'s1'!T60*0.0098</f>
        <v>0</v>
      </c>
      <c r="J60" s="2">
        <f>+'s1'!U60*0.0098</f>
        <v>0</v>
      </c>
      <c r="K60" s="2">
        <f>+'s1'!V60*0.0098</f>
        <v>0</v>
      </c>
      <c r="L60" s="2">
        <f>+'s1'!W60*0.0098</f>
        <v>0</v>
      </c>
      <c r="M60" s="2">
        <f>+'s1'!X60*0.0098</f>
        <v>0</v>
      </c>
      <c r="N60" s="2">
        <f>+'s1'!Y60*0.0098</f>
        <v>980.8</v>
      </c>
      <c r="O60" s="2">
        <f>+'s1'!Z60*0.0098</f>
        <v>0</v>
      </c>
      <c r="P60" s="2">
        <f>+'s1'!AA60*0.0098</f>
        <v>0</v>
      </c>
      <c r="Q60" s="2">
        <f>+'s1'!AB60*0.0098</f>
        <v>0</v>
      </c>
      <c r="R60" s="2">
        <f>+'s1'!AC60*0.0098</f>
        <v>0</v>
      </c>
      <c r="S60" s="2">
        <f t="shared" si="3"/>
        <v>8803.27</v>
      </c>
      <c r="T60" s="2"/>
    </row>
    <row r="61" spans="1:20" x14ac:dyDescent="0.2">
      <c r="A61" s="1" t="s">
        <v>355</v>
      </c>
      <c r="B61" s="2">
        <f>+'s1'!M61*0.0098</f>
        <v>500.3</v>
      </c>
      <c r="C61" s="2">
        <f>+'s1'!N61*0.0098</f>
        <v>0</v>
      </c>
      <c r="D61" s="2">
        <f>+'s1'!O61*0.0098</f>
        <v>3740.71</v>
      </c>
      <c r="E61" s="2">
        <f>+'s1'!P61*0.0098</f>
        <v>0</v>
      </c>
      <c r="F61" s="2">
        <f>+'s1'!Q61*0.0098</f>
        <v>0</v>
      </c>
      <c r="G61" s="2">
        <f>+'s1'!R61*0.0098</f>
        <v>0</v>
      </c>
      <c r="H61" s="2">
        <f>+'s1'!S61*0.0098</f>
        <v>0</v>
      </c>
      <c r="I61" s="2">
        <f>+'s1'!T61*0.0098</f>
        <v>0</v>
      </c>
      <c r="J61" s="2">
        <f>+'s1'!U61*0.0098</f>
        <v>0</v>
      </c>
      <c r="K61" s="2">
        <f>+'s1'!V61*0.0098</f>
        <v>404.41</v>
      </c>
      <c r="L61" s="2">
        <f>+'s1'!W61*0.0098</f>
        <v>0</v>
      </c>
      <c r="M61" s="2">
        <f>+'s1'!X61*0.0098</f>
        <v>0</v>
      </c>
      <c r="N61" s="2">
        <f>+'s1'!Y61*0.0098</f>
        <v>134.75</v>
      </c>
      <c r="O61" s="2">
        <f>+'s1'!Z61*0.0098</f>
        <v>0</v>
      </c>
      <c r="P61" s="2">
        <f>+'s1'!AA61*0.0098</f>
        <v>0</v>
      </c>
      <c r="Q61" s="2">
        <f>+'s1'!AB61*0.0098</f>
        <v>0</v>
      </c>
      <c r="R61" s="2">
        <f>+'s1'!AC61*0.0098</f>
        <v>0</v>
      </c>
      <c r="S61" s="2">
        <f t="shared" si="3"/>
        <v>4780.17</v>
      </c>
      <c r="T61" s="1"/>
    </row>
    <row r="62" spans="1:20" s="20" customFormat="1" x14ac:dyDescent="0.2">
      <c r="A62" s="1" t="s">
        <v>48</v>
      </c>
      <c r="B62" s="2">
        <f>+'s1'!M62*0.0098</f>
        <v>0</v>
      </c>
      <c r="C62" s="2">
        <f>+'s1'!N62*0.0098</f>
        <v>0</v>
      </c>
      <c r="D62" s="2">
        <f>+'s1'!O62*0.0098</f>
        <v>126.41</v>
      </c>
      <c r="E62" s="2">
        <f>+'s1'!P62*0.0098</f>
        <v>0</v>
      </c>
      <c r="F62" s="2">
        <f>+'s1'!Q62*0.0098</f>
        <v>0</v>
      </c>
      <c r="G62" s="2">
        <f>+'s1'!R62*0.0098</f>
        <v>0</v>
      </c>
      <c r="H62" s="2">
        <f>+'s1'!S62*0.0098</f>
        <v>0</v>
      </c>
      <c r="I62" s="2">
        <f>+'s1'!T62*0.0098</f>
        <v>0</v>
      </c>
      <c r="J62" s="2">
        <f>+'s1'!U62*0.0098</f>
        <v>0</v>
      </c>
      <c r="K62" s="2">
        <f>+'s1'!V62*0.0098</f>
        <v>0</v>
      </c>
      <c r="L62" s="2">
        <f>+'s1'!W62*0.0098</f>
        <v>0</v>
      </c>
      <c r="M62" s="2">
        <f>+'s1'!X62*0.0098</f>
        <v>0</v>
      </c>
      <c r="N62" s="2">
        <f>+'s1'!Y62*0.0098</f>
        <v>0</v>
      </c>
      <c r="O62" s="2">
        <f>+'s1'!Z62*0.0098</f>
        <v>0</v>
      </c>
      <c r="P62" s="2">
        <f>+'s1'!AA62*0.0098</f>
        <v>0</v>
      </c>
      <c r="Q62" s="2">
        <f>+'s1'!AB62*0.0098</f>
        <v>0</v>
      </c>
      <c r="R62" s="2">
        <f>+'s1'!AC62*0.0098</f>
        <v>0</v>
      </c>
      <c r="S62" s="78">
        <f t="shared" si="3"/>
        <v>126.41</v>
      </c>
      <c r="T62" s="78"/>
    </row>
    <row r="63" spans="1:20" x14ac:dyDescent="0.2">
      <c r="A63" s="1" t="s">
        <v>347</v>
      </c>
      <c r="B63" s="2">
        <f>+'s1'!M63*0.0098</f>
        <v>515.94000000000005</v>
      </c>
      <c r="C63" s="2">
        <f>+'s1'!N63*0.0098</f>
        <v>190.4</v>
      </c>
      <c r="D63" s="2">
        <f>+'s1'!O63*0.0098</f>
        <v>0</v>
      </c>
      <c r="E63" s="2">
        <f>+'s1'!P63*0.0098</f>
        <v>436.92</v>
      </c>
      <c r="F63" s="2">
        <f>+'s1'!Q63*0.0098</f>
        <v>0</v>
      </c>
      <c r="G63" s="2">
        <f>+'s1'!R63*0.0098</f>
        <v>0</v>
      </c>
      <c r="H63" s="2">
        <f>+'s1'!S63*0.0098</f>
        <v>0</v>
      </c>
      <c r="I63" s="2">
        <f>+'s1'!T63*0.0098</f>
        <v>0</v>
      </c>
      <c r="J63" s="2">
        <f>+'s1'!U63*0.0098</f>
        <v>0</v>
      </c>
      <c r="K63" s="2">
        <f>+'s1'!V63*0.0098</f>
        <v>0</v>
      </c>
      <c r="L63" s="2">
        <f>+'s1'!W63*0.0098</f>
        <v>8.0399999999999991</v>
      </c>
      <c r="M63" s="2">
        <f>+'s1'!X63*0.0098</f>
        <v>0</v>
      </c>
      <c r="N63" s="2">
        <f>+'s1'!Y63*0.0098</f>
        <v>0</v>
      </c>
      <c r="O63" s="2">
        <f>+'s1'!Z63*0.0098</f>
        <v>83.38</v>
      </c>
      <c r="P63" s="2">
        <f>+'s1'!AA63*0.0098</f>
        <v>24.97</v>
      </c>
      <c r="Q63" s="2">
        <f>+'s1'!AB63*0.0098</f>
        <v>312.45999999999998</v>
      </c>
      <c r="R63" s="2">
        <f>+'s1'!AC63*0.0098</f>
        <v>0</v>
      </c>
      <c r="S63" s="2">
        <f t="shared" si="3"/>
        <v>1572.11</v>
      </c>
      <c r="T63" s="1"/>
    </row>
    <row r="64" spans="1:20" s="20" customFormat="1" x14ac:dyDescent="0.2">
      <c r="A64" s="1" t="s">
        <v>49</v>
      </c>
      <c r="B64" s="2">
        <f>+'s1'!M64*0.0098</f>
        <v>300.04000000000002</v>
      </c>
      <c r="C64" s="2">
        <f>+'s1'!N64*0.0098</f>
        <v>0</v>
      </c>
      <c r="D64" s="2">
        <f>+'s1'!O64*0.0098</f>
        <v>1610.96</v>
      </c>
      <c r="E64" s="2">
        <f>+'s1'!P64*0.0098</f>
        <v>0</v>
      </c>
      <c r="F64" s="2">
        <f>+'s1'!Q64*0.0098</f>
        <v>3113.03</v>
      </c>
      <c r="G64" s="2">
        <f>+'s1'!R64*0.0098</f>
        <v>0</v>
      </c>
      <c r="H64" s="2">
        <f>+'s1'!S64*0.0098</f>
        <v>0</v>
      </c>
      <c r="I64" s="2">
        <f>+'s1'!T64*0.0098</f>
        <v>53.94</v>
      </c>
      <c r="J64" s="2">
        <f>+'s1'!U64*0.0098</f>
        <v>0</v>
      </c>
      <c r="K64" s="2">
        <f>+'s1'!V64*0.0098</f>
        <v>0</v>
      </c>
      <c r="L64" s="2">
        <f>+'s1'!W64*0.0098</f>
        <v>935.79</v>
      </c>
      <c r="M64" s="2">
        <f>+'s1'!X64*0.0098</f>
        <v>0</v>
      </c>
      <c r="N64" s="2">
        <f>+'s1'!Y64*0.0098</f>
        <v>0</v>
      </c>
      <c r="O64" s="2">
        <f>+'s1'!Z64*0.0098</f>
        <v>0</v>
      </c>
      <c r="P64" s="2">
        <f>+'s1'!AA64*0.0098</f>
        <v>0</v>
      </c>
      <c r="Q64" s="2">
        <f>+'s1'!AB64*0.0098</f>
        <v>10475.629999999999</v>
      </c>
      <c r="R64" s="2">
        <f>+'s1'!AC64*0.0098</f>
        <v>0</v>
      </c>
      <c r="S64" s="78">
        <f t="shared" si="3"/>
        <v>16489.39</v>
      </c>
      <c r="T64" s="18"/>
    </row>
    <row r="65" spans="1:20" x14ac:dyDescent="0.2">
      <c r="A65" s="1" t="s">
        <v>50</v>
      </c>
      <c r="B65" s="2">
        <f>+'s1'!M65*0.0098</f>
        <v>0</v>
      </c>
      <c r="C65" s="2">
        <f>+'s1'!N65*0.0098</f>
        <v>0</v>
      </c>
      <c r="D65" s="2">
        <f>+'s1'!O65*0.0098</f>
        <v>3090.02</v>
      </c>
      <c r="E65" s="2">
        <f>+'s1'!P65*0.0098</f>
        <v>0</v>
      </c>
      <c r="F65" s="2">
        <f>+'s1'!Q65*0.0098</f>
        <v>0</v>
      </c>
      <c r="G65" s="2">
        <f>+'s1'!R65*0.0098</f>
        <v>0</v>
      </c>
      <c r="H65" s="2">
        <f>+'s1'!S65*0.0098</f>
        <v>0</v>
      </c>
      <c r="I65" s="2">
        <f>+'s1'!T65*0.0098</f>
        <v>0</v>
      </c>
      <c r="J65" s="2">
        <f>+'s1'!U65*0.0098</f>
        <v>0</v>
      </c>
      <c r="K65" s="2">
        <f>+'s1'!V65*0.0098</f>
        <v>278.5</v>
      </c>
      <c r="L65" s="2">
        <f>+'s1'!W65*0.0098</f>
        <v>0</v>
      </c>
      <c r="M65" s="2">
        <f>+'s1'!X65*0.0098</f>
        <v>0</v>
      </c>
      <c r="N65" s="2">
        <f>+'s1'!Y65*0.0098</f>
        <v>0</v>
      </c>
      <c r="O65" s="2">
        <f>+'s1'!Z65*0.0098</f>
        <v>0</v>
      </c>
      <c r="P65" s="2">
        <f>+'s1'!AA65*0.0098</f>
        <v>0</v>
      </c>
      <c r="Q65" s="2">
        <f>+'s1'!AB65*0.0098</f>
        <v>0</v>
      </c>
      <c r="R65" s="2">
        <f>+'s1'!AC65*0.0098</f>
        <v>275.10000000000002</v>
      </c>
      <c r="S65" s="2">
        <f t="shared" si="3"/>
        <v>3643.62</v>
      </c>
      <c r="T65" s="1"/>
    </row>
    <row r="66" spans="1:20" s="20" customFormat="1" x14ac:dyDescent="0.2">
      <c r="A66" s="1" t="s">
        <v>474</v>
      </c>
      <c r="B66" s="2">
        <f>+'s1'!M66*0.0098</f>
        <v>0</v>
      </c>
      <c r="C66" s="2">
        <f>+'s1'!N66*0.0098</f>
        <v>0</v>
      </c>
      <c r="D66" s="2">
        <f>+'s1'!O66*0.0098</f>
        <v>0</v>
      </c>
      <c r="E66" s="2">
        <f>+'s1'!P66*0.0098</f>
        <v>0</v>
      </c>
      <c r="F66" s="2">
        <f>+'s1'!Q66*0.0098</f>
        <v>0</v>
      </c>
      <c r="G66" s="2">
        <f>+'s1'!R66*0.0098</f>
        <v>0</v>
      </c>
      <c r="H66" s="2">
        <f>+'s1'!S66*0.0098</f>
        <v>0</v>
      </c>
      <c r="I66" s="2">
        <f>+'s1'!T66*0.0098</f>
        <v>0</v>
      </c>
      <c r="J66" s="2">
        <f>+'s1'!U66*0.0098</f>
        <v>0</v>
      </c>
      <c r="K66" s="2">
        <f>+'s1'!V66*0.0098</f>
        <v>0</v>
      </c>
      <c r="L66" s="2">
        <f>+'s1'!W66*0.0098</f>
        <v>0</v>
      </c>
      <c r="M66" s="2">
        <f>+'s1'!X66*0.0098</f>
        <v>0</v>
      </c>
      <c r="N66" s="2">
        <f>+'s1'!Y66*0.0098</f>
        <v>0</v>
      </c>
      <c r="O66" s="2">
        <f>+'s1'!Z66*0.0098</f>
        <v>0</v>
      </c>
      <c r="P66" s="2">
        <f>+'s1'!AA66*0.0098</f>
        <v>0</v>
      </c>
      <c r="Q66" s="2">
        <f>+'s1'!AB66*0.0098</f>
        <v>0</v>
      </c>
      <c r="R66" s="2">
        <f>+'s1'!AC66*0.0098</f>
        <v>62.66</v>
      </c>
      <c r="S66" s="78">
        <f t="shared" si="3"/>
        <v>62.66</v>
      </c>
      <c r="T66" s="78"/>
    </row>
    <row r="67" spans="1:20" s="20" customFormat="1" x14ac:dyDescent="0.2">
      <c r="A67" s="1" t="s">
        <v>51</v>
      </c>
      <c r="B67" s="2">
        <f>+'s1'!M67*0.0098</f>
        <v>0</v>
      </c>
      <c r="C67" s="2">
        <f>+'s1'!N67*0.0098</f>
        <v>0</v>
      </c>
      <c r="D67" s="2">
        <f>+'s1'!O67*0.0098</f>
        <v>0</v>
      </c>
      <c r="E67" s="2">
        <f>+'s1'!P67*0.0098</f>
        <v>0</v>
      </c>
      <c r="F67" s="2">
        <f>+'s1'!Q67*0.0098</f>
        <v>0</v>
      </c>
      <c r="G67" s="2">
        <f>+'s1'!R67*0.0098</f>
        <v>0</v>
      </c>
      <c r="H67" s="2">
        <f>+'s1'!S67*0.0098</f>
        <v>0</v>
      </c>
      <c r="I67" s="2">
        <f>+'s1'!T67*0.0098</f>
        <v>0</v>
      </c>
      <c r="J67" s="2">
        <f>+'s1'!U67*0.0098</f>
        <v>0</v>
      </c>
      <c r="K67" s="2">
        <f>+'s1'!V67*0.0098</f>
        <v>0</v>
      </c>
      <c r="L67" s="2">
        <f>+'s1'!W67*0.0098</f>
        <v>8.5399999999999991</v>
      </c>
      <c r="M67" s="2">
        <f>+'s1'!X67*0.0098</f>
        <v>472.22</v>
      </c>
      <c r="N67" s="2">
        <f>+'s1'!Y67*0.0098</f>
        <v>726.24</v>
      </c>
      <c r="O67" s="2">
        <f>+'s1'!Z67*0.0098</f>
        <v>0</v>
      </c>
      <c r="P67" s="2">
        <f>+'s1'!AA67*0.0098</f>
        <v>0</v>
      </c>
      <c r="Q67" s="2">
        <f>+'s1'!AB67*0.0098</f>
        <v>0</v>
      </c>
      <c r="R67" s="2">
        <f>+'s1'!AC67*0.0098</f>
        <v>0</v>
      </c>
      <c r="S67" s="78">
        <f>SUM(B67:R67)</f>
        <v>1207</v>
      </c>
      <c r="T67" s="78"/>
    </row>
    <row r="68" spans="1:20" s="20" customFormat="1" x14ac:dyDescent="0.2">
      <c r="A68" s="1" t="s">
        <v>433</v>
      </c>
      <c r="B68" s="2">
        <f>+'s1'!M68*0.0098</f>
        <v>0</v>
      </c>
      <c r="C68" s="2">
        <f>+'s1'!N68*0.0098</f>
        <v>0</v>
      </c>
      <c r="D68" s="2">
        <f>+'s1'!O68*0.0098</f>
        <v>854.43</v>
      </c>
      <c r="E68" s="2">
        <f>+'s1'!P68*0.0098</f>
        <v>0</v>
      </c>
      <c r="F68" s="2">
        <f>+'s1'!Q68*0.0098</f>
        <v>0</v>
      </c>
      <c r="G68" s="2">
        <f>+'s1'!R68*0.0098</f>
        <v>0</v>
      </c>
      <c r="H68" s="2">
        <f>+'s1'!S68*0.0098</f>
        <v>0</v>
      </c>
      <c r="I68" s="2">
        <f>+'s1'!T68*0.0098</f>
        <v>0</v>
      </c>
      <c r="J68" s="2">
        <f>+'s1'!U68*0.0098</f>
        <v>0</v>
      </c>
      <c r="K68" s="2">
        <f>+'s1'!V68*0.0098</f>
        <v>0</v>
      </c>
      <c r="L68" s="2">
        <f>+'s1'!W68*0.0098</f>
        <v>0</v>
      </c>
      <c r="M68" s="2">
        <f>+'s1'!X68*0.0098</f>
        <v>0</v>
      </c>
      <c r="N68" s="2">
        <f>+'s1'!Y68*0.0098</f>
        <v>0</v>
      </c>
      <c r="O68" s="2">
        <f>+'s1'!Z68*0.0098</f>
        <v>0</v>
      </c>
      <c r="P68" s="2">
        <f>+'s1'!AA68*0.0098</f>
        <v>0</v>
      </c>
      <c r="Q68" s="2">
        <f>+'s1'!AB68*0.0098</f>
        <v>82.7</v>
      </c>
      <c r="R68" s="2">
        <f>+'s1'!AC68*0.0098</f>
        <v>0</v>
      </c>
      <c r="S68" s="78">
        <f t="shared" si="3"/>
        <v>937.13</v>
      </c>
      <c r="T68" s="78"/>
    </row>
    <row r="69" spans="1:20" s="20" customFormat="1" x14ac:dyDescent="0.2">
      <c r="A69" s="1" t="s">
        <v>706</v>
      </c>
      <c r="B69" s="2">
        <f>+'s1'!M69*0.0098</f>
        <v>0</v>
      </c>
      <c r="C69" s="2">
        <f>+'s1'!N69*0.0098</f>
        <v>6.13</v>
      </c>
      <c r="D69" s="2">
        <f>+'s1'!O69*0.0098</f>
        <v>0</v>
      </c>
      <c r="E69" s="2">
        <f>+'s1'!P69*0.0098</f>
        <v>0</v>
      </c>
      <c r="F69" s="2">
        <f>+'s1'!Q69*0.0098</f>
        <v>0</v>
      </c>
      <c r="G69" s="2">
        <f>+'s1'!R69*0.0098</f>
        <v>0</v>
      </c>
      <c r="H69" s="2">
        <f>+'s1'!S69*0.0098</f>
        <v>0</v>
      </c>
      <c r="I69" s="2">
        <f>+'s1'!T69*0.0098</f>
        <v>0</v>
      </c>
      <c r="J69" s="2">
        <f>+'s1'!U69*0.0098</f>
        <v>0</v>
      </c>
      <c r="K69" s="2">
        <f>+'s1'!V69*0.0098</f>
        <v>0</v>
      </c>
      <c r="L69" s="2">
        <f>+'s1'!W69*0.0098</f>
        <v>492.42</v>
      </c>
      <c r="M69" s="2">
        <f>+'s1'!X69*0.0098</f>
        <v>0</v>
      </c>
      <c r="N69" s="2">
        <f>+'s1'!Y69*0.0098</f>
        <v>0</v>
      </c>
      <c r="O69" s="2">
        <f>+'s1'!Z69*0.0098</f>
        <v>0</v>
      </c>
      <c r="P69" s="2">
        <f>+'s1'!AA69*0.0098</f>
        <v>0</v>
      </c>
      <c r="Q69" s="2">
        <f>+'s1'!AB69*0.0098</f>
        <v>0</v>
      </c>
      <c r="R69" s="2">
        <f>+'s1'!AC69*0.0098</f>
        <v>0</v>
      </c>
      <c r="S69" s="78">
        <f t="shared" si="3"/>
        <v>498.55</v>
      </c>
      <c r="T69" s="18"/>
    </row>
    <row r="70" spans="1:20" s="89" customFormat="1" x14ac:dyDescent="0.2">
      <c r="A70" s="18" t="s">
        <v>52</v>
      </c>
      <c r="B70" s="2">
        <f>+'s1'!M70*0.0098</f>
        <v>0</v>
      </c>
      <c r="C70" s="2">
        <f>+'s1'!N70*0.0098</f>
        <v>0</v>
      </c>
      <c r="D70" s="2">
        <f>+'s1'!O70*0.0098</f>
        <v>1008.17</v>
      </c>
      <c r="E70" s="2">
        <f>+'s1'!P70*0.0098</f>
        <v>0</v>
      </c>
      <c r="F70" s="2">
        <f>+'s1'!Q70*0.0098</f>
        <v>2784.74</v>
      </c>
      <c r="G70" s="2">
        <f>+'s1'!R70*0.0098</f>
        <v>0</v>
      </c>
      <c r="H70" s="2">
        <f>+'s1'!S70*0.0098</f>
        <v>0</v>
      </c>
      <c r="I70" s="2">
        <f>+'s1'!T70*0.0098</f>
        <v>2366.1999999999998</v>
      </c>
      <c r="J70" s="2">
        <f>+'s1'!U70*0.0098</f>
        <v>0</v>
      </c>
      <c r="K70" s="2">
        <f>+'s1'!V70*0.0098</f>
        <v>0</v>
      </c>
      <c r="L70" s="2">
        <f>+'s1'!W70*0.0098</f>
        <v>0</v>
      </c>
      <c r="M70" s="2">
        <f>+'s1'!X70*0.0098</f>
        <v>0</v>
      </c>
      <c r="N70" s="2">
        <f>+'s1'!Y70*0.0098</f>
        <v>0</v>
      </c>
      <c r="O70" s="2">
        <f>+'s1'!Z70*0.0098</f>
        <v>0</v>
      </c>
      <c r="P70" s="2">
        <f>+'s1'!AA70*0.0098</f>
        <v>0</v>
      </c>
      <c r="Q70" s="2">
        <f>+'s1'!AB70*0.0098</f>
        <v>0</v>
      </c>
      <c r="R70" s="2">
        <f>+'s1'!AC70*0.0098</f>
        <v>0</v>
      </c>
      <c r="S70" s="78">
        <f>SUM(B70:R70)</f>
        <v>6159.11</v>
      </c>
      <c r="T70" s="10"/>
    </row>
    <row r="71" spans="1:20" s="20" customFormat="1" x14ac:dyDescent="0.2">
      <c r="A71" s="1" t="s">
        <v>729</v>
      </c>
      <c r="B71" s="2">
        <f>+'s1'!M71*0.0098</f>
        <v>0</v>
      </c>
      <c r="C71" s="2">
        <f>+'s1'!N71*0.0098</f>
        <v>0</v>
      </c>
      <c r="D71" s="2">
        <f>+'s1'!O71*0.0098</f>
        <v>0</v>
      </c>
      <c r="E71" s="2">
        <f>+'s1'!P71*0.0098</f>
        <v>2.95</v>
      </c>
      <c r="F71" s="2">
        <f>+'s1'!Q71*0.0098</f>
        <v>0</v>
      </c>
      <c r="G71" s="2">
        <f>+'s1'!R71*0.0098</f>
        <v>0</v>
      </c>
      <c r="H71" s="2">
        <f>+'s1'!S71*0.0098</f>
        <v>0</v>
      </c>
      <c r="I71" s="2">
        <f>+'s1'!T71*0.0098</f>
        <v>0</v>
      </c>
      <c r="J71" s="2">
        <f>+'s1'!U71*0.0098</f>
        <v>0</v>
      </c>
      <c r="K71" s="2">
        <f>+'s1'!V71*0.0098</f>
        <v>0</v>
      </c>
      <c r="L71" s="2">
        <f>+'s1'!W71*0.0098</f>
        <v>0</v>
      </c>
      <c r="M71" s="2">
        <f>+'s1'!X71*0.0098</f>
        <v>0</v>
      </c>
      <c r="N71" s="2">
        <f>+'s1'!Y71*0.0098</f>
        <v>0</v>
      </c>
      <c r="O71" s="2">
        <f>+'s1'!Z71*0.0098</f>
        <v>0</v>
      </c>
      <c r="P71" s="2">
        <f>+'s1'!AA71*0.0098</f>
        <v>0</v>
      </c>
      <c r="Q71" s="2">
        <f>+'s1'!AB71*0.0098</f>
        <v>0</v>
      </c>
      <c r="R71" s="2">
        <f>+'s1'!AC71*0.0098</f>
        <v>0</v>
      </c>
      <c r="S71" s="78">
        <f>SUM(B71:R71)</f>
        <v>2.95</v>
      </c>
      <c r="T71" s="78"/>
    </row>
    <row r="72" spans="1:20" s="20" customFormat="1" x14ac:dyDescent="0.2">
      <c r="A72" s="1" t="s">
        <v>723</v>
      </c>
      <c r="B72" s="2">
        <f>+'s1'!M72*0.0098</f>
        <v>0</v>
      </c>
      <c r="C72" s="2">
        <f>+'s1'!N72*0.0098</f>
        <v>0</v>
      </c>
      <c r="D72" s="2">
        <f>+'s1'!O72*0.0098</f>
        <v>1279.5899999999999</v>
      </c>
      <c r="E72" s="2">
        <f>+'s1'!P72*0.0098</f>
        <v>0</v>
      </c>
      <c r="F72" s="2">
        <f>+'s1'!Q72*0.0098</f>
        <v>0</v>
      </c>
      <c r="G72" s="2">
        <f>+'s1'!R72*0.0098</f>
        <v>0</v>
      </c>
      <c r="H72" s="2">
        <f>+'s1'!S72*0.0098</f>
        <v>0</v>
      </c>
      <c r="I72" s="2">
        <f>+'s1'!T72*0.0098</f>
        <v>0</v>
      </c>
      <c r="J72" s="2">
        <f>+'s1'!U72*0.0098</f>
        <v>0</v>
      </c>
      <c r="K72" s="2">
        <f>+'s1'!V72*0.0098</f>
        <v>0</v>
      </c>
      <c r="L72" s="2">
        <f>+'s1'!W72*0.0098</f>
        <v>0</v>
      </c>
      <c r="M72" s="2">
        <f>+'s1'!X72*0.0098</f>
        <v>0</v>
      </c>
      <c r="N72" s="2">
        <f>+'s1'!Y72*0.0098</f>
        <v>0</v>
      </c>
      <c r="O72" s="2">
        <f>+'s1'!Z72*0.0098</f>
        <v>0</v>
      </c>
      <c r="P72" s="2">
        <f>+'s1'!AA72*0.0098</f>
        <v>0</v>
      </c>
      <c r="Q72" s="2">
        <f>+'s1'!AB72*0.0098</f>
        <v>0</v>
      </c>
      <c r="R72" s="2">
        <f>+'s1'!AC72*0.0098</f>
        <v>0</v>
      </c>
      <c r="S72" s="78">
        <f>SUM(B72:R72)</f>
        <v>1279.5899999999999</v>
      </c>
      <c r="T72" s="78"/>
    </row>
    <row r="73" spans="1:20" s="20" customFormat="1" x14ac:dyDescent="0.2">
      <c r="A73" s="1" t="s">
        <v>727</v>
      </c>
      <c r="B73" s="2">
        <f>+'s1'!M73*0.0098</f>
        <v>0</v>
      </c>
      <c r="C73" s="2">
        <f>+'s1'!N73*0.0098</f>
        <v>0</v>
      </c>
      <c r="D73" s="2">
        <f>+'s1'!O73*0.0098-253.9</f>
        <v>264.49</v>
      </c>
      <c r="E73" s="2">
        <f>+'s1'!P73*0.0098</f>
        <v>0</v>
      </c>
      <c r="F73" s="2">
        <f>+'s1'!Q73*0.0098</f>
        <v>0</v>
      </c>
      <c r="G73" s="2">
        <f>+'s1'!R73*0.0098</f>
        <v>0</v>
      </c>
      <c r="H73" s="2">
        <f>+'s1'!S73*0.0098</f>
        <v>0</v>
      </c>
      <c r="I73" s="2">
        <f>+'s1'!T73*0.0098</f>
        <v>0</v>
      </c>
      <c r="J73" s="2">
        <f>+'s1'!U73*0.0098</f>
        <v>0</v>
      </c>
      <c r="K73" s="2">
        <f>+'s1'!V73*0.0098</f>
        <v>0</v>
      </c>
      <c r="L73" s="2">
        <f>+'s1'!W73*0.0098</f>
        <v>0</v>
      </c>
      <c r="M73" s="2">
        <f>+'s1'!X73*0.0098</f>
        <v>0</v>
      </c>
      <c r="N73" s="2">
        <f>+'s1'!Y73*0.0098</f>
        <v>0</v>
      </c>
      <c r="O73" s="2">
        <f>+'s1'!Z73*0.0098</f>
        <v>0</v>
      </c>
      <c r="P73" s="2">
        <f>+'s1'!AA73*0.0098</f>
        <v>0</v>
      </c>
      <c r="Q73" s="2">
        <f>+'s1'!AB73*0.0098</f>
        <v>0</v>
      </c>
      <c r="R73" s="2">
        <f>+'s1'!AC73*0.0098</f>
        <v>0</v>
      </c>
      <c r="S73" s="78">
        <f>SUM(B73:R73)</f>
        <v>264.49</v>
      </c>
      <c r="T73" s="78"/>
    </row>
    <row r="74" spans="1:20" s="20" customFormat="1" x14ac:dyDescent="0.2">
      <c r="A74" s="1" t="s">
        <v>710</v>
      </c>
      <c r="B74" s="2">
        <f>+'s1'!M74*0.0098</f>
        <v>0</v>
      </c>
      <c r="C74" s="2">
        <f>+'s1'!N74*0.0098</f>
        <v>0</v>
      </c>
      <c r="D74" s="2">
        <f>+'s1'!O74*0.0098</f>
        <v>0</v>
      </c>
      <c r="E74" s="2">
        <f>+'s1'!P74*0.0098</f>
        <v>0</v>
      </c>
      <c r="F74" s="2">
        <f>+'s1'!Q74*0.0098</f>
        <v>0</v>
      </c>
      <c r="G74" s="2">
        <f>+'s1'!R74*0.0098</f>
        <v>0</v>
      </c>
      <c r="H74" s="2">
        <f>+'s1'!S74*0.0098</f>
        <v>0</v>
      </c>
      <c r="I74" s="2">
        <f>+'s1'!T74*0.0098</f>
        <v>0</v>
      </c>
      <c r="J74" s="2">
        <f>+'s1'!U74*0.0098</f>
        <v>0</v>
      </c>
      <c r="K74" s="2">
        <f>+'s1'!V74*0.0098</f>
        <v>0</v>
      </c>
      <c r="L74" s="2">
        <f>+'s1'!W74*0.0098</f>
        <v>1981.26</v>
      </c>
      <c r="M74" s="2">
        <f>+'s1'!X74*0.0098</f>
        <v>0</v>
      </c>
      <c r="N74" s="2">
        <f>+'s1'!Y74*0.0098</f>
        <v>0</v>
      </c>
      <c r="O74" s="2">
        <f>+'s1'!Z74*0.0098</f>
        <v>0</v>
      </c>
      <c r="P74" s="2">
        <f>+'s1'!AA74*0.0098</f>
        <v>0</v>
      </c>
      <c r="Q74" s="2">
        <f>+'s1'!AB74*0.0098</f>
        <v>0</v>
      </c>
      <c r="R74" s="2">
        <f>+'s1'!AC74*0.0098</f>
        <v>0</v>
      </c>
      <c r="S74" s="78">
        <f>SUM(B74:R74)</f>
        <v>1981.26</v>
      </c>
      <c r="T74" s="18"/>
    </row>
    <row r="75" spans="1:20" s="20" customFormat="1" x14ac:dyDescent="0.2">
      <c r="A75" s="1" t="s">
        <v>53</v>
      </c>
      <c r="B75" s="2">
        <f>+'s1'!M75*0.0098</f>
        <v>0</v>
      </c>
      <c r="C75" s="2">
        <f>+'s1'!N75*0.0098</f>
        <v>0</v>
      </c>
      <c r="D75" s="2">
        <f>+'s1'!O75*0.0098</f>
        <v>0</v>
      </c>
      <c r="E75" s="2">
        <f>+'s1'!P75*0.0098</f>
        <v>112.16</v>
      </c>
      <c r="F75" s="2">
        <f>+'s1'!Q75*0.0098</f>
        <v>0</v>
      </c>
      <c r="G75" s="2">
        <f>+'s1'!R75*0.0098</f>
        <v>0</v>
      </c>
      <c r="H75" s="2">
        <f>+'s1'!S75*0.0098</f>
        <v>0</v>
      </c>
      <c r="I75" s="2">
        <f>+'s1'!T75*0.0098</f>
        <v>0</v>
      </c>
      <c r="J75" s="2">
        <f>+'s1'!U75*0.0098</f>
        <v>0</v>
      </c>
      <c r="K75" s="2">
        <f>+'s1'!V75*0.0098</f>
        <v>0</v>
      </c>
      <c r="L75" s="2">
        <f>+'s1'!W75*0.0098</f>
        <v>11.52</v>
      </c>
      <c r="M75" s="2">
        <f>+'s1'!X75*0.0098</f>
        <v>0</v>
      </c>
      <c r="N75" s="2">
        <f>+'s1'!Y75*0.0098</f>
        <v>0</v>
      </c>
      <c r="O75" s="2">
        <f>+'s1'!Z75*0.0098</f>
        <v>0</v>
      </c>
      <c r="P75" s="2">
        <f>+'s1'!AA75*0.0098</f>
        <v>0</v>
      </c>
      <c r="Q75" s="2">
        <f>+'s1'!AB75*0.0098</f>
        <v>0</v>
      </c>
      <c r="R75" s="2">
        <f>+'s1'!AC75*0.0098</f>
        <v>0</v>
      </c>
      <c r="S75" s="78">
        <f t="shared" si="3"/>
        <v>123.68</v>
      </c>
      <c r="T75" s="18"/>
    </row>
    <row r="76" spans="1:20" x14ac:dyDescent="0.2">
      <c r="A76" s="1" t="s">
        <v>54</v>
      </c>
      <c r="B76" s="2">
        <f>+'s1'!M76*0.0098</f>
        <v>0</v>
      </c>
      <c r="C76" s="2">
        <f>+'s1'!N76*0.0098</f>
        <v>0</v>
      </c>
      <c r="D76" s="2">
        <f>+'s1'!O76*0.0098</f>
        <v>0</v>
      </c>
      <c r="E76" s="2">
        <f>+'s1'!P76*0.0098</f>
        <v>534.22</v>
      </c>
      <c r="F76" s="2">
        <f>+'s1'!Q76*0.0098</f>
        <v>0</v>
      </c>
      <c r="G76" s="2">
        <f>+'s1'!R76*0.0098</f>
        <v>0</v>
      </c>
      <c r="H76" s="2">
        <f>+'s1'!S76*0.0098</f>
        <v>0</v>
      </c>
      <c r="I76" s="2">
        <f>+'s1'!T76*0.0098</f>
        <v>0</v>
      </c>
      <c r="J76" s="2">
        <f>+'s1'!U76*0.0098</f>
        <v>0</v>
      </c>
      <c r="K76" s="2">
        <f>+'s1'!V76*0.0098</f>
        <v>0</v>
      </c>
      <c r="L76" s="2">
        <f>+'s1'!W76*0.0098</f>
        <v>0</v>
      </c>
      <c r="M76" s="2">
        <f>+'s1'!X76*0.0098</f>
        <v>0</v>
      </c>
      <c r="N76" s="2">
        <f>+'s1'!Y76*0.0098</f>
        <v>0</v>
      </c>
      <c r="O76" s="2">
        <f>+'s1'!Z76*0.0098</f>
        <v>0</v>
      </c>
      <c r="P76" s="2">
        <f>+'s1'!AA76*0.0098</f>
        <v>0</v>
      </c>
      <c r="Q76" s="2">
        <f>+'s1'!AB76*0.0098</f>
        <v>487.8</v>
      </c>
      <c r="R76" s="2">
        <f>+'s1'!AC76*0.0098</f>
        <v>0</v>
      </c>
      <c r="S76" s="2">
        <f t="shared" si="3"/>
        <v>1022.02</v>
      </c>
      <c r="T76" s="2"/>
    </row>
    <row r="77" spans="1:20" x14ac:dyDescent="0.2">
      <c r="A77" s="1" t="s">
        <v>608</v>
      </c>
      <c r="B77" s="2">
        <f>+'s1'!M77*0.0098</f>
        <v>0</v>
      </c>
      <c r="C77" s="2">
        <f>+'s1'!N77*0.0098</f>
        <v>0</v>
      </c>
      <c r="D77" s="2">
        <f>+'s1'!O77*0.0098</f>
        <v>0</v>
      </c>
      <c r="E77" s="2">
        <f>+'s1'!P77*0.0098</f>
        <v>0</v>
      </c>
      <c r="F77" s="2">
        <f>+'s1'!Q77*0.0098</f>
        <v>0</v>
      </c>
      <c r="G77" s="2">
        <f>+'s1'!R77*0.0098</f>
        <v>0</v>
      </c>
      <c r="H77" s="2">
        <f>+'s1'!S77*0.0098</f>
        <v>0</v>
      </c>
      <c r="I77" s="2">
        <f>+'s1'!T77*0.0098</f>
        <v>0</v>
      </c>
      <c r="J77" s="2">
        <f>+'s1'!U77*0.0098</f>
        <v>0</v>
      </c>
      <c r="K77" s="2">
        <f>+'s1'!V77*0.0098</f>
        <v>0</v>
      </c>
      <c r="L77" s="2">
        <f>+'s1'!W77*0.0098</f>
        <v>0</v>
      </c>
      <c r="M77" s="2">
        <f>+'s1'!X77*0.0098</f>
        <v>0</v>
      </c>
      <c r="N77" s="2">
        <f>+'s1'!Y77*0.0098</f>
        <v>0</v>
      </c>
      <c r="O77" s="2">
        <f>+'s1'!Z77*0.0098</f>
        <v>0</v>
      </c>
      <c r="P77" s="2">
        <f>+'s1'!AA77*0.0098</f>
        <v>4.9000000000000004</v>
      </c>
      <c r="Q77" s="2">
        <f>+'s1'!AB77*0.0098</f>
        <v>0</v>
      </c>
      <c r="R77" s="2">
        <f>+'s1'!AC77*0.0098</f>
        <v>0</v>
      </c>
      <c r="S77" s="2">
        <f t="shared" si="3"/>
        <v>4.9000000000000004</v>
      </c>
      <c r="T77" s="1"/>
    </row>
    <row r="78" spans="1:20" x14ac:dyDescent="0.2">
      <c r="A78" s="1" t="s">
        <v>55</v>
      </c>
      <c r="B78" s="2">
        <f>+'s1'!M78*0.0098</f>
        <v>0</v>
      </c>
      <c r="C78" s="2">
        <f>+'s1'!N78*0.0098</f>
        <v>0</v>
      </c>
      <c r="D78" s="2">
        <f>+'s1'!O78*0.0098</f>
        <v>0</v>
      </c>
      <c r="E78" s="2">
        <f>+'s1'!P78*0.0098</f>
        <v>0</v>
      </c>
      <c r="F78" s="2">
        <f>+'s1'!Q78*0.0098</f>
        <v>0</v>
      </c>
      <c r="G78" s="2">
        <f>+'s1'!R78*0.0098</f>
        <v>0</v>
      </c>
      <c r="H78" s="2">
        <f>+'s1'!S78*0.0098</f>
        <v>11.86</v>
      </c>
      <c r="I78" s="2">
        <f>+'s1'!T78*0.0098</f>
        <v>0</v>
      </c>
      <c r="J78" s="2">
        <f>+'s1'!U78*0.0098</f>
        <v>0</v>
      </c>
      <c r="K78" s="2">
        <f>+'s1'!V78*0.0098</f>
        <v>0</v>
      </c>
      <c r="L78" s="2">
        <f>+'s1'!W78*0.0098</f>
        <v>0</v>
      </c>
      <c r="M78" s="2">
        <f>+'s1'!X78*0.0098</f>
        <v>0</v>
      </c>
      <c r="N78" s="2">
        <f>+'s1'!Y78*0.0098</f>
        <v>0</v>
      </c>
      <c r="O78" s="2">
        <f>+'s1'!Z78*0.0098</f>
        <v>0</v>
      </c>
      <c r="P78" s="2">
        <f>+'s1'!AA78*0.0098</f>
        <v>0</v>
      </c>
      <c r="Q78" s="2">
        <f>+'s1'!AB78*0.0098</f>
        <v>0</v>
      </c>
      <c r="R78" s="2">
        <f>+'s1'!AC78*0.0098</f>
        <v>408.99</v>
      </c>
      <c r="S78" s="2">
        <f t="shared" ref="S78:S91" si="4">SUM(B78:R78)</f>
        <v>420.85</v>
      </c>
      <c r="T78" s="1"/>
    </row>
    <row r="79" spans="1:20" x14ac:dyDescent="0.2">
      <c r="A79" s="1" t="s">
        <v>215</v>
      </c>
      <c r="B79" s="2">
        <f>+'s1'!M79*0.0098</f>
        <v>0</v>
      </c>
      <c r="C79" s="2">
        <f>+'s1'!N79*0.0098</f>
        <v>0</v>
      </c>
      <c r="D79" s="2">
        <f>+'s1'!O79*0.0098</f>
        <v>0.68</v>
      </c>
      <c r="E79" s="2">
        <f>+'s1'!P79*0.0098</f>
        <v>0</v>
      </c>
      <c r="F79" s="2">
        <f>+'s1'!Q79*0.0098</f>
        <v>0</v>
      </c>
      <c r="G79" s="2">
        <f>+'s1'!R79*0.0098</f>
        <v>0</v>
      </c>
      <c r="H79" s="2">
        <f>+'s1'!S79*0.0098</f>
        <v>0</v>
      </c>
      <c r="I79" s="2">
        <f>+'s1'!T79*0.0098</f>
        <v>0</v>
      </c>
      <c r="J79" s="2">
        <f>+'s1'!U79*0.0098</f>
        <v>0</v>
      </c>
      <c r="K79" s="2">
        <f>+'s1'!V79*0.0098</f>
        <v>0</v>
      </c>
      <c r="L79" s="2">
        <f>+'s1'!W79*0.0098</f>
        <v>0</v>
      </c>
      <c r="M79" s="2">
        <f>+'s1'!X79*0.0098</f>
        <v>0</v>
      </c>
      <c r="N79" s="2">
        <f>+'s1'!Y79*0.0098</f>
        <v>0</v>
      </c>
      <c r="O79" s="2">
        <f>+'s1'!Z79*0.0098</f>
        <v>0</v>
      </c>
      <c r="P79" s="2">
        <f>+'s1'!AA79*0.0098</f>
        <v>0</v>
      </c>
      <c r="Q79" s="2">
        <f>+'s1'!AB79*0.0098</f>
        <v>0</v>
      </c>
      <c r="R79" s="2">
        <f>+'s1'!AC79*0.0098</f>
        <v>0</v>
      </c>
      <c r="S79" s="2">
        <f>SUM(B79:R79)</f>
        <v>0.68</v>
      </c>
      <c r="T79" s="2"/>
    </row>
    <row r="80" spans="1:20" x14ac:dyDescent="0.2">
      <c r="A80" s="18" t="s">
        <v>56</v>
      </c>
      <c r="B80" s="2">
        <f>+'s1'!M80*0.0098</f>
        <v>0</v>
      </c>
      <c r="C80" s="2">
        <f>+'s1'!N80*0.0098</f>
        <v>0</v>
      </c>
      <c r="D80" s="2">
        <f>+'s1'!O80*0.0098</f>
        <v>0</v>
      </c>
      <c r="E80" s="2">
        <f>+'s1'!P80*0.0098</f>
        <v>0</v>
      </c>
      <c r="F80" s="2">
        <f>+'s1'!Q80*0.0098</f>
        <v>0</v>
      </c>
      <c r="G80" s="2">
        <f>+'s1'!R80*0.0098</f>
        <v>0</v>
      </c>
      <c r="H80" s="2">
        <f>+'s1'!S80*0.0098</f>
        <v>0</v>
      </c>
      <c r="I80" s="2">
        <f>+'s1'!T80*0.0098</f>
        <v>0</v>
      </c>
      <c r="J80" s="2">
        <f>+'s1'!U80*0.0098</f>
        <v>0</v>
      </c>
      <c r="K80" s="2">
        <f>+'s1'!V80*0.0098</f>
        <v>0</v>
      </c>
      <c r="L80" s="2">
        <f>+'s1'!W80*0.0098</f>
        <v>0</v>
      </c>
      <c r="M80" s="2">
        <f>+'s1'!X80*0.0098</f>
        <v>0</v>
      </c>
      <c r="N80" s="2">
        <f>+'s1'!Y80*0.0098</f>
        <v>0</v>
      </c>
      <c r="O80" s="2">
        <f>+'s1'!Z80*0.0098</f>
        <v>0</v>
      </c>
      <c r="P80" s="2">
        <f>+'s1'!AA80*0.0098</f>
        <v>17.809999999999999</v>
      </c>
      <c r="Q80" s="2">
        <f>+'s1'!AB80*0.0098</f>
        <v>429.64</v>
      </c>
      <c r="R80" s="2">
        <f>+'s1'!AC80*0.0098</f>
        <v>0</v>
      </c>
      <c r="S80" s="2">
        <f t="shared" si="4"/>
        <v>447.45</v>
      </c>
      <c r="T80" s="2"/>
    </row>
    <row r="81" spans="1:20" x14ac:dyDescent="0.2">
      <c r="A81" s="1" t="s">
        <v>434</v>
      </c>
      <c r="B81" s="2">
        <f>+'s1'!M81*0.0098</f>
        <v>0</v>
      </c>
      <c r="C81" s="2">
        <f>+'s1'!N81*0.0098</f>
        <v>0</v>
      </c>
      <c r="D81" s="2">
        <f>+'s1'!O81*0.0098</f>
        <v>1372.43</v>
      </c>
      <c r="E81" s="2">
        <f>+'s1'!P81*0.0098</f>
        <v>0</v>
      </c>
      <c r="F81" s="2">
        <f>+'s1'!Q81*0.0098</f>
        <v>0</v>
      </c>
      <c r="G81" s="2">
        <f>+'s1'!R81*0.0098</f>
        <v>0</v>
      </c>
      <c r="H81" s="2">
        <f>+'s1'!S81*0.0098</f>
        <v>0</v>
      </c>
      <c r="I81" s="2">
        <f>+'s1'!T81*0.0098</f>
        <v>0</v>
      </c>
      <c r="J81" s="2">
        <f>+'s1'!U81*0.0098</f>
        <v>0</v>
      </c>
      <c r="K81" s="2">
        <f>+'s1'!V81*0.0098</f>
        <v>0</v>
      </c>
      <c r="L81" s="2">
        <f>+'s1'!W81*0.0098</f>
        <v>0</v>
      </c>
      <c r="M81" s="2">
        <f>+'s1'!X81*0.0098</f>
        <v>0</v>
      </c>
      <c r="N81" s="2">
        <f>+'s1'!Y81*0.0098</f>
        <v>0</v>
      </c>
      <c r="O81" s="2">
        <f>+'s1'!Z81*0.0098</f>
        <v>0</v>
      </c>
      <c r="P81" s="2">
        <f>+'s1'!AA81*0.0098</f>
        <v>0</v>
      </c>
      <c r="Q81" s="2">
        <f>+'s1'!AB81*0.0098</f>
        <v>1406.86</v>
      </c>
      <c r="R81" s="2">
        <f>+'s1'!AC81*0.0098</f>
        <v>0</v>
      </c>
      <c r="S81" s="2">
        <f t="shared" si="4"/>
        <v>2779.29</v>
      </c>
      <c r="T81" s="1"/>
    </row>
    <row r="82" spans="1:20" s="89" customFormat="1" ht="12" customHeight="1" x14ac:dyDescent="0.2">
      <c r="A82" s="18" t="s">
        <v>787</v>
      </c>
      <c r="B82" s="2">
        <f>+'s1'!M82*0.0098</f>
        <v>0</v>
      </c>
      <c r="C82" s="2">
        <f>+'s1'!N82*0.0098</f>
        <v>0</v>
      </c>
      <c r="D82" s="2">
        <f>+'s1'!O82*0.0098</f>
        <v>16070.07</v>
      </c>
      <c r="E82" s="2">
        <f>+'s1'!P82*0.0098</f>
        <v>0</v>
      </c>
      <c r="F82" s="2">
        <f>+'s1'!Q82*0.0098</f>
        <v>0</v>
      </c>
      <c r="G82" s="2">
        <f>+'s1'!R82*0.0098</f>
        <v>0</v>
      </c>
      <c r="H82" s="2">
        <f>+'s1'!S82*0.0098</f>
        <v>0</v>
      </c>
      <c r="I82" s="2">
        <f>+'s1'!T82*0.0098</f>
        <v>0</v>
      </c>
      <c r="J82" s="2">
        <f>+'s1'!U82*0.0098</f>
        <v>0</v>
      </c>
      <c r="K82" s="2">
        <f>+'s1'!V82*0.0098</f>
        <v>120.79</v>
      </c>
      <c r="L82" s="2">
        <f>+'s1'!W82*0.0098</f>
        <v>0</v>
      </c>
      <c r="M82" s="2">
        <f>+'s1'!X82*0.0098</f>
        <v>0</v>
      </c>
      <c r="N82" s="2">
        <f>+'s1'!Y82*0.0098</f>
        <v>1439.18</v>
      </c>
      <c r="O82" s="2">
        <f>+'s1'!Z82*0.0098</f>
        <v>0</v>
      </c>
      <c r="P82" s="2">
        <f>+'s1'!AA82*0.0098</f>
        <v>0</v>
      </c>
      <c r="Q82" s="2">
        <f>+'s1'!AB82*0.0098</f>
        <v>0</v>
      </c>
      <c r="R82" s="2">
        <f>+'s1'!AC82*0.0098</f>
        <v>0</v>
      </c>
      <c r="S82" s="78">
        <f>SUM(B82:R82)</f>
        <v>17630.04</v>
      </c>
      <c r="T82" s="10"/>
    </row>
    <row r="83" spans="1:20" s="20" customFormat="1" x14ac:dyDescent="0.2">
      <c r="A83" s="1" t="s">
        <v>57</v>
      </c>
      <c r="B83" s="2">
        <f>+'s1'!M83*0.0098</f>
        <v>0</v>
      </c>
      <c r="C83" s="2">
        <f>+'s1'!N83*0.0098</f>
        <v>0</v>
      </c>
      <c r="D83" s="2">
        <f>+'s1'!O83*0.0098</f>
        <v>13752.13</v>
      </c>
      <c r="E83" s="2">
        <f>+'s1'!P83*0.0098</f>
        <v>0</v>
      </c>
      <c r="F83" s="2">
        <f>+'s1'!Q83*0.0098</f>
        <v>0</v>
      </c>
      <c r="G83" s="2">
        <f>+'s1'!R83*0.0098</f>
        <v>0</v>
      </c>
      <c r="H83" s="2">
        <f>+'s1'!S83*0.0098</f>
        <v>0</v>
      </c>
      <c r="I83" s="2">
        <f>+'s1'!T83*0.0098</f>
        <v>0</v>
      </c>
      <c r="J83" s="2">
        <f>+'s1'!U83*0.0098</f>
        <v>0</v>
      </c>
      <c r="K83" s="2">
        <f>+'s1'!V83*0.0098</f>
        <v>0</v>
      </c>
      <c r="L83" s="2">
        <f>+'s1'!W83*0.0098</f>
        <v>0</v>
      </c>
      <c r="M83" s="2">
        <f>+'s1'!X83*0.0098</f>
        <v>0</v>
      </c>
      <c r="N83" s="2">
        <f>+'s1'!Y83*0.0098</f>
        <v>0</v>
      </c>
      <c r="O83" s="2">
        <f>+'s1'!Z83*0.0098</f>
        <v>0</v>
      </c>
      <c r="P83" s="2">
        <f>+'s1'!AA83*0.0098</f>
        <v>0</v>
      </c>
      <c r="Q83" s="2">
        <f>+'s1'!AB83*0.0098</f>
        <v>0</v>
      </c>
      <c r="R83" s="2">
        <f>+'s1'!AC83*0.0098</f>
        <v>0</v>
      </c>
      <c r="S83" s="78">
        <f t="shared" si="4"/>
        <v>13752.13</v>
      </c>
      <c r="T83" s="78"/>
    </row>
    <row r="84" spans="1:20" s="20" customFormat="1" x14ac:dyDescent="0.2">
      <c r="A84" s="1" t="s">
        <v>435</v>
      </c>
      <c r="B84" s="2">
        <f>+'s1'!M84*0.0098</f>
        <v>0</v>
      </c>
      <c r="C84" s="2">
        <f>+'s1'!N84*0.0098</f>
        <v>0</v>
      </c>
      <c r="D84" s="2">
        <f>+'s1'!O84*0.0098</f>
        <v>2001.25</v>
      </c>
      <c r="E84" s="2">
        <f>+'s1'!P84*0.0098</f>
        <v>0</v>
      </c>
      <c r="F84" s="2">
        <f>+'s1'!Q84*0.0098</f>
        <v>3024.98</v>
      </c>
      <c r="G84" s="2">
        <f>+'s1'!R84*0.0098</f>
        <v>0</v>
      </c>
      <c r="H84" s="2">
        <f>+'s1'!S84*0.0098</f>
        <v>0</v>
      </c>
      <c r="I84" s="2">
        <f>+'s1'!T84*0.0098</f>
        <v>0</v>
      </c>
      <c r="J84" s="2">
        <f>+'s1'!U84*0.0098</f>
        <v>0</v>
      </c>
      <c r="K84" s="2">
        <f>+'s1'!V84*0.0098</f>
        <v>0</v>
      </c>
      <c r="L84" s="2">
        <f>+'s1'!W84*0.0098</f>
        <v>2509.42</v>
      </c>
      <c r="M84" s="2">
        <f>+'s1'!X84*0.0098</f>
        <v>0</v>
      </c>
      <c r="N84" s="2">
        <f>+'s1'!Y84*0.0098</f>
        <v>0</v>
      </c>
      <c r="O84" s="2">
        <f>+'s1'!Z84*0.0098</f>
        <v>0</v>
      </c>
      <c r="P84" s="2">
        <f>+'s1'!AA84*0.0098</f>
        <v>0</v>
      </c>
      <c r="Q84" s="2">
        <f>+'s1'!AB84*0.0098</f>
        <v>0</v>
      </c>
      <c r="R84" s="2">
        <f>+'s1'!AC84*0.0098</f>
        <v>0</v>
      </c>
      <c r="S84" s="78">
        <f t="shared" si="4"/>
        <v>7535.65</v>
      </c>
      <c r="T84" s="78"/>
    </row>
    <row r="85" spans="1:20" x14ac:dyDescent="0.2">
      <c r="A85" s="1" t="s">
        <v>436</v>
      </c>
      <c r="B85" s="2">
        <f>+'s1'!M85*0.0098</f>
        <v>955.59</v>
      </c>
      <c r="C85" s="2">
        <f>+'s1'!N85*0.0098</f>
        <v>0</v>
      </c>
      <c r="D85" s="2">
        <f>+'s1'!O85*0.0098</f>
        <v>114.01</v>
      </c>
      <c r="E85" s="2">
        <f>+'s1'!P85*0.0098</f>
        <v>0</v>
      </c>
      <c r="F85" s="2">
        <f>+'s1'!Q85*0.0098</f>
        <v>0</v>
      </c>
      <c r="G85" s="2">
        <f>+'s1'!R85*0.0098</f>
        <v>0</v>
      </c>
      <c r="H85" s="2">
        <f>+'s1'!S85*0.0098</f>
        <v>0</v>
      </c>
      <c r="I85" s="2">
        <f>+'s1'!T85*0.0098</f>
        <v>0</v>
      </c>
      <c r="J85" s="2">
        <f>+'s1'!U85*0.0098</f>
        <v>0</v>
      </c>
      <c r="K85" s="2">
        <f>+'s1'!V85*0.0098</f>
        <v>0</v>
      </c>
      <c r="L85" s="2">
        <f>+'s1'!W85*0.0098</f>
        <v>0</v>
      </c>
      <c r="M85" s="2">
        <f>+'s1'!X85*0.0098</f>
        <v>0</v>
      </c>
      <c r="N85" s="2">
        <f>+'s1'!Y85*0.0098</f>
        <v>0</v>
      </c>
      <c r="O85" s="2">
        <f>+'s1'!Z85*0.0098</f>
        <v>0</v>
      </c>
      <c r="P85" s="2">
        <f>+'s1'!AA85*0.0098</f>
        <v>0</v>
      </c>
      <c r="Q85" s="2">
        <f>+'s1'!AB85*0.0098</f>
        <v>1140.43</v>
      </c>
      <c r="R85" s="2">
        <f>+'s1'!AC85*0.0098</f>
        <v>0</v>
      </c>
      <c r="S85" s="2">
        <f t="shared" si="4"/>
        <v>2210.0300000000002</v>
      </c>
      <c r="T85" s="2"/>
    </row>
    <row r="86" spans="1:20" x14ac:dyDescent="0.2">
      <c r="A86" s="1" t="s">
        <v>348</v>
      </c>
      <c r="B86" s="2">
        <f>+'s1'!M86*0.0098</f>
        <v>0</v>
      </c>
      <c r="C86" s="2">
        <f>+'s1'!N86*0.0098</f>
        <v>0</v>
      </c>
      <c r="D86" s="2">
        <f>+'s1'!O86*0.0098</f>
        <v>2817.81</v>
      </c>
      <c r="E86" s="2">
        <f>+'s1'!P86*0.0098</f>
        <v>0</v>
      </c>
      <c r="F86" s="2">
        <f>+'s1'!Q86*0.0098</f>
        <v>0</v>
      </c>
      <c r="G86" s="2">
        <f>+'s1'!R86*0.0098</f>
        <v>0</v>
      </c>
      <c r="H86" s="2">
        <f>+'s1'!S86*0.0098</f>
        <v>0</v>
      </c>
      <c r="I86" s="2">
        <f>+'s1'!T86*0.0098</f>
        <v>0</v>
      </c>
      <c r="J86" s="2">
        <f>+'s1'!U86*0.0098</f>
        <v>0</v>
      </c>
      <c r="K86" s="2">
        <f>+'s1'!V86*0.0098</f>
        <v>0</v>
      </c>
      <c r="L86" s="2">
        <f>+'s1'!W86*0.0098</f>
        <v>0</v>
      </c>
      <c r="M86" s="2">
        <f>+'s1'!X86*0.0098</f>
        <v>0</v>
      </c>
      <c r="N86" s="2">
        <f>+'s1'!Y86*0.0098</f>
        <v>749.83</v>
      </c>
      <c r="O86" s="2">
        <f>+'s1'!Z86*0.0098</f>
        <v>0</v>
      </c>
      <c r="P86" s="2">
        <f>+'s1'!AA86*0.0098</f>
        <v>0</v>
      </c>
      <c r="Q86" s="2">
        <f>+'s1'!AB86*0.0098</f>
        <v>0</v>
      </c>
      <c r="R86" s="2">
        <f>+'s1'!AC86*0.0098</f>
        <v>0</v>
      </c>
      <c r="S86" s="2">
        <f>SUM(B86:R86)</f>
        <v>3567.64</v>
      </c>
      <c r="T86" s="2"/>
    </row>
    <row r="87" spans="1:20" s="20" customFormat="1" x14ac:dyDescent="0.2">
      <c r="A87" s="1" t="s">
        <v>609</v>
      </c>
      <c r="B87" s="2">
        <f>+'s1'!M87*0.0098</f>
        <v>0</v>
      </c>
      <c r="C87" s="2">
        <f>+'s1'!N87*0.0098</f>
        <v>0</v>
      </c>
      <c r="D87" s="2">
        <f>+'s1'!O87*0.0098</f>
        <v>0</v>
      </c>
      <c r="E87" s="2">
        <f>+'s1'!P87*0.0098</f>
        <v>0</v>
      </c>
      <c r="F87" s="2">
        <f>+'s1'!Q87*0.0098</f>
        <v>0</v>
      </c>
      <c r="G87" s="2">
        <f>+'s1'!R87*0.0098</f>
        <v>0</v>
      </c>
      <c r="H87" s="2">
        <f>+'s1'!S87*0.0098</f>
        <v>0</v>
      </c>
      <c r="I87" s="2">
        <f>+'s1'!T87*0.0098</f>
        <v>0</v>
      </c>
      <c r="J87" s="2">
        <f>+'s1'!U87*0.0098</f>
        <v>0</v>
      </c>
      <c r="K87" s="2">
        <f>+'s1'!V87*0.0098</f>
        <v>0</v>
      </c>
      <c r="L87" s="2">
        <f>+'s1'!W87*0.0098</f>
        <v>0</v>
      </c>
      <c r="M87" s="2">
        <f>+'s1'!X87*0.0098</f>
        <v>0</v>
      </c>
      <c r="N87" s="2">
        <f>+'s1'!Y87*0.0098</f>
        <v>0</v>
      </c>
      <c r="O87" s="2">
        <f>+'s1'!Z87*0.0098</f>
        <v>0</v>
      </c>
      <c r="P87" s="2">
        <f>+'s1'!AA87*0.0098</f>
        <v>0</v>
      </c>
      <c r="Q87" s="2">
        <f>+'s1'!AB87*0.0098-62.13</f>
        <v>128.25</v>
      </c>
      <c r="R87" s="2">
        <f>+'s1'!AC87*0.0098</f>
        <v>0</v>
      </c>
      <c r="S87" s="78">
        <f>SUM(B87:R87)</f>
        <v>128.25</v>
      </c>
      <c r="T87" s="78"/>
    </row>
    <row r="88" spans="1:20" s="20" customFormat="1" x14ac:dyDescent="0.2">
      <c r="A88" s="18" t="s">
        <v>437</v>
      </c>
      <c r="B88" s="2">
        <f>+'s1'!M88*0.0098</f>
        <v>2050.9299999999998</v>
      </c>
      <c r="C88" s="2">
        <f>+'s1'!N88*0.0098</f>
        <v>0</v>
      </c>
      <c r="D88" s="2">
        <f>+'s1'!O88*0.0098</f>
        <v>0</v>
      </c>
      <c r="E88" s="2">
        <f>+'s1'!P88*0.0098</f>
        <v>0</v>
      </c>
      <c r="F88" s="2">
        <f>+'s1'!Q88*0.0098</f>
        <v>0</v>
      </c>
      <c r="G88" s="2">
        <f>+'s1'!R88*0.0098</f>
        <v>0</v>
      </c>
      <c r="H88" s="2">
        <f>+'s1'!S88*0.0098</f>
        <v>0</v>
      </c>
      <c r="I88" s="2">
        <f>+'s1'!T88*0.0098</f>
        <v>0</v>
      </c>
      <c r="J88" s="2">
        <f>+'s1'!U88*0.0098</f>
        <v>0</v>
      </c>
      <c r="K88" s="2">
        <f>+'s1'!V88*0.0098</f>
        <v>0</v>
      </c>
      <c r="L88" s="2">
        <f>+'s1'!W88*0.0098</f>
        <v>0</v>
      </c>
      <c r="M88" s="2">
        <f>+'s1'!X88*0.0098</f>
        <v>0</v>
      </c>
      <c r="N88" s="2">
        <f>+'s1'!Y88*0.0098</f>
        <v>0</v>
      </c>
      <c r="O88" s="2">
        <f>+'s1'!Z88*0.0098</f>
        <v>0</v>
      </c>
      <c r="P88" s="2">
        <f>+'s1'!AA88*0.0098</f>
        <v>0</v>
      </c>
      <c r="Q88" s="2">
        <f>+'s1'!AB88*0.0098</f>
        <v>8848.11</v>
      </c>
      <c r="R88" s="2">
        <f>+'s1'!AC88*0.0098</f>
        <v>0</v>
      </c>
      <c r="S88" s="78">
        <f>SUM(B88:R88)</f>
        <v>10899.04</v>
      </c>
      <c r="T88" s="78"/>
    </row>
    <row r="89" spans="1:20" x14ac:dyDescent="0.2">
      <c r="A89" s="18" t="s">
        <v>58</v>
      </c>
      <c r="B89" s="2">
        <f>+'s1'!M89*0.0098</f>
        <v>0</v>
      </c>
      <c r="C89" s="2">
        <f>+'s1'!N89*0.0098</f>
        <v>0</v>
      </c>
      <c r="D89" s="2">
        <f>+'s1'!O89*0.0098</f>
        <v>75350.44</v>
      </c>
      <c r="E89" s="2">
        <f>+'s1'!P89*0.0098</f>
        <v>0</v>
      </c>
      <c r="F89" s="2">
        <f>+'s1'!Q89*0.0098</f>
        <v>0</v>
      </c>
      <c r="G89" s="2">
        <f>+'s1'!R89*0.0098</f>
        <v>139.38999999999999</v>
      </c>
      <c r="H89" s="2">
        <f>+'s1'!S89*0.0098</f>
        <v>0</v>
      </c>
      <c r="I89" s="2">
        <f>+'s1'!T89*0.0098</f>
        <v>0</v>
      </c>
      <c r="J89" s="2">
        <f>+'s1'!U89*0.0098</f>
        <v>26.89</v>
      </c>
      <c r="K89" s="2">
        <f>+'s1'!V89*0.0098</f>
        <v>20.93</v>
      </c>
      <c r="L89" s="2">
        <f>+'s1'!W89*0.0098</f>
        <v>0</v>
      </c>
      <c r="M89" s="2">
        <f>+'s1'!X89*0.0098</f>
        <v>0</v>
      </c>
      <c r="N89" s="2">
        <f>+'s1'!Y89*0.0098</f>
        <v>3760.35</v>
      </c>
      <c r="O89" s="2">
        <f>+'s1'!Z89*0.0098</f>
        <v>0</v>
      </c>
      <c r="P89" s="2">
        <f>+'s1'!AA89*0.0098</f>
        <v>0</v>
      </c>
      <c r="Q89" s="2">
        <f>+'s1'!AB89*0.0098</f>
        <v>0</v>
      </c>
      <c r="R89" s="2">
        <f>+'s1'!AC89*0.0098</f>
        <v>0</v>
      </c>
      <c r="S89" s="2">
        <f>SUM(B89:R89)</f>
        <v>79298</v>
      </c>
      <c r="T89" s="2"/>
    </row>
    <row r="90" spans="1:20" s="20" customFormat="1" x14ac:dyDescent="0.2">
      <c r="A90" s="1" t="s">
        <v>59</v>
      </c>
      <c r="B90" s="2">
        <f>+'s1'!M90*0.0098</f>
        <v>0</v>
      </c>
      <c r="C90" s="2">
        <f>+'s1'!N90*0.0098</f>
        <v>0</v>
      </c>
      <c r="D90" s="2">
        <f>+'s1'!O90*0.0098</f>
        <v>0</v>
      </c>
      <c r="E90" s="2">
        <f>+'s1'!P90*0.0098</f>
        <v>0</v>
      </c>
      <c r="F90" s="2">
        <f>+'s1'!Q90*0.0098</f>
        <v>1139.49</v>
      </c>
      <c r="G90" s="2">
        <f>+'s1'!R90*0.0098</f>
        <v>0</v>
      </c>
      <c r="H90" s="2">
        <f>+'s1'!S90*0.0098</f>
        <v>0</v>
      </c>
      <c r="I90" s="2">
        <f>+'s1'!T90*0.0098</f>
        <v>0</v>
      </c>
      <c r="J90" s="2">
        <f>+'s1'!U90*0.0098</f>
        <v>0</v>
      </c>
      <c r="K90" s="2">
        <f>+'s1'!V90*0.0098</f>
        <v>468.1</v>
      </c>
      <c r="L90" s="2">
        <f>+'s1'!W90*0.0098</f>
        <v>0</v>
      </c>
      <c r="M90" s="2">
        <f>+'s1'!X90*0.0098</f>
        <v>0</v>
      </c>
      <c r="N90" s="2">
        <f>+'s1'!Y90*0.0098</f>
        <v>0</v>
      </c>
      <c r="O90" s="2">
        <f>+'s1'!Z90*0.0098</f>
        <v>0</v>
      </c>
      <c r="P90" s="2">
        <f>+'s1'!AA90*0.0098</f>
        <v>0</v>
      </c>
      <c r="Q90" s="2">
        <f>+'s1'!AB90*0.0098</f>
        <v>0</v>
      </c>
      <c r="R90" s="2">
        <f>+'s1'!AC90*0.0098</f>
        <v>2579.0100000000002</v>
      </c>
      <c r="S90" s="78">
        <f>SUM(B90:R90)</f>
        <v>4186.6000000000004</v>
      </c>
      <c r="T90" s="78"/>
    </row>
    <row r="91" spans="1:20" s="20" customFormat="1" x14ac:dyDescent="0.2">
      <c r="A91" s="1" t="s">
        <v>457</v>
      </c>
      <c r="B91" s="2">
        <f>+'s1'!M91*0.0098</f>
        <v>0</v>
      </c>
      <c r="C91" s="2">
        <f>+'s1'!N91*0.0098</f>
        <v>0</v>
      </c>
      <c r="D91" s="2">
        <f>+'s1'!O91*0.0098</f>
        <v>0</v>
      </c>
      <c r="E91" s="2">
        <f>+'s1'!P91*0.0098</f>
        <v>0</v>
      </c>
      <c r="F91" s="2">
        <f>+'s1'!Q91*0.0098</f>
        <v>0</v>
      </c>
      <c r="G91" s="2">
        <f>+'s1'!R91*0.0098</f>
        <v>0</v>
      </c>
      <c r="H91" s="2">
        <f>+'s1'!S91*0.0098</f>
        <v>0</v>
      </c>
      <c r="I91" s="2">
        <f>+'s1'!T91*0.0098</f>
        <v>0</v>
      </c>
      <c r="J91" s="2">
        <f>+'s1'!U91*0.0098</f>
        <v>0</v>
      </c>
      <c r="K91" s="2">
        <f>+'s1'!V91*0.0098</f>
        <v>0</v>
      </c>
      <c r="L91" s="2">
        <f>+'s1'!W91*0.0098</f>
        <v>0</v>
      </c>
      <c r="M91" s="2">
        <f>+'s1'!X91*0.0098</f>
        <v>0</v>
      </c>
      <c r="N91" s="2">
        <f>+'s1'!Y91*0.0098</f>
        <v>0</v>
      </c>
      <c r="O91" s="2">
        <f>+'s1'!Z91*0.0098</f>
        <v>0</v>
      </c>
      <c r="P91" s="2">
        <f>+'s1'!AA91*0.0098</f>
        <v>0</v>
      </c>
      <c r="Q91" s="2">
        <f>+'s1'!AB91*0.0098</f>
        <v>177.72</v>
      </c>
      <c r="R91" s="2">
        <f>+'s1'!AC91*0.0098</f>
        <v>0</v>
      </c>
      <c r="S91" s="78">
        <f t="shared" si="4"/>
        <v>177.72</v>
      </c>
      <c r="T91" s="18"/>
    </row>
    <row r="92" spans="1:20" s="20" customFormat="1" x14ac:dyDescent="0.2">
      <c r="A92" s="18" t="s">
        <v>60</v>
      </c>
      <c r="B92" s="2">
        <f>+'s1'!M92*0.0098</f>
        <v>4155.8999999999996</v>
      </c>
      <c r="C92" s="2">
        <f>+'s1'!N92*0.0098</f>
        <v>764.35</v>
      </c>
      <c r="D92" s="2">
        <f>+'s1'!O92*0.0098</f>
        <v>19989.669999999998</v>
      </c>
      <c r="E92" s="2">
        <f>+'s1'!P92*0.0098</f>
        <v>684.78</v>
      </c>
      <c r="F92" s="2">
        <f>+'s1'!Q92*0.0098</f>
        <v>0</v>
      </c>
      <c r="G92" s="2">
        <f>+'s1'!R92*0.0098</f>
        <v>97.06</v>
      </c>
      <c r="H92" s="2">
        <f>+'s1'!S92*0.0098</f>
        <v>0</v>
      </c>
      <c r="I92" s="2">
        <f>+'s1'!T92*0.0098</f>
        <v>0</v>
      </c>
      <c r="J92" s="2">
        <f>+'s1'!U92*0.0098</f>
        <v>0</v>
      </c>
      <c r="K92" s="2">
        <f>+'s1'!V92*0.0098</f>
        <v>0</v>
      </c>
      <c r="L92" s="2">
        <f>+'s1'!W92*0.0098</f>
        <v>1673.25</v>
      </c>
      <c r="M92" s="2">
        <f>+'s1'!X92*0.0098</f>
        <v>39.06</v>
      </c>
      <c r="N92" s="2">
        <f>+'s1'!Y92*0.0098</f>
        <v>386.59</v>
      </c>
      <c r="O92" s="2">
        <f>+'s1'!Z92*0.0098</f>
        <v>621.4</v>
      </c>
      <c r="P92" s="2">
        <f>+'s1'!AA92*0.0098</f>
        <v>0</v>
      </c>
      <c r="Q92" s="2">
        <f>+'s1'!AB92*0.0098</f>
        <v>4401.08</v>
      </c>
      <c r="R92" s="2">
        <f>+'s1'!AC92*0.0098</f>
        <v>86.54</v>
      </c>
      <c r="S92" s="78">
        <f>SUM(B92:R92)</f>
        <v>32899.68</v>
      </c>
      <c r="T92" s="18"/>
    </row>
    <row r="93" spans="1:20" x14ac:dyDescent="0.2">
      <c r="A93" s="1" t="s">
        <v>458</v>
      </c>
      <c r="B93" s="2">
        <f>+'s1'!M93*0.0098</f>
        <v>0</v>
      </c>
      <c r="C93" s="2">
        <f>+'s1'!N93*0.0098</f>
        <v>7.02</v>
      </c>
      <c r="D93" s="2">
        <f>+'s1'!O93*0.0098</f>
        <v>0</v>
      </c>
      <c r="E93" s="2">
        <f>+'s1'!P93*0.0098</f>
        <v>7.89</v>
      </c>
      <c r="F93" s="2">
        <f>+'s1'!Q93*0.0098</f>
        <v>0</v>
      </c>
      <c r="G93" s="2">
        <f>+'s1'!R93*0.0098</f>
        <v>0</v>
      </c>
      <c r="H93" s="2">
        <f>+'s1'!S93*0.0098</f>
        <v>0</v>
      </c>
      <c r="I93" s="2">
        <f>+'s1'!T93*0.0098</f>
        <v>0</v>
      </c>
      <c r="J93" s="2">
        <f>+'s1'!U93*0.0098</f>
        <v>0</v>
      </c>
      <c r="K93" s="2">
        <f>+'s1'!V93*0.0098</f>
        <v>0</v>
      </c>
      <c r="L93" s="2">
        <f>+'s1'!W93*0.0098</f>
        <v>710.87</v>
      </c>
      <c r="M93" s="2">
        <f>+'s1'!X93*0.0098</f>
        <v>3.33</v>
      </c>
      <c r="N93" s="2">
        <f>+'s1'!Y93*0.0098</f>
        <v>0</v>
      </c>
      <c r="O93" s="2">
        <f>+'s1'!Z93*0.0098</f>
        <v>0</v>
      </c>
      <c r="P93" s="2">
        <f>+'s1'!AA93*0.0098</f>
        <v>10.33</v>
      </c>
      <c r="Q93" s="2">
        <f>+'s1'!AB93*0.0098</f>
        <v>36.049999999999997</v>
      </c>
      <c r="R93" s="2">
        <f>+'s1'!AC93*0.0098</f>
        <v>0</v>
      </c>
      <c r="S93" s="2">
        <f>SUM(B93:R93)</f>
        <v>775.49</v>
      </c>
      <c r="T93" s="1"/>
    </row>
    <row r="94" spans="1:20" x14ac:dyDescent="0.2">
      <c r="A94" s="18" t="s">
        <v>61</v>
      </c>
      <c r="B94" s="2">
        <f>+'s1'!M94*0.0098</f>
        <v>0</v>
      </c>
      <c r="C94" s="2">
        <f>+'s1'!N94*0.0098</f>
        <v>0</v>
      </c>
      <c r="D94" s="2">
        <f>+'s1'!O94*0.0098</f>
        <v>0</v>
      </c>
      <c r="E94" s="2">
        <f>+'s1'!P94*0.0098</f>
        <v>0</v>
      </c>
      <c r="F94" s="2">
        <f>+'s1'!Q94*0.0098</f>
        <v>0</v>
      </c>
      <c r="G94" s="2">
        <f>+'s1'!R94*0.0098</f>
        <v>0</v>
      </c>
      <c r="H94" s="2">
        <f>+'s1'!S94*0.0098</f>
        <v>0</v>
      </c>
      <c r="I94" s="2">
        <f>+'s1'!T94*0.0098</f>
        <v>492.27</v>
      </c>
      <c r="J94" s="2">
        <f>+'s1'!U94*0.0098</f>
        <v>0</v>
      </c>
      <c r="K94" s="2">
        <f>+'s1'!V94*0.0098</f>
        <v>0</v>
      </c>
      <c r="L94" s="2">
        <f>+'s1'!W94*0.0098</f>
        <v>0</v>
      </c>
      <c r="M94" s="2">
        <f>+'s1'!X94*0.0098</f>
        <v>0</v>
      </c>
      <c r="N94" s="2">
        <f>+'s1'!Y94*0.0098</f>
        <v>0</v>
      </c>
      <c r="O94" s="2">
        <f>+'s1'!Z94*0.0098</f>
        <v>18.68</v>
      </c>
      <c r="P94" s="2">
        <f>+'s1'!AA94*0.0098</f>
        <v>0</v>
      </c>
      <c r="Q94" s="2">
        <f>+'s1'!AB94*0.0098</f>
        <v>0</v>
      </c>
      <c r="R94" s="2">
        <f>+'s1'!AC94*0.0098</f>
        <v>0</v>
      </c>
      <c r="S94" s="2">
        <f t="shared" ref="S94:S109" si="5">SUM(B94:R94)</f>
        <v>510.95</v>
      </c>
      <c r="T94" s="2"/>
    </row>
    <row r="95" spans="1:20" s="20" customFormat="1" x14ac:dyDescent="0.2">
      <c r="A95" s="1" t="s">
        <v>62</v>
      </c>
      <c r="B95" s="2">
        <f>+'s1'!M95*0.0098</f>
        <v>0</v>
      </c>
      <c r="C95" s="2">
        <f>+'s1'!N95*0.0098</f>
        <v>0</v>
      </c>
      <c r="D95" s="2">
        <f>+'s1'!O95*0.0098</f>
        <v>0</v>
      </c>
      <c r="E95" s="2">
        <f>+'s1'!P95*0.0098</f>
        <v>0</v>
      </c>
      <c r="F95" s="2">
        <f>+'s1'!Q95*0.0098</f>
        <v>0</v>
      </c>
      <c r="G95" s="2">
        <f>+'s1'!R95*0.0098</f>
        <v>0</v>
      </c>
      <c r="H95" s="2">
        <f>+'s1'!S95*0.0098</f>
        <v>0</v>
      </c>
      <c r="I95" s="2">
        <f>+'s1'!T95*0.0098</f>
        <v>0</v>
      </c>
      <c r="J95" s="2">
        <f>+'s1'!U95*0.0098</f>
        <v>0</v>
      </c>
      <c r="K95" s="2">
        <f>+'s1'!V95*0.0098</f>
        <v>0</v>
      </c>
      <c r="L95" s="2">
        <f>+'s1'!W95*0.0098</f>
        <v>0</v>
      </c>
      <c r="M95" s="2">
        <f>+'s1'!X95*0.0098</f>
        <v>0</v>
      </c>
      <c r="N95" s="2">
        <f>+'s1'!Y95*0.0098</f>
        <v>0</v>
      </c>
      <c r="O95" s="2">
        <f>+'s1'!Z95*0.0098</f>
        <v>0</v>
      </c>
      <c r="P95" s="2">
        <f>+'s1'!AA95*0.0098</f>
        <v>0</v>
      </c>
      <c r="Q95" s="2">
        <f>+'s1'!AB95*0.0098</f>
        <v>0</v>
      </c>
      <c r="R95" s="2">
        <f>+'s1'!AC95*0.0098</f>
        <v>50.99</v>
      </c>
      <c r="S95" s="78">
        <f t="shared" si="5"/>
        <v>50.99</v>
      </c>
      <c r="T95" s="78"/>
    </row>
    <row r="96" spans="1:20" x14ac:dyDescent="0.2">
      <c r="A96" s="1" t="s">
        <v>63</v>
      </c>
      <c r="B96" s="2">
        <f>+'s1'!M96*0.0098</f>
        <v>0</v>
      </c>
      <c r="C96" s="2">
        <f>+'s1'!N96*0.0098</f>
        <v>0</v>
      </c>
      <c r="D96" s="2">
        <f>+'s1'!O96*0.0098</f>
        <v>0</v>
      </c>
      <c r="E96" s="2">
        <f>+'s1'!P96*0.0098</f>
        <v>0</v>
      </c>
      <c r="F96" s="2">
        <f>+'s1'!Q96*0.0098</f>
        <v>0</v>
      </c>
      <c r="G96" s="2">
        <f>+'s1'!R96*0.0098</f>
        <v>0</v>
      </c>
      <c r="H96" s="2">
        <f>+'s1'!S96*0.0098</f>
        <v>0</v>
      </c>
      <c r="I96" s="2">
        <f>+'s1'!T96*0.0098</f>
        <v>0</v>
      </c>
      <c r="J96" s="2">
        <f>+'s1'!U96*0.0098</f>
        <v>403.12</v>
      </c>
      <c r="K96" s="2">
        <f>+'s1'!V96*0.0098</f>
        <v>0</v>
      </c>
      <c r="L96" s="2">
        <f>+'s1'!W96*0.0098</f>
        <v>0</v>
      </c>
      <c r="M96" s="2">
        <f>+'s1'!X96*0.0098</f>
        <v>0</v>
      </c>
      <c r="N96" s="2">
        <f>+'s1'!Y96*0.0098</f>
        <v>0</v>
      </c>
      <c r="O96" s="2">
        <f>+'s1'!Z96*0.0098</f>
        <v>25.45</v>
      </c>
      <c r="P96" s="2">
        <f>+'s1'!AA96*0.0098</f>
        <v>0</v>
      </c>
      <c r="Q96" s="2">
        <f>+'s1'!AB96*0.0098</f>
        <v>0</v>
      </c>
      <c r="R96" s="2">
        <f>+'s1'!AC96*0.0098</f>
        <v>0</v>
      </c>
      <c r="S96" s="2">
        <f>SUM(B96:R96)</f>
        <v>428.57</v>
      </c>
      <c r="T96" s="2"/>
    </row>
    <row r="97" spans="1:20" s="20" customFormat="1" x14ac:dyDescent="0.2">
      <c r="A97" s="18" t="s">
        <v>711</v>
      </c>
      <c r="B97" s="2">
        <f>+'s1'!M97*0.0098</f>
        <v>0</v>
      </c>
      <c r="C97" s="2">
        <f>+'s1'!N97*0.0098</f>
        <v>0</v>
      </c>
      <c r="D97" s="2">
        <f>+'s1'!O97*0.0098</f>
        <v>0</v>
      </c>
      <c r="E97" s="2">
        <f>+'s1'!P97*0.0098</f>
        <v>0</v>
      </c>
      <c r="F97" s="2">
        <f>+'s1'!Q97*0.0098</f>
        <v>0</v>
      </c>
      <c r="G97" s="2">
        <f>+'s1'!R97*0.0098</f>
        <v>0</v>
      </c>
      <c r="H97" s="2">
        <f>+'s1'!S97*0.0098</f>
        <v>0</v>
      </c>
      <c r="I97" s="2">
        <f>+'s1'!T97*0.0098</f>
        <v>0</v>
      </c>
      <c r="J97" s="2">
        <f>+'s1'!U97*0.0098</f>
        <v>0</v>
      </c>
      <c r="K97" s="2">
        <f>+'s1'!V97*0.0098</f>
        <v>0</v>
      </c>
      <c r="L97" s="2">
        <f>+'s1'!W97*0.0098</f>
        <v>0</v>
      </c>
      <c r="M97" s="2">
        <f>+'s1'!X97*0.0098</f>
        <v>0</v>
      </c>
      <c r="N97" s="2">
        <f>+'s1'!Y97*0.0098</f>
        <v>0</v>
      </c>
      <c r="O97" s="2">
        <f>+'s1'!Z97*0.0098</f>
        <v>0</v>
      </c>
      <c r="P97" s="2">
        <f>+'s1'!AA97*0.0098</f>
        <v>0</v>
      </c>
      <c r="Q97" s="2">
        <f>+'s1'!AB97*0.0098</f>
        <v>4525.51</v>
      </c>
      <c r="R97" s="2">
        <f>+'s1'!AC97*0.0098</f>
        <v>0</v>
      </c>
      <c r="S97" s="78">
        <f>SUM(B97:R97)</f>
        <v>4525.51</v>
      </c>
      <c r="T97" s="78"/>
    </row>
    <row r="98" spans="1:20" s="20" customFormat="1" x14ac:dyDescent="0.2">
      <c r="A98" s="18" t="s">
        <v>64</v>
      </c>
      <c r="B98" s="2">
        <f>+'s1'!M98*0.0098</f>
        <v>0</v>
      </c>
      <c r="C98" s="2">
        <f>+'s1'!N98*0.0098</f>
        <v>0</v>
      </c>
      <c r="D98" s="2">
        <f>+'s1'!O98*0.0098</f>
        <v>21.24</v>
      </c>
      <c r="E98" s="2">
        <f>+'s1'!P98*0.0098</f>
        <v>0</v>
      </c>
      <c r="F98" s="2">
        <f>+'s1'!Q98*0.0098</f>
        <v>0</v>
      </c>
      <c r="G98" s="2">
        <f>+'s1'!R98*0.0098</f>
        <v>0</v>
      </c>
      <c r="H98" s="2">
        <f>+'s1'!S98*0.0098</f>
        <v>0</v>
      </c>
      <c r="I98" s="2">
        <f>+'s1'!T98*0.0098</f>
        <v>0</v>
      </c>
      <c r="J98" s="2">
        <f>+'s1'!U98*0.0098</f>
        <v>0</v>
      </c>
      <c r="K98" s="2">
        <f>+'s1'!V98*0.0098</f>
        <v>0</v>
      </c>
      <c r="L98" s="2">
        <f>+'s1'!W98*0.0098</f>
        <v>0</v>
      </c>
      <c r="M98" s="2">
        <f>+'s1'!X98*0.0098</f>
        <v>0</v>
      </c>
      <c r="N98" s="2">
        <f>+'s1'!Y98*0.0098</f>
        <v>0</v>
      </c>
      <c r="O98" s="2">
        <f>+'s1'!Z98*0.0098</f>
        <v>0</v>
      </c>
      <c r="P98" s="2">
        <f>+'s1'!AA98*0.0098</f>
        <v>0</v>
      </c>
      <c r="Q98" s="2">
        <f>+'s1'!AB98*0.0098</f>
        <v>0</v>
      </c>
      <c r="R98" s="2">
        <f>+'s1'!AC98*0.0098</f>
        <v>0</v>
      </c>
      <c r="S98" s="78">
        <f t="shared" si="5"/>
        <v>21.24</v>
      </c>
      <c r="T98" s="78"/>
    </row>
    <row r="99" spans="1:20" s="20" customFormat="1" x14ac:dyDescent="0.2">
      <c r="A99" s="18" t="s">
        <v>573</v>
      </c>
      <c r="B99" s="2">
        <f>+'s1'!M99*0.0098</f>
        <v>0</v>
      </c>
      <c r="C99" s="2">
        <f>+'s1'!N99*0.0098</f>
        <v>0</v>
      </c>
      <c r="D99" s="2">
        <f>+'s1'!O99*0.0098</f>
        <v>0</v>
      </c>
      <c r="E99" s="2">
        <f>+'s1'!P99*0.0098</f>
        <v>0</v>
      </c>
      <c r="F99" s="2">
        <f>+'s1'!Q99*0.0098</f>
        <v>0</v>
      </c>
      <c r="G99" s="2">
        <f>+'s1'!R99*0.0098</f>
        <v>0</v>
      </c>
      <c r="H99" s="2">
        <f>+'s1'!S99*0.0098</f>
        <v>312.27999999999997</v>
      </c>
      <c r="I99" s="2">
        <f>+'s1'!T99*0.0098</f>
        <v>0</v>
      </c>
      <c r="J99" s="2">
        <f>+'s1'!U99*0.0098</f>
        <v>0</v>
      </c>
      <c r="K99" s="2">
        <f>+'s1'!V99*0.0098</f>
        <v>0</v>
      </c>
      <c r="L99" s="2">
        <f>+'s1'!W99*0.0098</f>
        <v>0</v>
      </c>
      <c r="M99" s="2">
        <f>+'s1'!X99*0.0098</f>
        <v>0</v>
      </c>
      <c r="N99" s="2">
        <f>+'s1'!Y99*0.0098</f>
        <v>0</v>
      </c>
      <c r="O99" s="2">
        <f>+'s1'!Z99*0.0098</f>
        <v>0</v>
      </c>
      <c r="P99" s="2">
        <f>+'s1'!AA99*0.0098</f>
        <v>0</v>
      </c>
      <c r="Q99" s="2">
        <f>+'s1'!AB99*0.0098</f>
        <v>0</v>
      </c>
      <c r="R99" s="2">
        <f>+'s1'!AC99*0.0098</f>
        <v>0</v>
      </c>
      <c r="S99" s="78">
        <f t="shared" si="5"/>
        <v>312.27999999999997</v>
      </c>
      <c r="T99" s="78"/>
    </row>
    <row r="100" spans="1:20" s="20" customFormat="1" x14ac:dyDescent="0.2">
      <c r="A100" s="18" t="s">
        <v>438</v>
      </c>
      <c r="B100" s="2">
        <f>+'s1'!M100*0.0098</f>
        <v>0</v>
      </c>
      <c r="C100" s="2">
        <f>+'s1'!N100*0.0098</f>
        <v>0</v>
      </c>
      <c r="D100" s="2">
        <f>+'s1'!O100*0.0098</f>
        <v>9408.09</v>
      </c>
      <c r="E100" s="2">
        <f>+'s1'!P100*0.0098</f>
        <v>0</v>
      </c>
      <c r="F100" s="2">
        <f>+'s1'!Q100*0.0098</f>
        <v>2167.83</v>
      </c>
      <c r="G100" s="2">
        <f>+'s1'!R100*0.0098</f>
        <v>0</v>
      </c>
      <c r="H100" s="2">
        <f>+'s1'!S100*0.0098</f>
        <v>0</v>
      </c>
      <c r="I100" s="2">
        <f>+'s1'!T100*0.0098</f>
        <v>0</v>
      </c>
      <c r="J100" s="2">
        <f>+'s1'!U100*0.0098</f>
        <v>0</v>
      </c>
      <c r="K100" s="2">
        <f>+'s1'!V100*0.0098</f>
        <v>0</v>
      </c>
      <c r="L100" s="2">
        <f>+'s1'!W100*0.0098</f>
        <v>2503.08</v>
      </c>
      <c r="M100" s="2">
        <f>+'s1'!X100*0.0098</f>
        <v>0</v>
      </c>
      <c r="N100" s="2">
        <f>+'s1'!Y100*0.0098</f>
        <v>1834.53</v>
      </c>
      <c r="O100" s="2">
        <f>+'s1'!Z100*0.0098</f>
        <v>0</v>
      </c>
      <c r="P100" s="2">
        <f>+'s1'!AA100*0.0098</f>
        <v>0</v>
      </c>
      <c r="Q100" s="2">
        <f>+'s1'!AB100*0.0098</f>
        <v>0</v>
      </c>
      <c r="R100" s="2">
        <f>+'s1'!AC100*0.0098</f>
        <v>0</v>
      </c>
      <c r="S100" s="78">
        <f t="shared" si="5"/>
        <v>15913.53</v>
      </c>
      <c r="T100" s="78"/>
    </row>
    <row r="101" spans="1:20" s="89" customFormat="1" ht="12" customHeight="1" x14ac:dyDescent="0.2">
      <c r="A101" s="18" t="s">
        <v>772</v>
      </c>
      <c r="B101" s="2">
        <f>+'s1'!M101*0.0098</f>
        <v>0</v>
      </c>
      <c r="C101" s="2">
        <f>+'s1'!N101*0.0098</f>
        <v>0</v>
      </c>
      <c r="D101" s="2">
        <f>+'s1'!O101*0.0098</f>
        <v>-86.25</v>
      </c>
      <c r="E101" s="2">
        <f>+'s1'!P101*0.0098</f>
        <v>0</v>
      </c>
      <c r="F101" s="2">
        <f>+'s1'!Q101*0.0098</f>
        <v>0</v>
      </c>
      <c r="G101" s="2">
        <f>+'s1'!R101*0.0098</f>
        <v>0</v>
      </c>
      <c r="H101" s="2">
        <f>+'s1'!S101*0.0098</f>
        <v>0</v>
      </c>
      <c r="I101" s="2">
        <f>+'s1'!T101*0.0098</f>
        <v>0</v>
      </c>
      <c r="J101" s="2">
        <f>+'s1'!U101*0.0098</f>
        <v>0</v>
      </c>
      <c r="K101" s="2">
        <f>+'s1'!V101*0.0098</f>
        <v>0</v>
      </c>
      <c r="L101" s="2">
        <f>+'s1'!W101*0.0098</f>
        <v>0</v>
      </c>
      <c r="M101" s="2">
        <f>+'s1'!X101*0.0098</f>
        <v>0</v>
      </c>
      <c r="N101" s="2">
        <f>+'s1'!Y101*0.0098</f>
        <v>0</v>
      </c>
      <c r="O101" s="2">
        <f>+'s1'!Z101*0.0098</f>
        <v>0</v>
      </c>
      <c r="P101" s="2">
        <f>+'s1'!AA101*0.0098</f>
        <v>0</v>
      </c>
      <c r="Q101" s="2">
        <f>+'s1'!AB101*0.0098</f>
        <v>0</v>
      </c>
      <c r="R101" s="2">
        <f>+'s1'!AC101*0.0098</f>
        <v>0</v>
      </c>
      <c r="S101" s="78">
        <f>SUM(B101:R101)</f>
        <v>-86.25</v>
      </c>
      <c r="T101" s="10"/>
    </row>
    <row r="102" spans="1:20" s="20" customFormat="1" x14ac:dyDescent="0.2">
      <c r="A102" s="18" t="s">
        <v>65</v>
      </c>
      <c r="B102" s="2">
        <f>+'s1'!M102*0.0098</f>
        <v>0</v>
      </c>
      <c r="C102" s="2">
        <f>+'s1'!N102*0.0098</f>
        <v>1072.72</v>
      </c>
      <c r="D102" s="2">
        <f>+'s1'!O102*0.0098</f>
        <v>0</v>
      </c>
      <c r="E102" s="2">
        <f>+'s1'!P102*0.0098</f>
        <v>0</v>
      </c>
      <c r="F102" s="2">
        <f>+'s1'!Q102*0.0098</f>
        <v>0</v>
      </c>
      <c r="G102" s="2">
        <f>+'s1'!R102*0.0098</f>
        <v>0</v>
      </c>
      <c r="H102" s="2">
        <f>+'s1'!S102*0.0098</f>
        <v>0</v>
      </c>
      <c r="I102" s="2">
        <f>+'s1'!T102*0.0098</f>
        <v>0</v>
      </c>
      <c r="J102" s="2">
        <f>+'s1'!U102*0.0098</f>
        <v>0</v>
      </c>
      <c r="K102" s="2">
        <f>+'s1'!V102*0.0098</f>
        <v>0</v>
      </c>
      <c r="L102" s="2">
        <f>+'s1'!W102*0.0098</f>
        <v>0</v>
      </c>
      <c r="M102" s="2">
        <f>+'s1'!X102*0.0098</f>
        <v>0</v>
      </c>
      <c r="N102" s="2">
        <f>+'s1'!Y102*0.0098</f>
        <v>0</v>
      </c>
      <c r="O102" s="2">
        <f>+'s1'!Z102*0.0098</f>
        <v>0</v>
      </c>
      <c r="P102" s="2">
        <f>+'s1'!AA102*0.0098</f>
        <v>0</v>
      </c>
      <c r="Q102" s="2">
        <f>+'s1'!AB102*0.0098</f>
        <v>0</v>
      </c>
      <c r="R102" s="2">
        <f>+'s1'!AC102*0.0098</f>
        <v>0</v>
      </c>
      <c r="S102" s="78">
        <f t="shared" si="5"/>
        <v>1072.72</v>
      </c>
      <c r="T102" s="18"/>
    </row>
    <row r="103" spans="1:20" s="20" customFormat="1" x14ac:dyDescent="0.2">
      <c r="A103" s="18" t="s">
        <v>475</v>
      </c>
      <c r="B103" s="2">
        <f>+'s1'!M103*0.0098</f>
        <v>3405.37</v>
      </c>
      <c r="C103" s="2">
        <f>+'s1'!N103*0.0098</f>
        <v>0</v>
      </c>
      <c r="D103" s="2">
        <f>+'s1'!O103*0.0098</f>
        <v>14179</v>
      </c>
      <c r="E103" s="2">
        <f>+'s1'!P103*0.0098</f>
        <v>1326.1</v>
      </c>
      <c r="F103" s="2">
        <f>+'s1'!Q103*0.0098</f>
        <v>0</v>
      </c>
      <c r="G103" s="2">
        <f>+'s1'!R103*0.0098</f>
        <v>0</v>
      </c>
      <c r="H103" s="2">
        <f>+'s1'!S103*0.0098</f>
        <v>0</v>
      </c>
      <c r="I103" s="2">
        <f>+'s1'!T103*0.0098</f>
        <v>0</v>
      </c>
      <c r="J103" s="2">
        <f>+'s1'!U103*0.0098</f>
        <v>0</v>
      </c>
      <c r="K103" s="2">
        <f>+'s1'!V103*0.0098</f>
        <v>0</v>
      </c>
      <c r="L103" s="2">
        <f>+'s1'!W103*0.0098</f>
        <v>239.16</v>
      </c>
      <c r="M103" s="2">
        <f>+'s1'!X103*0.0098</f>
        <v>378.14</v>
      </c>
      <c r="N103" s="2">
        <f>+'s1'!Y103*0.0098</f>
        <v>60.17</v>
      </c>
      <c r="O103" s="2">
        <f>+'s1'!Z103*0.0098</f>
        <v>0</v>
      </c>
      <c r="P103" s="2">
        <f>+'s1'!AA103*0.0098</f>
        <v>0</v>
      </c>
      <c r="Q103" s="2">
        <f>+'s1'!AB103*0.0098</f>
        <v>6670.47</v>
      </c>
      <c r="R103" s="2">
        <f>+'s1'!AC103*0.0098</f>
        <v>0</v>
      </c>
      <c r="S103" s="78">
        <f t="shared" si="5"/>
        <v>26258.41</v>
      </c>
      <c r="T103" s="78"/>
    </row>
    <row r="104" spans="1:20" s="20" customFormat="1" x14ac:dyDescent="0.2">
      <c r="A104" s="18" t="s">
        <v>66</v>
      </c>
      <c r="B104" s="2">
        <f>+'s1'!M104*0.0098</f>
        <v>0</v>
      </c>
      <c r="C104" s="2">
        <f>+'s1'!N104*0.0098</f>
        <v>0</v>
      </c>
      <c r="D104" s="2">
        <f>+'s1'!O104*0.0098</f>
        <v>0</v>
      </c>
      <c r="E104" s="2">
        <f>+'s1'!P104*0.0098</f>
        <v>0</v>
      </c>
      <c r="F104" s="2">
        <f>+'s1'!Q104*0.0098</f>
        <v>158.43</v>
      </c>
      <c r="G104" s="2">
        <f>+'s1'!R104*0.0098</f>
        <v>0</v>
      </c>
      <c r="H104" s="2">
        <f>+'s1'!S104*0.0098</f>
        <v>0</v>
      </c>
      <c r="I104" s="2">
        <f>+'s1'!T104*0.0098</f>
        <v>0</v>
      </c>
      <c r="J104" s="2">
        <f>+'s1'!U104*0.0098</f>
        <v>0</v>
      </c>
      <c r="K104" s="2">
        <f>+'s1'!V104*0.0098</f>
        <v>0</v>
      </c>
      <c r="L104" s="2">
        <f>+'s1'!W104*0.0098</f>
        <v>0</v>
      </c>
      <c r="M104" s="2">
        <f>+'s1'!X104*0.0098</f>
        <v>0</v>
      </c>
      <c r="N104" s="2">
        <f>+'s1'!Y104*0.0098</f>
        <v>0</v>
      </c>
      <c r="O104" s="2">
        <f>+'s1'!Z104*0.0098</f>
        <v>0</v>
      </c>
      <c r="P104" s="2">
        <f>+'s1'!AA104*0.0098</f>
        <v>0</v>
      </c>
      <c r="Q104" s="2">
        <f>+'s1'!AB104*0.0098</f>
        <v>0</v>
      </c>
      <c r="R104" s="2">
        <f>+'s1'!AC104*0.0098</f>
        <v>2.94</v>
      </c>
      <c r="S104" s="78">
        <f t="shared" si="5"/>
        <v>161.37</v>
      </c>
      <c r="T104" s="78"/>
    </row>
    <row r="105" spans="1:20" s="20" customFormat="1" x14ac:dyDescent="0.2">
      <c r="A105" s="18" t="s">
        <v>82</v>
      </c>
      <c r="B105" s="2">
        <f>+'s1'!M105*0.0098</f>
        <v>0</v>
      </c>
      <c r="C105" s="2">
        <f>+'s1'!N105*0.0098</f>
        <v>0</v>
      </c>
      <c r="D105" s="2">
        <f>+'s1'!O105*0.0098</f>
        <v>1886.9</v>
      </c>
      <c r="E105" s="2">
        <f>+'s1'!P105*0.0098</f>
        <v>0</v>
      </c>
      <c r="F105" s="2">
        <f>+'s1'!Q105*0.0098</f>
        <v>0</v>
      </c>
      <c r="G105" s="2">
        <f>+'s1'!R105*0.0098</f>
        <v>0</v>
      </c>
      <c r="H105" s="2">
        <f>+'s1'!S105*0.0098</f>
        <v>0</v>
      </c>
      <c r="I105" s="2">
        <f>+'s1'!T105*0.0098</f>
        <v>0</v>
      </c>
      <c r="J105" s="2">
        <f>+'s1'!U105*0.0098</f>
        <v>0</v>
      </c>
      <c r="K105" s="2">
        <f>+'s1'!V105*0.0098</f>
        <v>0</v>
      </c>
      <c r="L105" s="2">
        <f>+'s1'!W105*0.0098</f>
        <v>0</v>
      </c>
      <c r="M105" s="2">
        <f>+'s1'!X105*0.0098</f>
        <v>0</v>
      </c>
      <c r="N105" s="2">
        <f>+'s1'!Y105*0.0098</f>
        <v>0</v>
      </c>
      <c r="O105" s="2">
        <f>+'s1'!Z105*0.0098</f>
        <v>0</v>
      </c>
      <c r="P105" s="2">
        <f>+'s1'!AA105*0.0098</f>
        <v>0</v>
      </c>
      <c r="Q105" s="2">
        <f>+'s1'!AB105*0.0098</f>
        <v>0</v>
      </c>
      <c r="R105" s="2">
        <f>+'s1'!AC105*0.0098</f>
        <v>0</v>
      </c>
      <c r="S105" s="78">
        <f t="shared" si="5"/>
        <v>1886.9</v>
      </c>
      <c r="T105" s="78"/>
    </row>
    <row r="106" spans="1:20" s="20" customFormat="1" ht="13.5" customHeight="1" x14ac:dyDescent="0.2">
      <c r="A106" s="18" t="s">
        <v>349</v>
      </c>
      <c r="B106" s="2">
        <f>+'s1'!M106*0.0098</f>
        <v>0</v>
      </c>
      <c r="C106" s="2">
        <f>+'s1'!N106*0.0098</f>
        <v>0</v>
      </c>
      <c r="D106" s="2">
        <f>+'s1'!O106*0.0098</f>
        <v>1821.12</v>
      </c>
      <c r="E106" s="2">
        <f>+'s1'!P106*0.0098</f>
        <v>0</v>
      </c>
      <c r="F106" s="2">
        <f>+'s1'!Q106*0.0098</f>
        <v>0</v>
      </c>
      <c r="G106" s="2">
        <f>+'s1'!R106*0.0098</f>
        <v>0</v>
      </c>
      <c r="H106" s="2">
        <f>+'s1'!S106*0.0098</f>
        <v>0</v>
      </c>
      <c r="I106" s="2">
        <f>+'s1'!T106*0.0098</f>
        <v>0</v>
      </c>
      <c r="J106" s="2">
        <f>+'s1'!U106*0.0098</f>
        <v>0</v>
      </c>
      <c r="K106" s="2">
        <f>+'s1'!V106*0.0098</f>
        <v>0</v>
      </c>
      <c r="L106" s="2">
        <f>+'s1'!W106*0.0098</f>
        <v>0</v>
      </c>
      <c r="M106" s="2">
        <f>+'s1'!X106*0.0098</f>
        <v>0</v>
      </c>
      <c r="N106" s="2">
        <f>+'s1'!Y106*0.0098</f>
        <v>0</v>
      </c>
      <c r="O106" s="2">
        <f>+'s1'!Z106*0.0098</f>
        <v>853.66</v>
      </c>
      <c r="P106" s="2">
        <f>+'s1'!AA106*0.0098</f>
        <v>0</v>
      </c>
      <c r="Q106" s="2">
        <f>+'s1'!AB106*0.0098</f>
        <v>1625.02</v>
      </c>
      <c r="R106" s="2">
        <f>+'s1'!AC106*0.0098</f>
        <v>0</v>
      </c>
      <c r="S106" s="78">
        <f t="shared" si="5"/>
        <v>4299.8</v>
      </c>
      <c r="T106" s="78"/>
    </row>
    <row r="107" spans="1:20" s="20" customFormat="1" x14ac:dyDescent="0.2">
      <c r="A107" s="18" t="s">
        <v>362</v>
      </c>
      <c r="B107" s="2">
        <f>+'s1'!M107*0.0098</f>
        <v>0</v>
      </c>
      <c r="C107" s="2">
        <f>+'s1'!N107*0.0098</f>
        <v>0</v>
      </c>
      <c r="D107" s="2">
        <f>+'s1'!O107*0.0098</f>
        <v>646.87</v>
      </c>
      <c r="E107" s="2">
        <f>+'s1'!P107*0.0098</f>
        <v>1454</v>
      </c>
      <c r="F107" s="2">
        <f>+'s1'!Q107*0.0098</f>
        <v>0</v>
      </c>
      <c r="G107" s="2">
        <f>+'s1'!R107*0.0098</f>
        <v>0</v>
      </c>
      <c r="H107" s="2">
        <f>+'s1'!S107*0.0098</f>
        <v>0</v>
      </c>
      <c r="I107" s="2">
        <f>+'s1'!T107*0.0098</f>
        <v>1182.72</v>
      </c>
      <c r="J107" s="2">
        <f>+'s1'!U107*0.0098</f>
        <v>0</v>
      </c>
      <c r="K107" s="2">
        <f>+'s1'!V107*0.0098</f>
        <v>0</v>
      </c>
      <c r="L107" s="2">
        <f>+'s1'!W107*0.0098</f>
        <v>0</v>
      </c>
      <c r="M107" s="2">
        <f>+'s1'!X107*0.0098</f>
        <v>0</v>
      </c>
      <c r="N107" s="2">
        <f>+'s1'!Y107*0.0098</f>
        <v>0</v>
      </c>
      <c r="O107" s="2">
        <f>+'s1'!Z107*0.0098</f>
        <v>0</v>
      </c>
      <c r="P107" s="2">
        <f>+'s1'!AA107*0.0098</f>
        <v>0</v>
      </c>
      <c r="Q107" s="2">
        <f>+'s1'!AB107*0.0098</f>
        <v>3676.29</v>
      </c>
      <c r="R107" s="2">
        <f>+'s1'!AC107*0.0098</f>
        <v>0</v>
      </c>
      <c r="S107" s="78">
        <f t="shared" si="5"/>
        <v>6959.88</v>
      </c>
      <c r="T107" s="78"/>
    </row>
    <row r="108" spans="1:20" s="20" customFormat="1" x14ac:dyDescent="0.2">
      <c r="A108" s="1" t="s">
        <v>67</v>
      </c>
      <c r="B108" s="2">
        <f>+'s1'!M108*0.0098</f>
        <v>0</v>
      </c>
      <c r="C108" s="2">
        <f>+'s1'!N108*0.0098</f>
        <v>0</v>
      </c>
      <c r="D108" s="2">
        <f>+'s1'!O108*0.0098</f>
        <v>285.44</v>
      </c>
      <c r="E108" s="2">
        <f>+'s1'!P108*0.0098</f>
        <v>0</v>
      </c>
      <c r="F108" s="2">
        <f>+'s1'!Q108*0.0098</f>
        <v>0</v>
      </c>
      <c r="G108" s="2">
        <f>+'s1'!R108*0.0098</f>
        <v>0</v>
      </c>
      <c r="H108" s="2">
        <f>+'s1'!S108*0.0098</f>
        <v>0</v>
      </c>
      <c r="I108" s="2">
        <f>+'s1'!T108*0.0098</f>
        <v>0</v>
      </c>
      <c r="J108" s="2">
        <f>+'s1'!U108*0.0098</f>
        <v>0</v>
      </c>
      <c r="K108" s="2">
        <f>+'s1'!V108*0.0098</f>
        <v>0</v>
      </c>
      <c r="L108" s="2">
        <f>+'s1'!W108*0.0098</f>
        <v>0</v>
      </c>
      <c r="M108" s="2">
        <f>+'s1'!X108*0.0098</f>
        <v>0</v>
      </c>
      <c r="N108" s="2">
        <f>+'s1'!Y108*0.0098</f>
        <v>0</v>
      </c>
      <c r="O108" s="2">
        <f>+'s1'!Z108*0.0098</f>
        <v>0</v>
      </c>
      <c r="P108" s="2">
        <f>+'s1'!AA108*0.0098</f>
        <v>0</v>
      </c>
      <c r="Q108" s="2">
        <f>+'s1'!AB108*0.0098</f>
        <v>0</v>
      </c>
      <c r="R108" s="2">
        <f>+'s1'!AC108*0.0098</f>
        <v>0</v>
      </c>
      <c r="S108" s="78">
        <f t="shared" si="5"/>
        <v>285.44</v>
      </c>
      <c r="T108" s="78"/>
    </row>
    <row r="109" spans="1:20" s="20" customFormat="1" x14ac:dyDescent="0.2">
      <c r="A109" s="1" t="s">
        <v>68</v>
      </c>
      <c r="B109" s="2">
        <f>+'s1'!M109*0.0098</f>
        <v>0</v>
      </c>
      <c r="C109" s="2">
        <f>+'s1'!N109*0.0098</f>
        <v>426.34</v>
      </c>
      <c r="D109" s="2">
        <f>+'s1'!O109*0.0098</f>
        <v>0</v>
      </c>
      <c r="E109" s="2">
        <f>+'s1'!P109*0.0098</f>
        <v>0</v>
      </c>
      <c r="F109" s="2">
        <f>+'s1'!Q109*0.0098</f>
        <v>0</v>
      </c>
      <c r="G109" s="2">
        <f>+'s1'!R109*0.0098</f>
        <v>0</v>
      </c>
      <c r="H109" s="2">
        <f>+'s1'!S109*0.0098</f>
        <v>0</v>
      </c>
      <c r="I109" s="2">
        <f>+'s1'!T109*0.0098</f>
        <v>0</v>
      </c>
      <c r="J109" s="2">
        <f>+'s1'!U109*0.0098</f>
        <v>0</v>
      </c>
      <c r="K109" s="2">
        <f>+'s1'!V109*0.0098</f>
        <v>0</v>
      </c>
      <c r="L109" s="2">
        <f>+'s1'!W109*0.0098</f>
        <v>616.07000000000005</v>
      </c>
      <c r="M109" s="2">
        <f>+'s1'!X109*0.0098</f>
        <v>596.51</v>
      </c>
      <c r="N109" s="2">
        <f>+'s1'!Y109*0.0098</f>
        <v>0</v>
      </c>
      <c r="O109" s="2">
        <f>+'s1'!Z109*0.0098</f>
        <v>0</v>
      </c>
      <c r="P109" s="2">
        <f>+'s1'!AA109*0.0098</f>
        <v>0</v>
      </c>
      <c r="Q109" s="2">
        <f>+'s1'!AB109*0.0098</f>
        <v>507.94</v>
      </c>
      <c r="R109" s="2">
        <f>+'s1'!AC109*0.0098</f>
        <v>0</v>
      </c>
      <c r="S109" s="78">
        <f t="shared" si="5"/>
        <v>2146.86</v>
      </c>
      <c r="T109" s="78"/>
    </row>
    <row r="110" spans="1:20" x14ac:dyDescent="0.2">
      <c r="A110" s="1" t="s">
        <v>574</v>
      </c>
      <c r="B110" s="2">
        <f>+'s1'!M110*0.0098</f>
        <v>2193</v>
      </c>
      <c r="C110" s="2">
        <f>+'s1'!N110*0.0098</f>
        <v>0</v>
      </c>
      <c r="D110" s="2">
        <f>+'s1'!O110*0.0098</f>
        <v>43220.05</v>
      </c>
      <c r="E110" s="2">
        <f>+'s1'!P110*0.0098</f>
        <v>1588.79</v>
      </c>
      <c r="F110" s="2">
        <f>+'s1'!Q110*0.0098</f>
        <v>0</v>
      </c>
      <c r="G110" s="2">
        <f>+'s1'!R110*0.0098</f>
        <v>0</v>
      </c>
      <c r="H110" s="2">
        <f>+'s1'!S110*0.0098</f>
        <v>0</v>
      </c>
      <c r="I110" s="2">
        <f>+'s1'!T110*0.0098</f>
        <v>0</v>
      </c>
      <c r="J110" s="2">
        <f>+'s1'!U110*0.0098</f>
        <v>0</v>
      </c>
      <c r="K110" s="2">
        <f>+'s1'!V110*0.0098</f>
        <v>0</v>
      </c>
      <c r="L110" s="2">
        <f>+'s1'!W110*0.0098</f>
        <v>517.42999999999995</v>
      </c>
      <c r="M110" s="2">
        <f>+'s1'!X110*0.0098</f>
        <v>0</v>
      </c>
      <c r="N110" s="2">
        <f>+'s1'!Y110*0.0098</f>
        <v>0</v>
      </c>
      <c r="O110" s="2">
        <f>+'s1'!Z110*0.0098</f>
        <v>0</v>
      </c>
      <c r="P110" s="2">
        <f>+'s1'!AA110*0.0098</f>
        <v>0</v>
      </c>
      <c r="Q110" s="2">
        <f>+'s1'!AB110*0.0098</f>
        <v>16465.52</v>
      </c>
      <c r="R110" s="2">
        <f>+'s1'!AC110*0.0098</f>
        <v>0</v>
      </c>
      <c r="S110" s="2">
        <f>SUM(B110:R110)</f>
        <v>63984.79</v>
      </c>
      <c r="T110" s="2"/>
    </row>
    <row r="111" spans="1:20" s="20" customFormat="1" x14ac:dyDescent="0.2">
      <c r="A111" s="1" t="s">
        <v>709</v>
      </c>
      <c r="B111" s="2">
        <f>+'s1'!M111*0.0098</f>
        <v>0</v>
      </c>
      <c r="C111" s="2">
        <f>+'s1'!N111*0.0098</f>
        <v>0</v>
      </c>
      <c r="D111" s="2">
        <f>+'s1'!O111*0.0098</f>
        <v>489.4</v>
      </c>
      <c r="E111" s="2">
        <f>+'s1'!P111*0.0098</f>
        <v>0</v>
      </c>
      <c r="F111" s="2">
        <f>+'s1'!Q111*0.0098</f>
        <v>0</v>
      </c>
      <c r="G111" s="2">
        <f>+'s1'!R111*0.0098</f>
        <v>0</v>
      </c>
      <c r="H111" s="2">
        <f>+'s1'!S111*0.0098</f>
        <v>0</v>
      </c>
      <c r="I111" s="2">
        <f>+'s1'!T111*0.0098</f>
        <v>0</v>
      </c>
      <c r="J111" s="2">
        <f>+'s1'!U111*0.0098</f>
        <v>0</v>
      </c>
      <c r="K111" s="2">
        <f>+'s1'!V111*0.0098</f>
        <v>0</v>
      </c>
      <c r="L111" s="2">
        <f>+'s1'!W111*0.0098</f>
        <v>0</v>
      </c>
      <c r="M111" s="2">
        <f>+'s1'!X111*0.0098</f>
        <v>0</v>
      </c>
      <c r="N111" s="2">
        <f>+'s1'!Y111*0.0098</f>
        <v>0</v>
      </c>
      <c r="O111" s="2">
        <f>+'s1'!Z111*0.0098</f>
        <v>0</v>
      </c>
      <c r="P111" s="2">
        <f>+'s1'!AA111*0.0098</f>
        <v>0</v>
      </c>
      <c r="Q111" s="2">
        <f>+'s1'!AB111*0.0098</f>
        <v>0</v>
      </c>
      <c r="R111" s="2">
        <f>+'s1'!AC111*0.0098</f>
        <v>0</v>
      </c>
      <c r="S111" s="78">
        <f>SUM(B111:R111)</f>
        <v>489.4</v>
      </c>
      <c r="T111" s="78"/>
    </row>
    <row r="112" spans="1:20" s="20" customFormat="1" x14ac:dyDescent="0.2">
      <c r="A112" s="1" t="s">
        <v>440</v>
      </c>
      <c r="B112" s="2">
        <f>+'s1'!M112*0.0098</f>
        <v>0</v>
      </c>
      <c r="C112" s="2">
        <f>+'s1'!N112*0.0098</f>
        <v>0</v>
      </c>
      <c r="D112" s="2">
        <f>+'s1'!O112*0.0098</f>
        <v>899</v>
      </c>
      <c r="E112" s="2">
        <f>+'s1'!P112*0.0098</f>
        <v>0</v>
      </c>
      <c r="F112" s="2">
        <f>+'s1'!Q112*0.0098</f>
        <v>0</v>
      </c>
      <c r="G112" s="2">
        <f>+'s1'!R112*0.0098</f>
        <v>0</v>
      </c>
      <c r="H112" s="2">
        <f>+'s1'!S112*0.0098</f>
        <v>0</v>
      </c>
      <c r="I112" s="2">
        <f>+'s1'!T112*0.0098</f>
        <v>0</v>
      </c>
      <c r="J112" s="2">
        <f>+'s1'!U112*0.0098</f>
        <v>0</v>
      </c>
      <c r="K112" s="2">
        <f>+'s1'!V112*0.0098</f>
        <v>0</v>
      </c>
      <c r="L112" s="2">
        <f>+'s1'!W112*0.0098</f>
        <v>0</v>
      </c>
      <c r="M112" s="2">
        <f>+'s1'!X112*0.0098</f>
        <v>0</v>
      </c>
      <c r="N112" s="2">
        <f>+'s1'!Y112*0.0098</f>
        <v>0</v>
      </c>
      <c r="O112" s="2">
        <f>+'s1'!Z112*0.0098</f>
        <v>0</v>
      </c>
      <c r="P112" s="2">
        <f>+'s1'!AA112*0.0098</f>
        <v>0</v>
      </c>
      <c r="Q112" s="2">
        <f>+'s1'!AB112*0.0098</f>
        <v>338.19</v>
      </c>
      <c r="R112" s="2">
        <f>+'s1'!AC112*0.0098</f>
        <v>0</v>
      </c>
      <c r="S112" s="78">
        <f>SUM(B112:R112)</f>
        <v>1237.19</v>
      </c>
      <c r="T112" s="78"/>
    </row>
    <row r="113" spans="1:20" s="89" customFormat="1" x14ac:dyDescent="0.2">
      <c r="A113" s="1" t="s">
        <v>492</v>
      </c>
      <c r="B113" s="2">
        <f>+'s1'!M113*0.0098</f>
        <v>0</v>
      </c>
      <c r="C113" s="2">
        <f>+'s1'!N113*0.0098</f>
        <v>0</v>
      </c>
      <c r="D113" s="2">
        <f>+'s1'!O113*0.0098</f>
        <v>2.21</v>
      </c>
      <c r="E113" s="2">
        <f>+'s1'!P113*0.0098</f>
        <v>0</v>
      </c>
      <c r="F113" s="2">
        <f>+'s1'!Q113*0.0098</f>
        <v>0</v>
      </c>
      <c r="G113" s="2">
        <f>+'s1'!R113*0.0098</f>
        <v>0</v>
      </c>
      <c r="H113" s="2">
        <f>+'s1'!S113*0.0098</f>
        <v>0</v>
      </c>
      <c r="I113" s="2">
        <f>+'s1'!T113*0.0098</f>
        <v>0</v>
      </c>
      <c r="J113" s="2">
        <f>+'s1'!U113*0.0098</f>
        <v>0</v>
      </c>
      <c r="K113" s="2">
        <f>+'s1'!V113*0.0098</f>
        <v>0</v>
      </c>
      <c r="L113" s="2">
        <f>+'s1'!W113*0.0098</f>
        <v>0</v>
      </c>
      <c r="M113" s="2">
        <f>+'s1'!X113*0.0098</f>
        <v>0</v>
      </c>
      <c r="N113" s="2">
        <f>+'s1'!Y113*0.0098</f>
        <v>0</v>
      </c>
      <c r="O113" s="2">
        <f>+'s1'!Z113*0.0098</f>
        <v>0</v>
      </c>
      <c r="P113" s="2">
        <f>+'s1'!AA113*0.0098</f>
        <v>0</v>
      </c>
      <c r="Q113" s="2">
        <f>+'s1'!AB113*0.0098</f>
        <v>0</v>
      </c>
      <c r="R113" s="2">
        <f>+'s1'!AC113*0.0098</f>
        <v>0</v>
      </c>
      <c r="S113" s="78">
        <f t="shared" ref="S113:S118" si="6">SUM(B113:R113)</f>
        <v>2.21</v>
      </c>
      <c r="T113" s="10"/>
    </row>
    <row r="114" spans="1:20" s="89" customFormat="1" x14ac:dyDescent="0.2">
      <c r="A114" s="1" t="s">
        <v>83</v>
      </c>
      <c r="B114" s="2">
        <f>+'s1'!M114*0.0098</f>
        <v>0</v>
      </c>
      <c r="C114" s="2">
        <f>+'s1'!N114*0.0098</f>
        <v>0</v>
      </c>
      <c r="D114" s="2">
        <f>+'s1'!O114*0.0098</f>
        <v>0</v>
      </c>
      <c r="E114" s="2">
        <f>+'s1'!P114*0.0098</f>
        <v>0</v>
      </c>
      <c r="F114" s="2">
        <f>+'s1'!Q114*0.0098</f>
        <v>27.85</v>
      </c>
      <c r="G114" s="2">
        <f>+'s1'!R114*0.0098</f>
        <v>0</v>
      </c>
      <c r="H114" s="2">
        <f>+'s1'!S114*0.0098</f>
        <v>0</v>
      </c>
      <c r="I114" s="2">
        <f>+'s1'!T114*0.0098</f>
        <v>215.6</v>
      </c>
      <c r="J114" s="2">
        <f>+'s1'!U114*0.0098</f>
        <v>0</v>
      </c>
      <c r="K114" s="2">
        <f>+'s1'!V114*0.0098</f>
        <v>0</v>
      </c>
      <c r="L114" s="2">
        <f>+'s1'!W114*0.0098</f>
        <v>0</v>
      </c>
      <c r="M114" s="2">
        <f>+'s1'!X114*0.0098</f>
        <v>0</v>
      </c>
      <c r="N114" s="2">
        <f>+'s1'!Y114*0.0098</f>
        <v>0</v>
      </c>
      <c r="O114" s="2">
        <f>+'s1'!Z114*0.0098</f>
        <v>0</v>
      </c>
      <c r="P114" s="2">
        <f>+'s1'!AA114*0.0098</f>
        <v>0</v>
      </c>
      <c r="Q114" s="2">
        <f>+'s1'!AB114*0.0098</f>
        <v>0</v>
      </c>
      <c r="R114" s="2">
        <f>+'s1'!AC114*0.0098</f>
        <v>0</v>
      </c>
      <c r="S114" s="78">
        <f t="shared" si="6"/>
        <v>243.45</v>
      </c>
      <c r="T114" s="10"/>
    </row>
    <row r="115" spans="1:20" s="89" customFormat="1" x14ac:dyDescent="0.2">
      <c r="A115" s="18" t="s">
        <v>575</v>
      </c>
      <c r="B115" s="2">
        <f>+'s1'!M115*0.0098</f>
        <v>0</v>
      </c>
      <c r="C115" s="2">
        <f>+'s1'!N115*0.0098</f>
        <v>0</v>
      </c>
      <c r="D115" s="2">
        <f>+'s1'!O115*0.0098</f>
        <v>2467.9899999999998</v>
      </c>
      <c r="E115" s="2">
        <f>+'s1'!P115*0.0098</f>
        <v>0</v>
      </c>
      <c r="F115" s="2">
        <f>+'s1'!Q115*0.0098</f>
        <v>0</v>
      </c>
      <c r="G115" s="2">
        <f>+'s1'!R115*0.0098</f>
        <v>0</v>
      </c>
      <c r="H115" s="2">
        <f>+'s1'!S115*0.0098</f>
        <v>0</v>
      </c>
      <c r="I115" s="2">
        <f>+'s1'!T115*0.0098</f>
        <v>0</v>
      </c>
      <c r="J115" s="2">
        <f>+'s1'!U115*0.0098</f>
        <v>0</v>
      </c>
      <c r="K115" s="2">
        <f>+'s1'!V115*0.0098</f>
        <v>0</v>
      </c>
      <c r="L115" s="2">
        <f>+'s1'!W115*0.0098</f>
        <v>0</v>
      </c>
      <c r="M115" s="2">
        <f>+'s1'!X115*0.0098</f>
        <v>0</v>
      </c>
      <c r="N115" s="2">
        <f>+'s1'!Y115*0.0098</f>
        <v>0</v>
      </c>
      <c r="O115" s="2">
        <f>+'s1'!Z115*0.0098</f>
        <v>0</v>
      </c>
      <c r="P115" s="2">
        <f>+'s1'!AA115*0.0098</f>
        <v>0</v>
      </c>
      <c r="Q115" s="2">
        <f>+'s1'!AB115*0.0098</f>
        <v>2677.4</v>
      </c>
      <c r="R115" s="2">
        <f>+'s1'!AC115*0.0098</f>
        <v>0</v>
      </c>
      <c r="S115" s="78">
        <f t="shared" si="6"/>
        <v>5145.3900000000003</v>
      </c>
      <c r="T115" s="10"/>
    </row>
    <row r="116" spans="1:20" s="89" customFormat="1" x14ac:dyDescent="0.2">
      <c r="A116" s="18" t="s">
        <v>69</v>
      </c>
      <c r="B116" s="2">
        <f>+'s1'!M116*0.0098</f>
        <v>0</v>
      </c>
      <c r="C116" s="2">
        <f>+'s1'!N116*0.0098</f>
        <v>0</v>
      </c>
      <c r="D116" s="2">
        <f>+'s1'!O116*0.0098</f>
        <v>0</v>
      </c>
      <c r="E116" s="2">
        <f>+'s1'!P116*0.0098</f>
        <v>0</v>
      </c>
      <c r="F116" s="2">
        <f>+'s1'!Q116*0.0098</f>
        <v>0</v>
      </c>
      <c r="G116" s="2">
        <f>+'s1'!R116*0.0098</f>
        <v>0</v>
      </c>
      <c r="H116" s="2">
        <f>+'s1'!S116*0.0098</f>
        <v>0</v>
      </c>
      <c r="I116" s="2">
        <f>+'s1'!T116*0.0098</f>
        <v>0</v>
      </c>
      <c r="J116" s="2">
        <f>+'s1'!U116*0.0098</f>
        <v>0</v>
      </c>
      <c r="K116" s="2">
        <f>+'s1'!V116*0.0098</f>
        <v>0</v>
      </c>
      <c r="L116" s="2">
        <f>+'s1'!W116*0.0098</f>
        <v>0</v>
      </c>
      <c r="M116" s="2">
        <f>+'s1'!X116*0.0098</f>
        <v>0</v>
      </c>
      <c r="N116" s="2">
        <f>+'s1'!Y116*0.0098</f>
        <v>0</v>
      </c>
      <c r="O116" s="2">
        <f>+'s1'!Z116*0.0098</f>
        <v>0</v>
      </c>
      <c r="P116" s="2">
        <f>+'s1'!AA116*0.0098</f>
        <v>0</v>
      </c>
      <c r="Q116" s="2">
        <f>+'s1'!AB116*0.0098</f>
        <v>1433.13</v>
      </c>
      <c r="R116" s="2">
        <f>+'s1'!AC116*0.0098</f>
        <v>0</v>
      </c>
      <c r="S116" s="78">
        <f t="shared" si="6"/>
        <v>1433.13</v>
      </c>
      <c r="T116" s="10"/>
    </row>
    <row r="117" spans="1:20" s="89" customFormat="1" x14ac:dyDescent="0.2">
      <c r="A117" s="1" t="s">
        <v>70</v>
      </c>
      <c r="B117" s="2">
        <f>+'s1'!M117*0.0098</f>
        <v>0</v>
      </c>
      <c r="C117" s="2">
        <f>+'s1'!N117*0.0098</f>
        <v>1525.81</v>
      </c>
      <c r="D117" s="2">
        <f>+'s1'!O117*0.0098</f>
        <v>0</v>
      </c>
      <c r="E117" s="2">
        <f>+'s1'!P117*0.0098</f>
        <v>0</v>
      </c>
      <c r="F117" s="2">
        <f>+'s1'!Q117*0.0098</f>
        <v>0</v>
      </c>
      <c r="G117" s="2">
        <f>+'s1'!R117*0.0098</f>
        <v>25.73</v>
      </c>
      <c r="H117" s="2">
        <f>+'s1'!S117*0.0098</f>
        <v>0</v>
      </c>
      <c r="I117" s="2">
        <f>+'s1'!T117*0.0098</f>
        <v>0</v>
      </c>
      <c r="J117" s="2">
        <f>+'s1'!U117*0.0098</f>
        <v>0</v>
      </c>
      <c r="K117" s="2">
        <f>+'s1'!V117*0.0098</f>
        <v>0</v>
      </c>
      <c r="L117" s="2">
        <f>+'s1'!W117*0.0098</f>
        <v>0</v>
      </c>
      <c r="M117" s="2">
        <f>+'s1'!X117*0.0098</f>
        <v>613.96</v>
      </c>
      <c r="N117" s="2">
        <f>+'s1'!Y117*0.0098</f>
        <v>0</v>
      </c>
      <c r="O117" s="2">
        <f>+'s1'!Z117*0.0098</f>
        <v>0</v>
      </c>
      <c r="P117" s="2">
        <f>+'s1'!AA117*0.0098</f>
        <v>0</v>
      </c>
      <c r="Q117" s="2">
        <f>+'s1'!AB117*0.0098</f>
        <v>0</v>
      </c>
      <c r="R117" s="2">
        <f>+'s1'!AC117*0.0098</f>
        <v>0</v>
      </c>
      <c r="S117" s="78">
        <f t="shared" si="6"/>
        <v>2165.5</v>
      </c>
      <c r="T117" s="10"/>
    </row>
    <row r="118" spans="1:20" s="89" customFormat="1" x14ac:dyDescent="0.2">
      <c r="A118" s="1" t="s">
        <v>360</v>
      </c>
      <c r="B118" s="2">
        <f>+'s1'!M118*0.0098</f>
        <v>0</v>
      </c>
      <c r="C118" s="2">
        <f>+'s1'!N118*0.0098</f>
        <v>0</v>
      </c>
      <c r="D118" s="2">
        <f>+'s1'!O118*0.0098</f>
        <v>1404.79</v>
      </c>
      <c r="E118" s="2">
        <f>+'s1'!P118*0.0098</f>
        <v>0</v>
      </c>
      <c r="F118" s="2">
        <f>+'s1'!Q118*0.0098</f>
        <v>0</v>
      </c>
      <c r="G118" s="2">
        <f>+'s1'!R118*0.0098</f>
        <v>0</v>
      </c>
      <c r="H118" s="2">
        <f>+'s1'!S118*0.0098</f>
        <v>0</v>
      </c>
      <c r="I118" s="2">
        <f>+'s1'!T118*0.0098</f>
        <v>0</v>
      </c>
      <c r="J118" s="2">
        <f>+'s1'!U118*0.0098</f>
        <v>0</v>
      </c>
      <c r="K118" s="2">
        <f>+'s1'!V118*0.0098</f>
        <v>0</v>
      </c>
      <c r="L118" s="2">
        <f>+'s1'!W118*0.0098</f>
        <v>0</v>
      </c>
      <c r="M118" s="2">
        <f>+'s1'!X118*0.0098</f>
        <v>0</v>
      </c>
      <c r="N118" s="2">
        <f>+'s1'!Y118*0.0098</f>
        <v>0</v>
      </c>
      <c r="O118" s="2">
        <f>+'s1'!Z118*0.0098</f>
        <v>0</v>
      </c>
      <c r="P118" s="2">
        <f>+'s1'!AA118*0.0098</f>
        <v>0</v>
      </c>
      <c r="Q118" s="2">
        <f>+'s1'!AB118*0.0098</f>
        <v>0</v>
      </c>
      <c r="R118" s="2">
        <f>+'s1'!AC118*0.0098</f>
        <v>0</v>
      </c>
      <c r="S118" s="78">
        <f t="shared" si="6"/>
        <v>1404.79</v>
      </c>
      <c r="T118" s="10"/>
    </row>
    <row r="119" spans="1:20" ht="24.75" customHeight="1" thickBot="1" x14ac:dyDescent="0.25">
      <c r="A119" s="1" t="s">
        <v>12</v>
      </c>
      <c r="B119" s="36">
        <f t="shared" ref="B119:S119" si="7">SUM(B12:B118)</f>
        <v>32886.07</v>
      </c>
      <c r="C119" s="36">
        <f t="shared" si="7"/>
        <v>8448.75</v>
      </c>
      <c r="D119" s="36">
        <f t="shared" si="7"/>
        <v>588211.74</v>
      </c>
      <c r="E119" s="36">
        <f t="shared" si="7"/>
        <v>21866.3</v>
      </c>
      <c r="F119" s="36">
        <f t="shared" si="7"/>
        <v>23001.66</v>
      </c>
      <c r="G119" s="36">
        <f t="shared" si="7"/>
        <v>449.1</v>
      </c>
      <c r="H119" s="36">
        <f t="shared" si="7"/>
        <v>1060.21</v>
      </c>
      <c r="I119" s="36">
        <f t="shared" si="7"/>
        <v>11761.48</v>
      </c>
      <c r="J119" s="36">
        <f t="shared" si="7"/>
        <v>3408.53</v>
      </c>
      <c r="K119" s="36">
        <f t="shared" si="7"/>
        <v>1375.58</v>
      </c>
      <c r="L119" s="36">
        <f t="shared" si="7"/>
        <v>17863.03</v>
      </c>
      <c r="M119" s="36">
        <f t="shared" si="7"/>
        <v>2527.87</v>
      </c>
      <c r="N119" s="36">
        <f t="shared" si="7"/>
        <v>18519.54</v>
      </c>
      <c r="O119" s="36">
        <f t="shared" si="7"/>
        <v>2981.62</v>
      </c>
      <c r="P119" s="36">
        <f t="shared" si="7"/>
        <v>357.99</v>
      </c>
      <c r="Q119" s="36">
        <f t="shared" si="7"/>
        <v>153575.57</v>
      </c>
      <c r="R119" s="36">
        <f t="shared" si="7"/>
        <v>6109.41</v>
      </c>
      <c r="S119" s="36">
        <f t="shared" si="7"/>
        <v>894404.45</v>
      </c>
      <c r="T119" s="1"/>
    </row>
    <row r="120" spans="1:20" hidden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</row>
    <row r="121" spans="1:20" hidden="1" x14ac:dyDescent="0.2">
      <c r="B121" s="2"/>
    </row>
    <row r="122" spans="1:20" hidden="1" x14ac:dyDescent="0.2">
      <c r="S122" s="11">
        <f>SUM(B119:R119)</f>
        <v>894404.45</v>
      </c>
      <c r="T122" t="s">
        <v>104</v>
      </c>
    </row>
    <row r="123" spans="1:20" hidden="1" x14ac:dyDescent="0.2"/>
    <row r="124" spans="1:20" hidden="1" x14ac:dyDescent="0.2"/>
    <row r="125" spans="1:20" hidden="1" x14ac:dyDescent="0.2"/>
    <row r="126" spans="1:20" hidden="1" x14ac:dyDescent="0.2"/>
    <row r="127" spans="1:20" hidden="1" x14ac:dyDescent="0.2"/>
  </sheetData>
  <phoneticPr fontId="0" type="noConversion"/>
  <printOptions horizontalCentered="1"/>
  <pageMargins left="0.28000000000000003" right="0.33" top="0.5" bottom="0.5" header="0.25" footer="0.25"/>
  <pageSetup scale="58" fitToHeight="2" orientation="landscape" r:id="rId1"/>
  <headerFooter alignWithMargins="0"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180"/>
  <sheetViews>
    <sheetView zoomScale="75" workbookViewId="0">
      <selection activeCell="A5" sqref="A5"/>
    </sheetView>
  </sheetViews>
  <sheetFormatPr defaultRowHeight="12.75" x14ac:dyDescent="0.2"/>
  <cols>
    <col min="1" max="1" width="15.7109375" customWidth="1"/>
    <col min="2" max="2" width="15.85546875" customWidth="1"/>
    <col min="3" max="3" width="15.7109375" customWidth="1"/>
    <col min="4" max="4" width="17.85546875" customWidth="1"/>
    <col min="5" max="5" width="12.85546875" customWidth="1"/>
    <col min="6" max="6" width="14.28515625" customWidth="1"/>
    <col min="7" max="7" width="14.5703125" customWidth="1"/>
    <col min="8" max="8" width="20.140625" customWidth="1"/>
    <col min="9" max="9" width="13.28515625" hidden="1" customWidth="1"/>
    <col min="10" max="10" width="0" hidden="1" customWidth="1"/>
    <col min="11" max="11" width="16.140625" hidden="1" customWidth="1"/>
    <col min="12" max="14" width="13.7109375" hidden="1" customWidth="1"/>
    <col min="15" max="15" width="15.140625" style="265" hidden="1" customWidth="1"/>
    <col min="16" max="16" width="17.28515625" hidden="1" customWidth="1"/>
    <col min="17" max="17" width="13.5703125" hidden="1" customWidth="1"/>
    <col min="18" max="18" width="17.140625" hidden="1" customWidth="1"/>
    <col min="19" max="19" width="14.5703125" hidden="1" customWidth="1"/>
    <col min="20" max="68" width="0" hidden="1" customWidth="1"/>
  </cols>
  <sheetData>
    <row r="1" spans="1:22" ht="15.75" x14ac:dyDescent="0.25">
      <c r="A1" s="63" t="s">
        <v>105</v>
      </c>
      <c r="B1" s="1"/>
      <c r="C1" s="1"/>
      <c r="D1" s="1"/>
      <c r="E1" s="1"/>
      <c r="F1" s="1"/>
      <c r="G1" s="1"/>
      <c r="H1" s="1"/>
      <c r="I1" s="1"/>
      <c r="J1" s="1"/>
      <c r="K1" s="63" t="s">
        <v>105</v>
      </c>
      <c r="L1" s="63"/>
      <c r="N1" s="1"/>
      <c r="O1" s="263"/>
      <c r="P1" s="1"/>
      <c r="Q1" s="1"/>
      <c r="R1" s="1"/>
      <c r="S1" s="1"/>
      <c r="T1" s="1"/>
      <c r="U1" s="1"/>
      <c r="V1" s="1"/>
    </row>
    <row r="2" spans="1:22" ht="15.75" x14ac:dyDescent="0.25">
      <c r="A2" s="116" t="str">
        <f>ReportMonth</f>
        <v>JUNE 2004</v>
      </c>
      <c r="B2" s="1"/>
      <c r="C2" s="1"/>
      <c r="D2" s="1"/>
      <c r="E2" s="1"/>
      <c r="F2" s="1"/>
      <c r="G2" s="1"/>
      <c r="H2" s="10"/>
      <c r="I2" s="2">
        <f>ST5.35</f>
        <v>4783432.29</v>
      </c>
      <c r="J2" s="1"/>
      <c r="K2" s="77" t="str">
        <f>ReportMonth</f>
        <v>JUNE 2004</v>
      </c>
      <c r="L2" s="63"/>
      <c r="M2" s="63"/>
      <c r="N2" s="1"/>
      <c r="O2" s="263"/>
      <c r="P2" s="1"/>
      <c r="Q2" s="1"/>
      <c r="R2" s="1"/>
      <c r="S2" s="1"/>
      <c r="T2" s="1"/>
      <c r="U2" s="1"/>
      <c r="V2" s="1"/>
    </row>
    <row r="3" spans="1:22" ht="14.25" customHeight="1" x14ac:dyDescent="0.2">
      <c r="A3" s="118" t="s">
        <v>106</v>
      </c>
      <c r="B3" s="1"/>
      <c r="D3" s="1"/>
      <c r="E3" s="1"/>
      <c r="F3" s="1"/>
      <c r="G3" s="1"/>
      <c r="H3" s="10"/>
      <c r="I3" s="131">
        <f>LessWP535</f>
        <v>60110.720000000001</v>
      </c>
      <c r="J3" s="1"/>
      <c r="K3" s="118" t="s">
        <v>107</v>
      </c>
      <c r="L3" s="1"/>
      <c r="M3" s="1"/>
      <c r="N3" s="1"/>
      <c r="O3" s="263"/>
      <c r="Q3" s="1"/>
      <c r="R3" s="1"/>
      <c r="S3" s="1"/>
      <c r="T3" s="1"/>
      <c r="U3" s="1"/>
      <c r="V3" s="1"/>
    </row>
    <row r="4" spans="1:22" ht="15.75" x14ac:dyDescent="0.25">
      <c r="A4" s="66" t="s">
        <v>108</v>
      </c>
      <c r="B4" s="42"/>
      <c r="C4" s="42"/>
      <c r="D4" s="42"/>
      <c r="E4" s="42"/>
      <c r="F4" s="42"/>
      <c r="G4" s="1"/>
      <c r="H4" s="10"/>
      <c r="I4" s="12">
        <f>LessAF535</f>
        <v>15805.83</v>
      </c>
      <c r="J4" s="1"/>
      <c r="K4" s="95" t="s">
        <v>109</v>
      </c>
      <c r="L4" s="43"/>
      <c r="M4" s="43"/>
      <c r="N4" s="43"/>
      <c r="O4" s="264"/>
      <c r="P4" s="43"/>
      <c r="Q4" s="43"/>
      <c r="R4" s="43"/>
      <c r="T4" s="1"/>
      <c r="U4" s="1"/>
      <c r="V4" s="1"/>
    </row>
    <row r="5" spans="1:22" x14ac:dyDescent="0.2">
      <c r="G5" s="1"/>
      <c r="H5" s="10"/>
      <c r="I5" s="2">
        <f>SUM(I2-(I3+I4))</f>
        <v>4707515.74</v>
      </c>
      <c r="J5" s="1"/>
      <c r="K5" s="1"/>
      <c r="S5" s="1"/>
      <c r="T5" s="1"/>
      <c r="U5" s="1"/>
      <c r="V5" s="1"/>
    </row>
    <row r="6" spans="1:22" x14ac:dyDescent="0.2">
      <c r="A6" s="1"/>
      <c r="B6" s="6"/>
      <c r="E6" s="5"/>
      <c r="F6" s="5"/>
      <c r="G6" s="1"/>
      <c r="H6" s="10"/>
      <c r="I6" s="1"/>
      <c r="J6" s="1"/>
      <c r="K6" s="1"/>
      <c r="L6" s="1"/>
      <c r="M6" s="1"/>
      <c r="N6" s="1"/>
      <c r="O6" s="263"/>
      <c r="Q6" s="1"/>
      <c r="R6" s="1"/>
      <c r="S6" s="1"/>
      <c r="T6" s="1"/>
      <c r="U6" s="1"/>
      <c r="V6" s="1"/>
    </row>
    <row r="7" spans="1:22" x14ac:dyDescent="0.2">
      <c r="A7" s="1"/>
      <c r="B7" s="6"/>
      <c r="C7" s="119" t="s">
        <v>111</v>
      </c>
      <c r="D7" s="119" t="s">
        <v>112</v>
      </c>
      <c r="E7" s="119" t="s">
        <v>113</v>
      </c>
      <c r="F7" s="5" t="s">
        <v>72</v>
      </c>
      <c r="G7" s="1"/>
      <c r="H7" s="10"/>
      <c r="I7" s="2">
        <f>SUM($I$5*0.327103)</f>
        <v>1539842.52</v>
      </c>
      <c r="J7" s="1"/>
      <c r="K7" s="1"/>
      <c r="L7" s="1"/>
      <c r="M7" s="1"/>
      <c r="N7" s="1"/>
      <c r="O7" s="266" t="s">
        <v>72</v>
      </c>
      <c r="P7" s="119" t="s">
        <v>114</v>
      </c>
      <c r="Q7" s="119" t="s">
        <v>115</v>
      </c>
      <c r="R7" s="119" t="s">
        <v>116</v>
      </c>
      <c r="S7" s="1"/>
      <c r="T7" s="1"/>
      <c r="U7" s="1"/>
      <c r="V7" s="1"/>
    </row>
    <row r="8" spans="1:22" x14ac:dyDescent="0.2">
      <c r="A8" s="1"/>
      <c r="B8" s="97" t="s">
        <v>117</v>
      </c>
      <c r="C8" s="97" t="s">
        <v>118</v>
      </c>
      <c r="D8" s="97" t="s">
        <v>119</v>
      </c>
      <c r="E8" s="97" t="s">
        <v>120</v>
      </c>
      <c r="F8" s="97" t="s">
        <v>121</v>
      </c>
      <c r="G8" s="1"/>
      <c r="H8" s="10"/>
      <c r="I8" s="2">
        <f>SUM($I$5*0.233645)</f>
        <v>1099887.52</v>
      </c>
      <c r="J8" s="1"/>
      <c r="K8" s="4"/>
      <c r="L8" s="40" t="s">
        <v>122</v>
      </c>
      <c r="M8" s="40" t="s">
        <v>123</v>
      </c>
      <c r="N8" s="40" t="s">
        <v>124</v>
      </c>
      <c r="O8" s="267" t="s">
        <v>125</v>
      </c>
      <c r="P8" s="97" t="s">
        <v>126</v>
      </c>
      <c r="Q8" s="97" t="s">
        <v>127</v>
      </c>
      <c r="R8" s="97" t="s">
        <v>128</v>
      </c>
      <c r="S8" s="1"/>
      <c r="T8" s="1"/>
      <c r="U8" s="1"/>
      <c r="V8" s="1"/>
    </row>
    <row r="9" spans="1:22" x14ac:dyDescent="0.2">
      <c r="A9" s="1"/>
      <c r="B9" s="1"/>
      <c r="C9" s="1"/>
      <c r="D9" s="1"/>
      <c r="E9" s="1"/>
      <c r="F9" s="1"/>
      <c r="G9" s="1"/>
      <c r="H9" s="10"/>
      <c r="I9" s="2">
        <f>SUM($I$5*0.439252)</f>
        <v>2067785.7</v>
      </c>
      <c r="J9" s="1"/>
      <c r="K9" s="1"/>
      <c r="L9" s="1"/>
      <c r="M9" s="1"/>
      <c r="N9" s="1"/>
      <c r="O9" s="263"/>
      <c r="P9" s="1"/>
      <c r="Q9" s="1"/>
      <c r="R9" s="1"/>
      <c r="S9" s="1"/>
      <c r="T9" s="1"/>
      <c r="U9" s="1"/>
      <c r="V9" s="1"/>
    </row>
    <row r="10" spans="1:22" x14ac:dyDescent="0.2">
      <c r="A10" s="1" t="s">
        <v>129</v>
      </c>
      <c r="B10" s="7">
        <f>CA</f>
        <v>3355721</v>
      </c>
      <c r="C10" s="30">
        <f t="shared" ref="C10:C26" si="0">SUM(B10/$B$27)</f>
        <v>3.6752066E-2</v>
      </c>
      <c r="D10" s="2">
        <f t="shared" ref="D10:D26" si="1">SUM($I$7*C10)</f>
        <v>56592.39</v>
      </c>
      <c r="E10" s="2">
        <v>8.85</v>
      </c>
      <c r="F10" s="2">
        <f t="shared" ref="F10:F26" si="2">SUM(+D10-E10)</f>
        <v>56583.54</v>
      </c>
      <c r="G10" s="1"/>
      <c r="H10" s="10"/>
      <c r="I10" s="1"/>
      <c r="J10" s="14"/>
      <c r="K10" s="1" t="s">
        <v>129</v>
      </c>
      <c r="L10" s="2">
        <f t="shared" ref="L10:L26" si="3">F10</f>
        <v>56583.54</v>
      </c>
      <c r="M10" s="2">
        <f t="shared" ref="M10:M26" si="4">G37</f>
        <v>17054.560000000001</v>
      </c>
      <c r="N10" s="2">
        <f t="shared" ref="N10:N26" si="5">G68</f>
        <v>0</v>
      </c>
      <c r="O10" s="268">
        <f t="shared" ref="O10:O26" si="6">L10+M10+N10</f>
        <v>73638.100000000006</v>
      </c>
      <c r="P10" s="2">
        <f>NETCAG</f>
        <v>294449.21000000002</v>
      </c>
      <c r="Q10" s="2">
        <f>NETCAG1</f>
        <v>32881.01</v>
      </c>
      <c r="R10" s="2">
        <f t="shared" ref="R10:R26" si="7">SUM(O10:Q10)</f>
        <v>400968.32</v>
      </c>
      <c r="S10" s="1">
        <f t="shared" ref="S10:S26" si="8">L10+M10+N10+P10+Q10</f>
        <v>400968.32</v>
      </c>
      <c r="T10" s="1"/>
      <c r="U10" s="1"/>
      <c r="V10" s="1"/>
    </row>
    <row r="11" spans="1:22" x14ac:dyDescent="0.2">
      <c r="A11" s="1" t="s">
        <v>130</v>
      </c>
      <c r="B11" s="7">
        <f>CH</f>
        <v>862117</v>
      </c>
      <c r="C11" s="30">
        <f t="shared" si="0"/>
        <v>9.4419589999999998E-3</v>
      </c>
      <c r="D11" s="2">
        <f t="shared" si="1"/>
        <v>14539.13</v>
      </c>
      <c r="E11" s="2">
        <v>35.229999999999997</v>
      </c>
      <c r="F11" s="2">
        <f t="shared" si="2"/>
        <v>14503.9</v>
      </c>
      <c r="G11" s="1"/>
      <c r="H11" s="10"/>
      <c r="I11" s="2">
        <f>SUM(I7:I9)</f>
        <v>4707515.74</v>
      </c>
      <c r="J11" s="14"/>
      <c r="K11" s="1" t="s">
        <v>130</v>
      </c>
      <c r="L11" s="2">
        <f t="shared" si="3"/>
        <v>14503.9</v>
      </c>
      <c r="M11" s="2">
        <f t="shared" si="4"/>
        <v>30464.28</v>
      </c>
      <c r="N11" s="2">
        <f t="shared" si="5"/>
        <v>0</v>
      </c>
      <c r="O11" s="268">
        <f t="shared" si="6"/>
        <v>44968.18</v>
      </c>
      <c r="P11" s="2">
        <f>NETCHG</f>
        <v>75477.37</v>
      </c>
      <c r="Q11" s="2">
        <f>NETCHG1</f>
        <v>8428.6299999999992</v>
      </c>
      <c r="R11" s="2">
        <f t="shared" si="7"/>
        <v>128874.18</v>
      </c>
      <c r="S11" s="1">
        <f t="shared" si="8"/>
        <v>128874.18</v>
      </c>
      <c r="T11" s="1"/>
      <c r="U11" s="1"/>
      <c r="V11" s="1"/>
    </row>
    <row r="12" spans="1:22" x14ac:dyDescent="0.2">
      <c r="A12" s="1" t="s">
        <v>131</v>
      </c>
      <c r="B12" s="7">
        <f>CL</f>
        <v>60047513</v>
      </c>
      <c r="C12" s="30">
        <f t="shared" si="0"/>
        <v>0.65764412000000005</v>
      </c>
      <c r="D12" s="2">
        <f>SUM($I$7*C12)</f>
        <v>1012668.38</v>
      </c>
      <c r="E12" s="2">
        <v>247.66</v>
      </c>
      <c r="F12" s="2">
        <f t="shared" si="2"/>
        <v>1012420.72</v>
      </c>
      <c r="G12" s="1"/>
      <c r="H12" s="10"/>
      <c r="I12" s="1"/>
      <c r="J12" s="14"/>
      <c r="K12" s="1" t="s">
        <v>131</v>
      </c>
      <c r="L12" s="2">
        <f t="shared" si="3"/>
        <v>1012420.72</v>
      </c>
      <c r="M12" s="2">
        <f t="shared" si="4"/>
        <v>438222.16</v>
      </c>
      <c r="N12" s="2">
        <f t="shared" si="5"/>
        <v>0</v>
      </c>
      <c r="O12" s="268">
        <f t="shared" si="6"/>
        <v>1450642.88</v>
      </c>
      <c r="P12" s="2">
        <f>NETCLG</f>
        <v>5268267.59</v>
      </c>
      <c r="Q12" s="2">
        <f>NETCLG1</f>
        <v>588070.22</v>
      </c>
      <c r="R12" s="2">
        <f t="shared" si="7"/>
        <v>7306980.6900000004</v>
      </c>
      <c r="S12" s="1">
        <f t="shared" si="8"/>
        <v>7306980.6900000004</v>
      </c>
      <c r="T12" s="1"/>
      <c r="U12" s="1"/>
      <c r="V12" s="1"/>
    </row>
    <row r="13" spans="1:22" x14ac:dyDescent="0.2">
      <c r="A13" s="1" t="s">
        <v>132</v>
      </c>
      <c r="B13" s="7">
        <f>DO</f>
        <v>2231254</v>
      </c>
      <c r="C13" s="30">
        <f t="shared" si="0"/>
        <v>2.4436833000000002E-2</v>
      </c>
      <c r="D13" s="2">
        <f t="shared" si="1"/>
        <v>37628.870000000003</v>
      </c>
      <c r="E13" s="2">
        <v>218.66</v>
      </c>
      <c r="F13" s="2">
        <f t="shared" si="2"/>
        <v>37410.21</v>
      </c>
      <c r="G13" s="1"/>
      <c r="H13" s="10"/>
      <c r="I13" s="1"/>
      <c r="J13" s="14"/>
      <c r="K13" s="1" t="s">
        <v>132</v>
      </c>
      <c r="L13" s="2">
        <f t="shared" si="3"/>
        <v>37410.21</v>
      </c>
      <c r="M13" s="2">
        <f t="shared" si="4"/>
        <v>20868.02</v>
      </c>
      <c r="N13" s="2">
        <f t="shared" si="5"/>
        <v>0</v>
      </c>
      <c r="O13" s="268">
        <f t="shared" si="6"/>
        <v>58278.23</v>
      </c>
      <c r="P13" s="2">
        <f>NETDOG</f>
        <v>86528.03</v>
      </c>
      <c r="Q13" s="2">
        <f>NETDOG1</f>
        <v>21741.35</v>
      </c>
      <c r="R13" s="2">
        <f t="shared" si="7"/>
        <v>166547.60999999999</v>
      </c>
      <c r="S13" s="1">
        <f t="shared" si="8"/>
        <v>166547.60999999999</v>
      </c>
      <c r="T13" s="1"/>
      <c r="U13" s="1"/>
      <c r="V13" s="1"/>
    </row>
    <row r="14" spans="1:22" x14ac:dyDescent="0.2">
      <c r="A14" s="1" t="s">
        <v>133</v>
      </c>
      <c r="B14" s="7">
        <f>EL</f>
        <v>2347307</v>
      </c>
      <c r="C14" s="30">
        <f t="shared" si="0"/>
        <v>2.5707852999999999E-2</v>
      </c>
      <c r="D14" s="2">
        <f t="shared" si="1"/>
        <v>39586.050000000003</v>
      </c>
      <c r="E14" s="2">
        <v>210.99</v>
      </c>
      <c r="F14" s="2">
        <f t="shared" si="2"/>
        <v>39375.06</v>
      </c>
      <c r="G14" s="1"/>
      <c r="H14" s="10"/>
      <c r="I14" s="2">
        <f>+'s1'!I122</f>
        <v>64540.24</v>
      </c>
      <c r="J14" s="14"/>
      <c r="K14" s="1" t="s">
        <v>133</v>
      </c>
      <c r="L14" s="2">
        <f t="shared" si="3"/>
        <v>39375.06</v>
      </c>
      <c r="M14" s="2">
        <f t="shared" si="4"/>
        <v>73223.42</v>
      </c>
      <c r="N14" s="2">
        <f t="shared" si="5"/>
        <v>0</v>
      </c>
      <c r="O14" s="268">
        <f t="shared" si="6"/>
        <v>112598.48</v>
      </c>
      <c r="P14" s="2">
        <f>NETELG</f>
        <v>91064.3</v>
      </c>
      <c r="Q14" s="2">
        <f>NETELG1</f>
        <v>22881.11</v>
      </c>
      <c r="R14" s="2">
        <f t="shared" si="7"/>
        <v>226543.89</v>
      </c>
      <c r="S14" s="1">
        <f t="shared" si="8"/>
        <v>226543.89</v>
      </c>
      <c r="T14" s="1"/>
      <c r="U14" s="1"/>
      <c r="V14" s="1"/>
    </row>
    <row r="15" spans="1:22" x14ac:dyDescent="0.2">
      <c r="A15" s="1" t="s">
        <v>134</v>
      </c>
      <c r="B15" s="7">
        <f>ES</f>
        <v>45826</v>
      </c>
      <c r="C15" s="30">
        <f t="shared" si="0"/>
        <v>5.0188900000000005E-4</v>
      </c>
      <c r="D15" s="2">
        <f t="shared" si="1"/>
        <v>772.83</v>
      </c>
      <c r="E15" s="2">
        <v>0</v>
      </c>
      <c r="F15" s="2">
        <f t="shared" si="2"/>
        <v>772.83</v>
      </c>
      <c r="G15" s="1"/>
      <c r="H15" s="108"/>
      <c r="I15" s="14">
        <v>2.7400000000000001E-2</v>
      </c>
      <c r="J15" s="14"/>
      <c r="K15" s="1" t="s">
        <v>134</v>
      </c>
      <c r="L15" s="2">
        <f t="shared" si="3"/>
        <v>772.83</v>
      </c>
      <c r="M15" s="2">
        <f t="shared" si="4"/>
        <v>17625.32</v>
      </c>
      <c r="N15" s="2">
        <f t="shared" si="5"/>
        <v>0</v>
      </c>
      <c r="O15" s="268">
        <f t="shared" si="6"/>
        <v>18398.150000000001</v>
      </c>
      <c r="P15" s="2">
        <f>NETESG</f>
        <v>1787.4</v>
      </c>
      <c r="Q15" s="2">
        <f>NETESG1</f>
        <v>449.1</v>
      </c>
      <c r="R15" s="2">
        <f t="shared" si="7"/>
        <v>20634.650000000001</v>
      </c>
      <c r="S15" s="1">
        <f t="shared" si="8"/>
        <v>20634.650000000001</v>
      </c>
      <c r="T15" s="1"/>
      <c r="U15" s="1"/>
      <c r="V15" s="1"/>
    </row>
    <row r="16" spans="1:22" x14ac:dyDescent="0.2">
      <c r="A16" s="1" t="s">
        <v>135</v>
      </c>
      <c r="B16" s="7">
        <f>EU</f>
        <v>108184</v>
      </c>
      <c r="C16" s="30">
        <f t="shared" si="0"/>
        <v>1.1848379999999999E-3</v>
      </c>
      <c r="D16" s="2">
        <f t="shared" si="1"/>
        <v>1824.46</v>
      </c>
      <c r="E16" s="2">
        <v>29.64</v>
      </c>
      <c r="F16" s="2">
        <f t="shared" si="2"/>
        <v>1794.82</v>
      </c>
      <c r="G16" s="1"/>
      <c r="H16" s="10"/>
      <c r="I16" s="1"/>
      <c r="J16" s="14"/>
      <c r="K16" s="1" t="s">
        <v>135</v>
      </c>
      <c r="L16" s="2">
        <f t="shared" si="3"/>
        <v>1794.82</v>
      </c>
      <c r="M16" s="2">
        <f t="shared" si="4"/>
        <v>21691</v>
      </c>
      <c r="N16" s="2">
        <f t="shared" si="5"/>
        <v>0</v>
      </c>
      <c r="O16" s="268">
        <f t="shared" si="6"/>
        <v>23485.82</v>
      </c>
      <c r="P16" s="2">
        <f>NETEUG</f>
        <v>4151.88</v>
      </c>
      <c r="Q16" s="2">
        <f>NETEUG1</f>
        <v>1043.27</v>
      </c>
      <c r="R16" s="2">
        <f t="shared" si="7"/>
        <v>28680.97</v>
      </c>
      <c r="S16" s="1">
        <f t="shared" si="8"/>
        <v>28680.97</v>
      </c>
      <c r="T16" s="1"/>
      <c r="U16" s="1"/>
      <c r="V16" s="1"/>
    </row>
    <row r="17" spans="1:19" x14ac:dyDescent="0.2">
      <c r="A17" s="1" t="s">
        <v>136</v>
      </c>
      <c r="B17" s="7">
        <f>HU</f>
        <v>1200152</v>
      </c>
      <c r="C17" s="30">
        <f t="shared" si="0"/>
        <v>1.314414E-2</v>
      </c>
      <c r="D17" s="2">
        <f t="shared" si="1"/>
        <v>20239.91</v>
      </c>
      <c r="E17" s="2">
        <v>119.48</v>
      </c>
      <c r="F17" s="2">
        <f t="shared" si="2"/>
        <v>20120.43</v>
      </c>
      <c r="G17" s="1"/>
      <c r="H17" s="108"/>
      <c r="I17" s="222">
        <f>+Q107</f>
        <v>7359.21</v>
      </c>
      <c r="J17" s="14"/>
      <c r="K17" s="1" t="s">
        <v>136</v>
      </c>
      <c r="L17" s="2">
        <f t="shared" si="3"/>
        <v>20120.43</v>
      </c>
      <c r="M17" s="2">
        <f t="shared" si="4"/>
        <v>44204.77</v>
      </c>
      <c r="N17" s="2">
        <f t="shared" si="5"/>
        <v>0</v>
      </c>
      <c r="O17" s="268">
        <f t="shared" si="6"/>
        <v>64325.2</v>
      </c>
      <c r="P17" s="2">
        <f>NETHUG</f>
        <v>104709.74</v>
      </c>
      <c r="Q17" s="2">
        <f>NETHUG1</f>
        <v>11693.22</v>
      </c>
      <c r="R17" s="2">
        <f t="shared" si="7"/>
        <v>180728.16</v>
      </c>
      <c r="S17" s="1">
        <f t="shared" si="8"/>
        <v>180728.16</v>
      </c>
    </row>
    <row r="18" spans="1:19" x14ac:dyDescent="0.2">
      <c r="A18" s="1" t="s">
        <v>137</v>
      </c>
      <c r="B18" s="7">
        <f>LA</f>
        <v>350896</v>
      </c>
      <c r="C18" s="30">
        <f t="shared" si="0"/>
        <v>3.8430349999999999E-3</v>
      </c>
      <c r="D18" s="2">
        <f t="shared" si="1"/>
        <v>5917.67</v>
      </c>
      <c r="E18" s="2">
        <v>74.33</v>
      </c>
      <c r="F18" s="2">
        <f t="shared" si="2"/>
        <v>5843.34</v>
      </c>
      <c r="G18" s="1"/>
      <c r="H18" s="393"/>
      <c r="I18" s="222">
        <f>+Q108</f>
        <v>5245.39</v>
      </c>
      <c r="J18" s="14"/>
      <c r="K18" s="1" t="s">
        <v>137</v>
      </c>
      <c r="L18" s="2">
        <f t="shared" si="3"/>
        <v>5843.34</v>
      </c>
      <c r="M18" s="2">
        <f t="shared" si="4"/>
        <v>28018.53</v>
      </c>
      <c r="N18" s="2">
        <f t="shared" si="5"/>
        <v>0</v>
      </c>
      <c r="O18" s="268">
        <f t="shared" si="6"/>
        <v>33861.870000000003</v>
      </c>
      <c r="P18" s="2">
        <f>NETLAG</f>
        <v>31084.31</v>
      </c>
      <c r="Q18" s="2">
        <f>NETLAG1</f>
        <v>3366.06</v>
      </c>
      <c r="R18" s="2">
        <f t="shared" si="7"/>
        <v>68312.240000000005</v>
      </c>
      <c r="S18" s="1">
        <f t="shared" si="8"/>
        <v>68312.240000000005</v>
      </c>
    </row>
    <row r="19" spans="1:19" x14ac:dyDescent="0.2">
      <c r="A19" s="1" t="s">
        <v>138</v>
      </c>
      <c r="B19" s="7">
        <f>LI</f>
        <v>140365</v>
      </c>
      <c r="C19" s="30">
        <f t="shared" si="0"/>
        <v>1.5372859999999999E-3</v>
      </c>
      <c r="D19" s="2">
        <f t="shared" si="1"/>
        <v>2367.1799999999998</v>
      </c>
      <c r="E19" s="2">
        <v>0</v>
      </c>
      <c r="F19" s="2">
        <f t="shared" si="2"/>
        <v>2367.1799999999998</v>
      </c>
      <c r="G19" s="1"/>
      <c r="H19" s="108"/>
      <c r="I19" s="222">
        <f>+Q109</f>
        <v>9880.1299999999992</v>
      </c>
      <c r="J19" s="14"/>
      <c r="K19" s="1" t="s">
        <v>138</v>
      </c>
      <c r="L19" s="2">
        <f t="shared" si="3"/>
        <v>2367.1799999999998</v>
      </c>
      <c r="M19" s="2">
        <f t="shared" si="4"/>
        <v>48344.31</v>
      </c>
      <c r="N19" s="2">
        <f t="shared" si="5"/>
        <v>0</v>
      </c>
      <c r="O19" s="268">
        <f t="shared" si="6"/>
        <v>50711.49</v>
      </c>
      <c r="P19" s="2">
        <f>NETLIG</f>
        <v>5474.81</v>
      </c>
      <c r="Q19" s="2">
        <f>NETLIG1</f>
        <v>1375.58</v>
      </c>
      <c r="R19" s="2">
        <f t="shared" si="7"/>
        <v>57561.88</v>
      </c>
      <c r="S19" s="1">
        <f t="shared" si="8"/>
        <v>57561.88</v>
      </c>
    </row>
    <row r="20" spans="1:19" x14ac:dyDescent="0.2">
      <c r="A20" s="1" t="s">
        <v>139</v>
      </c>
      <c r="B20" s="7">
        <f>LY</f>
        <v>1822757</v>
      </c>
      <c r="C20" s="30">
        <f t="shared" si="0"/>
        <v>1.9962949000000001E-2</v>
      </c>
      <c r="D20" s="2">
        <f>SUM($I$7*C20)</f>
        <v>30739.8</v>
      </c>
      <c r="E20" s="2">
        <f>69.32-0.02</f>
        <v>69.3</v>
      </c>
      <c r="F20" s="2">
        <f t="shared" si="2"/>
        <v>30670.5</v>
      </c>
      <c r="G20" s="1"/>
      <c r="H20" s="108"/>
      <c r="I20" s="220">
        <f>+Q110</f>
        <v>22484.73</v>
      </c>
      <c r="J20" s="14"/>
      <c r="K20" s="1" t="s">
        <v>139</v>
      </c>
      <c r="L20" s="2">
        <f t="shared" si="3"/>
        <v>30670.5</v>
      </c>
      <c r="M20" s="2">
        <f t="shared" si="4"/>
        <v>24543.29</v>
      </c>
      <c r="N20" s="2">
        <f t="shared" si="5"/>
        <v>0</v>
      </c>
      <c r="O20" s="268">
        <f t="shared" si="6"/>
        <v>55213.79</v>
      </c>
      <c r="P20" s="2">
        <f>NETLYG</f>
        <v>159606.82</v>
      </c>
      <c r="Q20" s="2">
        <f>NETLYG1</f>
        <v>17823.419999999998</v>
      </c>
      <c r="R20" s="2">
        <f t="shared" si="7"/>
        <v>232644.03</v>
      </c>
      <c r="S20" s="1">
        <f t="shared" si="8"/>
        <v>232644.03</v>
      </c>
    </row>
    <row r="21" spans="1:19" x14ac:dyDescent="0.2">
      <c r="A21" s="1" t="s">
        <v>140</v>
      </c>
      <c r="B21" s="7">
        <f>MI</f>
        <v>257947</v>
      </c>
      <c r="C21" s="30">
        <f t="shared" si="0"/>
        <v>2.8250520000000002E-3</v>
      </c>
      <c r="D21" s="2">
        <f t="shared" si="1"/>
        <v>4350.1400000000003</v>
      </c>
      <c r="E21" s="2">
        <v>1319.12</v>
      </c>
      <c r="F21" s="2">
        <f t="shared" si="2"/>
        <v>3031.02</v>
      </c>
      <c r="G21" s="1"/>
      <c r="H21" s="394"/>
      <c r="I21" s="222">
        <f>+Q111-R113</f>
        <v>37843.54</v>
      </c>
      <c r="J21" s="14"/>
      <c r="K21" s="1" t="s">
        <v>140</v>
      </c>
      <c r="L21" s="2">
        <f t="shared" si="3"/>
        <v>3031.02</v>
      </c>
      <c r="M21" s="2">
        <f t="shared" si="4"/>
        <v>15196.96</v>
      </c>
      <c r="N21" s="2">
        <f t="shared" si="5"/>
        <v>0</v>
      </c>
      <c r="O21" s="268">
        <f t="shared" si="6"/>
        <v>18227.98</v>
      </c>
      <c r="P21" s="2">
        <f>NETMIG</f>
        <v>15853.11</v>
      </c>
      <c r="Q21" s="2">
        <f>NETMIG1</f>
        <v>1774.08</v>
      </c>
      <c r="R21" s="2">
        <f t="shared" si="7"/>
        <v>35855.17</v>
      </c>
      <c r="S21" s="1">
        <f t="shared" si="8"/>
        <v>35855.17</v>
      </c>
    </row>
    <row r="22" spans="1:19" x14ac:dyDescent="0.2">
      <c r="A22" s="1" t="s">
        <v>141</v>
      </c>
      <c r="B22" s="7">
        <f>NY</f>
        <v>1889749</v>
      </c>
      <c r="C22" s="30">
        <f t="shared" si="0"/>
        <v>2.0696649000000001E-2</v>
      </c>
      <c r="D22" s="2">
        <f t="shared" si="1"/>
        <v>31869.58</v>
      </c>
      <c r="E22" s="2">
        <v>0</v>
      </c>
      <c r="F22" s="2">
        <f t="shared" si="2"/>
        <v>31869.58</v>
      </c>
      <c r="G22" s="1"/>
      <c r="H22" s="393"/>
      <c r="I22" s="222">
        <f>+Q112</f>
        <v>4211.97</v>
      </c>
      <c r="J22" s="14"/>
      <c r="K22" s="1" t="s">
        <v>141</v>
      </c>
      <c r="L22" s="2">
        <f t="shared" si="3"/>
        <v>31869.58</v>
      </c>
      <c r="M22" s="2">
        <f t="shared" si="4"/>
        <v>76080.929999999993</v>
      </c>
      <c r="N22" s="2">
        <f t="shared" si="5"/>
        <v>0</v>
      </c>
      <c r="O22" s="268">
        <f t="shared" si="6"/>
        <v>107950.51</v>
      </c>
      <c r="P22" s="2">
        <f>NETNYG</f>
        <v>73707.78</v>
      </c>
      <c r="Q22" s="2">
        <f>NETNYG1</f>
        <v>18519.54</v>
      </c>
      <c r="R22" s="2">
        <f t="shared" si="7"/>
        <v>200177.83</v>
      </c>
      <c r="S22" s="1">
        <f t="shared" si="8"/>
        <v>200177.83</v>
      </c>
    </row>
    <row r="23" spans="1:19" x14ac:dyDescent="0.2">
      <c r="A23" s="1" t="s">
        <v>142</v>
      </c>
      <c r="B23" s="7">
        <f>PE</f>
        <v>304247</v>
      </c>
      <c r="C23" s="30">
        <f t="shared" si="0"/>
        <v>3.3321319999999998E-3</v>
      </c>
      <c r="D23" s="2">
        <f t="shared" si="1"/>
        <v>5130.96</v>
      </c>
      <c r="E23" s="2">
        <v>189.58</v>
      </c>
      <c r="F23" s="2">
        <f t="shared" si="2"/>
        <v>4941.38</v>
      </c>
      <c r="G23" s="1"/>
      <c r="H23" s="393"/>
      <c r="I23" s="220">
        <f>+Q113</f>
        <v>64540.24</v>
      </c>
      <c r="J23" s="14"/>
      <c r="K23" s="1" t="s">
        <v>142</v>
      </c>
      <c r="L23" s="2">
        <f t="shared" si="3"/>
        <v>4941.38</v>
      </c>
      <c r="M23" s="2">
        <f t="shared" si="4"/>
        <v>34401.82</v>
      </c>
      <c r="N23" s="2">
        <f t="shared" si="5"/>
        <v>0</v>
      </c>
      <c r="O23" s="268">
        <f t="shared" si="6"/>
        <v>39343.199999999997</v>
      </c>
      <c r="P23" s="2">
        <f>NETPEG</f>
        <v>25725.38</v>
      </c>
      <c r="Q23" s="2">
        <f>NETPEG1</f>
        <v>2873.28</v>
      </c>
      <c r="R23" s="2">
        <f t="shared" si="7"/>
        <v>67941.86</v>
      </c>
      <c r="S23" s="1">
        <f t="shared" si="8"/>
        <v>67941.86</v>
      </c>
    </row>
    <row r="24" spans="1:19" x14ac:dyDescent="0.2">
      <c r="A24" s="1" t="s">
        <v>143</v>
      </c>
      <c r="B24" s="7">
        <f>ST</f>
        <v>36529</v>
      </c>
      <c r="C24" s="30">
        <f t="shared" si="0"/>
        <v>4.0006800000000001E-4</v>
      </c>
      <c r="D24" s="2">
        <f t="shared" si="1"/>
        <v>616.04</v>
      </c>
      <c r="E24" s="2">
        <v>0</v>
      </c>
      <c r="F24" s="2">
        <f t="shared" si="2"/>
        <v>616.04</v>
      </c>
      <c r="G24" s="1"/>
      <c r="H24" s="10"/>
      <c r="I24" s="1"/>
      <c r="J24" s="14"/>
      <c r="K24" s="1" t="s">
        <v>143</v>
      </c>
      <c r="L24" s="2">
        <f t="shared" si="3"/>
        <v>616.04</v>
      </c>
      <c r="M24" s="2">
        <f t="shared" si="4"/>
        <v>2294.0700000000002</v>
      </c>
      <c r="N24" s="2">
        <f t="shared" si="5"/>
        <v>0</v>
      </c>
      <c r="O24" s="268">
        <f t="shared" si="6"/>
        <v>2910.11</v>
      </c>
      <c r="P24" s="2">
        <f>NETSTG</f>
        <v>1424.78</v>
      </c>
      <c r="Q24" s="2">
        <f>NETSTG1</f>
        <v>357.99</v>
      </c>
      <c r="R24" s="2">
        <f t="shared" si="7"/>
        <v>4692.88</v>
      </c>
      <c r="S24" s="1">
        <f t="shared" si="8"/>
        <v>4692.88</v>
      </c>
    </row>
    <row r="25" spans="1:19" x14ac:dyDescent="0.2">
      <c r="A25" s="1" t="s">
        <v>144</v>
      </c>
      <c r="B25" s="7">
        <f>WA</f>
        <v>15677316</v>
      </c>
      <c r="C25" s="30">
        <f t="shared" si="0"/>
        <v>0.17169894599999999</v>
      </c>
      <c r="D25" s="2">
        <f>SUM($I$7*C25)-0.01</f>
        <v>264389.33</v>
      </c>
      <c r="E25" s="2">
        <v>6552.16</v>
      </c>
      <c r="F25" s="2">
        <f t="shared" si="2"/>
        <v>257837.17</v>
      </c>
      <c r="G25" s="1"/>
      <c r="H25" s="358"/>
      <c r="I25" s="90">
        <f>+'s1'!I122</f>
        <v>64540.24</v>
      </c>
      <c r="J25" s="14"/>
      <c r="K25" s="1" t="s">
        <v>144</v>
      </c>
      <c r="L25" s="2">
        <f t="shared" si="3"/>
        <v>257837.17</v>
      </c>
      <c r="M25" s="2">
        <f t="shared" si="4"/>
        <v>155577.70000000001</v>
      </c>
      <c r="N25" s="2">
        <f t="shared" si="5"/>
        <v>0</v>
      </c>
      <c r="O25" s="268">
        <f t="shared" si="6"/>
        <v>413414.87</v>
      </c>
      <c r="P25" s="2">
        <f>NETWAG</f>
        <v>1341572.3799999999</v>
      </c>
      <c r="Q25" s="2">
        <f>NETWAG1</f>
        <v>149831.48000000001</v>
      </c>
      <c r="R25" s="2">
        <f t="shared" si="7"/>
        <v>1904818.73</v>
      </c>
      <c r="S25" s="1">
        <f t="shared" si="8"/>
        <v>1904818.73</v>
      </c>
    </row>
    <row r="26" spans="1:19" x14ac:dyDescent="0.2">
      <c r="A26" s="1" t="s">
        <v>145</v>
      </c>
      <c r="B26" s="7">
        <f>WH</f>
        <v>629122</v>
      </c>
      <c r="C26" s="30">
        <f t="shared" si="0"/>
        <v>6.8901839999999997E-3</v>
      </c>
      <c r="D26" s="2">
        <f t="shared" si="1"/>
        <v>10609.8</v>
      </c>
      <c r="E26" s="2">
        <v>207.16</v>
      </c>
      <c r="F26" s="2">
        <f t="shared" si="2"/>
        <v>10402.64</v>
      </c>
      <c r="G26" s="1"/>
      <c r="H26" s="89"/>
      <c r="I26" s="359">
        <f>+I23-I25</f>
        <v>0</v>
      </c>
      <c r="J26" s="14"/>
      <c r="K26" s="1" t="s">
        <v>145</v>
      </c>
      <c r="L26" s="2">
        <f t="shared" si="3"/>
        <v>10402.64</v>
      </c>
      <c r="M26" s="2">
        <f t="shared" si="4"/>
        <v>45446.27</v>
      </c>
      <c r="N26" s="2">
        <f t="shared" si="5"/>
        <v>0</v>
      </c>
      <c r="O26" s="268">
        <f t="shared" si="6"/>
        <v>55848.91</v>
      </c>
      <c r="P26" s="2">
        <f>NETWHG</f>
        <v>53644.5</v>
      </c>
      <c r="Q26" s="2">
        <f>NETWHG1</f>
        <v>5991.04</v>
      </c>
      <c r="R26" s="2">
        <f t="shared" si="7"/>
        <v>115484.45</v>
      </c>
      <c r="S26" s="1">
        <f t="shared" si="8"/>
        <v>115484.45</v>
      </c>
    </row>
    <row r="27" spans="1:19" ht="21.75" customHeight="1" thickBot="1" x14ac:dyDescent="0.25">
      <c r="A27" s="1" t="s">
        <v>12</v>
      </c>
      <c r="B27" s="34">
        <f>SUM(B10:B26)</f>
        <v>91307002</v>
      </c>
      <c r="C27" s="41">
        <f>ROUND(B27/B$27,4)</f>
        <v>1</v>
      </c>
      <c r="D27" s="132">
        <f>SUM(D10:D26)</f>
        <v>1539842.52</v>
      </c>
      <c r="E27" s="132">
        <f>SUM(E10:E26)</f>
        <v>9282.16</v>
      </c>
      <c r="F27" s="132">
        <f>SUM(F10:F26)</f>
        <v>1530560.36</v>
      </c>
      <c r="G27" s="1"/>
      <c r="H27" s="1"/>
      <c r="I27" s="1"/>
      <c r="J27" s="14"/>
      <c r="K27" s="1" t="s">
        <v>12</v>
      </c>
      <c r="L27" s="132">
        <f t="shared" ref="L27:R27" si="9">SUM(L10:L26)</f>
        <v>1530560.36</v>
      </c>
      <c r="M27" s="132">
        <f t="shared" si="9"/>
        <v>1093257.4099999999</v>
      </c>
      <c r="N27" s="132">
        <f t="shared" si="9"/>
        <v>0</v>
      </c>
      <c r="O27" s="269">
        <f t="shared" si="9"/>
        <v>2623817.77</v>
      </c>
      <c r="P27" s="132">
        <f t="shared" si="9"/>
        <v>7634529.3899999997</v>
      </c>
      <c r="Q27" s="132">
        <f t="shared" si="9"/>
        <v>889100.38</v>
      </c>
      <c r="R27" s="132">
        <f t="shared" si="9"/>
        <v>11147447.539999999</v>
      </c>
      <c r="S27" s="1"/>
    </row>
    <row r="28" spans="1:19" ht="22.5" customHeight="1" x14ac:dyDescent="0.2">
      <c r="A28" s="1"/>
      <c r="B28" s="7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63"/>
      <c r="P28" s="1"/>
      <c r="Q28" s="1"/>
      <c r="R28" s="9"/>
      <c r="S28" s="1"/>
    </row>
    <row r="29" spans="1:19" x14ac:dyDescent="0.2">
      <c r="A29" s="1"/>
      <c r="B29" s="7">
        <f>TOTGAL</f>
        <v>91306527</v>
      </c>
      <c r="C29" s="1"/>
      <c r="D29" s="9">
        <f>I7</f>
        <v>1539842.52</v>
      </c>
      <c r="E29" s="1"/>
      <c r="F29" s="1"/>
      <c r="G29" s="1"/>
      <c r="H29" s="1"/>
      <c r="I29" s="1"/>
      <c r="J29" s="1"/>
      <c r="K29" s="1"/>
      <c r="L29" s="2"/>
      <c r="M29" s="2"/>
      <c r="N29" s="9"/>
      <c r="P29" s="1"/>
      <c r="Q29" s="1"/>
      <c r="R29" s="2"/>
      <c r="S29" s="1"/>
    </row>
    <row r="30" spans="1:19" ht="23.25" customHeight="1" x14ac:dyDescent="0.25">
      <c r="A30" s="63" t="s">
        <v>426</v>
      </c>
      <c r="B30" s="2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70">
        <f>NET5.35</f>
        <v>4679138.8499999996</v>
      </c>
      <c r="P30" s="1"/>
      <c r="Q30" s="1"/>
      <c r="R30" s="2">
        <f>SUM($O$27:$Q$27)</f>
        <v>11147447.539999999</v>
      </c>
      <c r="S30" s="1"/>
    </row>
    <row r="31" spans="1:19" ht="15.75" x14ac:dyDescent="0.25">
      <c r="A31" s="77" t="str">
        <f>ReportMonth</f>
        <v>JUNE 2004</v>
      </c>
      <c r="B31" s="21"/>
      <c r="D31" s="1"/>
      <c r="E31" s="1"/>
      <c r="F31" s="1"/>
      <c r="G31" s="1"/>
      <c r="H31" s="1"/>
      <c r="I31" s="1"/>
      <c r="J31" s="1"/>
      <c r="S31" s="1"/>
    </row>
    <row r="32" spans="1:19" ht="15" x14ac:dyDescent="0.2">
      <c r="A32" s="118" t="s">
        <v>106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ht="28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119"/>
      <c r="D34" s="96" t="s">
        <v>147</v>
      </c>
      <c r="E34" s="119" t="s">
        <v>113</v>
      </c>
      <c r="F34" s="5" t="s">
        <v>795</v>
      </c>
      <c r="G34" s="5" t="s">
        <v>72</v>
      </c>
      <c r="H34" s="1"/>
      <c r="I34" s="1"/>
      <c r="J34" s="1"/>
    </row>
    <row r="35" spans="1:10" x14ac:dyDescent="0.2">
      <c r="A35" s="1"/>
      <c r="B35" s="1"/>
      <c r="C35" s="124"/>
      <c r="D35" s="38" t="s">
        <v>149</v>
      </c>
      <c r="E35" s="97" t="s">
        <v>120</v>
      </c>
      <c r="F35" s="40" t="s">
        <v>796</v>
      </c>
      <c r="G35" s="97" t="s">
        <v>150</v>
      </c>
      <c r="H35" s="1"/>
      <c r="I35" s="1"/>
      <c r="J35" s="1"/>
    </row>
    <row r="36" spans="1:10" x14ac:dyDescent="0.2">
      <c r="A36" s="4"/>
      <c r="B36" s="4"/>
      <c r="C36" s="4"/>
      <c r="H36" s="1"/>
      <c r="I36" s="1"/>
      <c r="J36" s="1"/>
    </row>
    <row r="37" spans="1:10" x14ac:dyDescent="0.2">
      <c r="A37" s="1" t="s">
        <v>129</v>
      </c>
      <c r="B37" s="1"/>
      <c r="C37" s="14"/>
      <c r="D37" s="215">
        <f t="shared" ref="D37:D53" si="10">G37+E37</f>
        <v>17193.79</v>
      </c>
      <c r="E37" s="2">
        <v>139.22999999999999</v>
      </c>
      <c r="F37" s="2">
        <v>-1800.41</v>
      </c>
      <c r="G37" s="151">
        <f>IF(s3b!$C$4&gt;s3b!$C$2,s3b!T25,s3b!I4)+F37</f>
        <v>17054.560000000001</v>
      </c>
      <c r="H37" s="1"/>
      <c r="I37" s="1"/>
      <c r="J37" s="1"/>
    </row>
    <row r="38" spans="1:10" x14ac:dyDescent="0.2">
      <c r="A38" s="1" t="s">
        <v>130</v>
      </c>
      <c r="B38" s="1"/>
      <c r="C38" s="14"/>
      <c r="D38" s="215">
        <f t="shared" si="10"/>
        <v>30576.99</v>
      </c>
      <c r="E38" s="2">
        <v>112.71</v>
      </c>
      <c r="F38" s="2">
        <v>1617.93</v>
      </c>
      <c r="G38" s="151">
        <f>IF(s3b!$C$4&gt;s3b!$C$2,s3b!T26,s3b!I5)+F38</f>
        <v>30464.28</v>
      </c>
      <c r="H38" s="1"/>
      <c r="I38" s="1"/>
      <c r="J38" s="1"/>
    </row>
    <row r="39" spans="1:10" x14ac:dyDescent="0.2">
      <c r="A39" s="1" t="s">
        <v>131</v>
      </c>
      <c r="B39" s="1"/>
      <c r="C39" s="14"/>
      <c r="D39" s="215">
        <f t="shared" si="10"/>
        <v>441862.09</v>
      </c>
      <c r="E39" s="2">
        <v>3639.93</v>
      </c>
      <c r="F39" s="2">
        <v>-58619.58</v>
      </c>
      <c r="G39" s="151">
        <f>IF(s3b!$C$4&gt;s3b!$C$2,s3b!T27,s3b!I6)+F39</f>
        <v>438222.16</v>
      </c>
      <c r="H39" s="1"/>
      <c r="I39" s="1"/>
      <c r="J39" s="9"/>
    </row>
    <row r="40" spans="1:10" x14ac:dyDescent="0.2">
      <c r="A40" s="1" t="s">
        <v>132</v>
      </c>
      <c r="B40" s="1"/>
      <c r="C40" s="14"/>
      <c r="D40" s="215">
        <f t="shared" si="10"/>
        <v>20980.73</v>
      </c>
      <c r="E40" s="2">
        <v>112.71</v>
      </c>
      <c r="F40" s="2">
        <v>4096.2</v>
      </c>
      <c r="G40" s="151">
        <f>IF(s3b!$C$4&gt;s3b!$C$2,s3b!T28,s3b!I7)+F40</f>
        <v>20868.02</v>
      </c>
      <c r="H40" s="1"/>
      <c r="I40" s="1"/>
      <c r="J40" s="2"/>
    </row>
    <row r="41" spans="1:10" x14ac:dyDescent="0.2">
      <c r="A41" s="1" t="s">
        <v>133</v>
      </c>
      <c r="B41" s="1"/>
      <c r="C41" s="14"/>
      <c r="D41" s="215">
        <f t="shared" si="10"/>
        <v>73442.210000000006</v>
      </c>
      <c r="E41" s="2">
        <v>218.79</v>
      </c>
      <c r="F41" s="2">
        <v>5221.01</v>
      </c>
      <c r="G41" s="151">
        <f>IF(s3b!$C$4&gt;s3b!$C$2,s3b!T29,s3b!I8)+F41</f>
        <v>73223.42</v>
      </c>
      <c r="H41" s="1"/>
      <c r="I41" s="1"/>
      <c r="J41" s="2"/>
    </row>
    <row r="42" spans="1:10" x14ac:dyDescent="0.2">
      <c r="A42" s="1" t="s">
        <v>134</v>
      </c>
      <c r="B42" s="1"/>
      <c r="C42" s="14"/>
      <c r="D42" s="215">
        <f t="shared" si="10"/>
        <v>17678.36</v>
      </c>
      <c r="E42" s="2">
        <v>53.04</v>
      </c>
      <c r="F42" s="2">
        <v>1796.27</v>
      </c>
      <c r="G42" s="151">
        <f>IF(s3b!$C$4&gt;s3b!$C$2,s3b!T30,s3b!I9)+F42</f>
        <v>17625.32</v>
      </c>
      <c r="H42" s="1"/>
      <c r="I42" s="1"/>
      <c r="J42" s="2"/>
    </row>
    <row r="43" spans="1:10" x14ac:dyDescent="0.2">
      <c r="A43" s="1" t="s">
        <v>135</v>
      </c>
      <c r="B43" s="1"/>
      <c r="C43" s="14"/>
      <c r="D43" s="215">
        <f t="shared" si="10"/>
        <v>21797.08</v>
      </c>
      <c r="E43" s="2">
        <v>106.08</v>
      </c>
      <c r="F43" s="2">
        <v>1488.14</v>
      </c>
      <c r="G43" s="151">
        <f>IF(s3b!$C$4&gt;s3b!$C$2,s3b!T31,s3b!I10)+F43</f>
        <v>21691</v>
      </c>
      <c r="H43" s="1"/>
      <c r="I43" s="1"/>
      <c r="J43" s="2"/>
    </row>
    <row r="44" spans="1:10" x14ac:dyDescent="0.2">
      <c r="A44" s="1" t="s">
        <v>136</v>
      </c>
      <c r="B44" s="1"/>
      <c r="C44" s="14"/>
      <c r="D44" s="215">
        <f t="shared" si="10"/>
        <v>44344</v>
      </c>
      <c r="E44" s="2">
        <v>139.22999999999999</v>
      </c>
      <c r="F44" s="2">
        <v>3382.5</v>
      </c>
      <c r="G44" s="151">
        <f>IF(s3b!$C$4&gt;s3b!$C$2,s3b!T32,s3b!I11)+F44</f>
        <v>44204.77</v>
      </c>
      <c r="H44" s="1"/>
      <c r="I44" s="1"/>
      <c r="J44" s="2"/>
    </row>
    <row r="45" spans="1:10" x14ac:dyDescent="0.2">
      <c r="A45" s="1" t="s">
        <v>137</v>
      </c>
      <c r="B45" s="1"/>
      <c r="C45" s="14"/>
      <c r="D45" s="215">
        <f t="shared" si="10"/>
        <v>28151.13</v>
      </c>
      <c r="E45" s="2">
        <v>132.6</v>
      </c>
      <c r="F45" s="2">
        <v>2192.19</v>
      </c>
      <c r="G45" s="151">
        <f>IF(s3b!$C$4&gt;s3b!$C$2,s3b!T33,s3b!I12)+F45</f>
        <v>28018.53</v>
      </c>
      <c r="H45" s="1"/>
      <c r="I45" s="1"/>
      <c r="J45" s="2"/>
    </row>
    <row r="46" spans="1:10" x14ac:dyDescent="0.2">
      <c r="A46" s="1" t="s">
        <v>138</v>
      </c>
      <c r="B46" s="1"/>
      <c r="C46" s="14"/>
      <c r="D46" s="215">
        <f t="shared" si="10"/>
        <v>48556.47</v>
      </c>
      <c r="E46" s="2">
        <v>212.16</v>
      </c>
      <c r="F46" s="2">
        <v>3356.5</v>
      </c>
      <c r="G46" s="151">
        <f>IF(s3b!$C$4&gt;s3b!$C$2,s3b!T34,s3b!I13)+F46</f>
        <v>48344.31</v>
      </c>
      <c r="H46" s="1"/>
      <c r="I46" s="1"/>
      <c r="J46" s="2"/>
    </row>
    <row r="47" spans="1:10" x14ac:dyDescent="0.2">
      <c r="A47" s="1" t="s">
        <v>139</v>
      </c>
      <c r="B47" s="1"/>
      <c r="C47" s="14"/>
      <c r="D47" s="215">
        <f t="shared" si="10"/>
        <v>24682.52</v>
      </c>
      <c r="E47" s="2">
        <v>139.22999999999999</v>
      </c>
      <c r="F47" s="2">
        <v>3829.47</v>
      </c>
      <c r="G47" s="151">
        <f>IF(s3b!$C$4&gt;s3b!$C$2,s3b!T35,s3b!I14)+F47</f>
        <v>24543.29</v>
      </c>
      <c r="H47" s="1"/>
      <c r="I47" s="1"/>
      <c r="J47" s="2"/>
    </row>
    <row r="48" spans="1:10" x14ac:dyDescent="0.2">
      <c r="A48" s="1" t="s">
        <v>140</v>
      </c>
      <c r="B48" s="1"/>
      <c r="C48" s="14"/>
      <c r="D48" s="215">
        <f t="shared" si="10"/>
        <v>15243.37</v>
      </c>
      <c r="E48" s="2">
        <v>46.41</v>
      </c>
      <c r="F48" s="2">
        <v>617.58000000000004</v>
      </c>
      <c r="G48" s="151">
        <f>IF(s3b!$C$4&gt;s3b!$C$2,s3b!T36,s3b!I15)+F48</f>
        <v>15196.96</v>
      </c>
      <c r="H48" s="1"/>
      <c r="I48" s="1"/>
      <c r="J48" s="2"/>
    </row>
    <row r="49" spans="1:10" x14ac:dyDescent="0.2">
      <c r="A49" s="1" t="s">
        <v>141</v>
      </c>
      <c r="B49" s="1"/>
      <c r="C49" s="14"/>
      <c r="D49" s="215">
        <f t="shared" si="10"/>
        <v>76372.66</v>
      </c>
      <c r="E49" s="2">
        <v>291.73</v>
      </c>
      <c r="F49" s="2">
        <v>5579.2</v>
      </c>
      <c r="G49" s="151">
        <f>IF(s3b!$C$4&gt;s3b!$C$2,s3b!T37,s3b!I16)+F49</f>
        <v>76080.929999999993</v>
      </c>
      <c r="H49" s="1"/>
      <c r="I49" s="1"/>
      <c r="J49" s="2"/>
    </row>
    <row r="50" spans="1:10" x14ac:dyDescent="0.2">
      <c r="A50" s="1" t="s">
        <v>142</v>
      </c>
      <c r="B50" s="1"/>
      <c r="C50" s="14"/>
      <c r="D50" s="215">
        <f t="shared" si="10"/>
        <v>34620.61</v>
      </c>
      <c r="E50" s="2">
        <v>218.79</v>
      </c>
      <c r="F50" s="2">
        <v>2984.08</v>
      </c>
      <c r="G50" s="151">
        <f>IF(s3b!$C$4&gt;s3b!$C$2,s3b!T38,s3b!I17)+F50</f>
        <v>34401.82</v>
      </c>
      <c r="H50" s="1"/>
      <c r="I50" s="1"/>
      <c r="J50" s="2"/>
    </row>
    <row r="51" spans="1:10" x14ac:dyDescent="0.2">
      <c r="A51" s="1" t="s">
        <v>143</v>
      </c>
      <c r="B51" s="1"/>
      <c r="C51" s="14"/>
      <c r="D51" s="215">
        <f t="shared" si="10"/>
        <v>2307.33</v>
      </c>
      <c r="E51" s="2">
        <v>13.26</v>
      </c>
      <c r="F51" s="2">
        <v>3.02</v>
      </c>
      <c r="G51" s="151">
        <f>IF(s3b!$C$4&gt;s3b!$C$2,s3b!T39,s3b!I18)+F51</f>
        <v>2294.0700000000002</v>
      </c>
      <c r="H51" s="1"/>
      <c r="I51" s="1"/>
      <c r="J51" s="2"/>
    </row>
    <row r="52" spans="1:10" x14ac:dyDescent="0.2">
      <c r="A52" s="1" t="s">
        <v>144</v>
      </c>
      <c r="B52" s="1"/>
      <c r="C52" s="14"/>
      <c r="D52" s="215">
        <f t="shared" si="10"/>
        <v>156492.66</v>
      </c>
      <c r="E52" s="2">
        <v>914.96</v>
      </c>
      <c r="F52" s="2">
        <v>20777.43</v>
      </c>
      <c r="G52" s="151">
        <f>IF(s3b!$C$4&gt;s3b!$C$2,s3b!T40,s3b!I19)+F52</f>
        <v>155577.70000000001</v>
      </c>
      <c r="H52" s="1"/>
      <c r="I52" s="1"/>
      <c r="J52" s="2"/>
    </row>
    <row r="53" spans="1:10" x14ac:dyDescent="0.2">
      <c r="A53" s="1" t="s">
        <v>145</v>
      </c>
      <c r="B53" s="1"/>
      <c r="C53" s="212"/>
      <c r="D53" s="215">
        <f t="shared" si="10"/>
        <v>45585.5</v>
      </c>
      <c r="E53" s="2">
        <v>139.22999999999999</v>
      </c>
      <c r="F53" s="2">
        <v>3478.47</v>
      </c>
      <c r="G53" s="151">
        <f>IF(s3b!$C$4&gt;s3b!$C$2,s3b!T41,s3b!I20)+F53</f>
        <v>45446.27</v>
      </c>
      <c r="H53" s="1"/>
      <c r="I53" s="1"/>
      <c r="J53" s="2"/>
    </row>
    <row r="54" spans="1:10" ht="13.5" thickBot="1" x14ac:dyDescent="0.25">
      <c r="A54" s="1" t="s">
        <v>12</v>
      </c>
      <c r="B54" s="1"/>
      <c r="C54" s="212"/>
      <c r="D54" s="132">
        <f>SUM(D37:D53)</f>
        <v>1099887.5</v>
      </c>
      <c r="E54" s="132">
        <f>SUM(E37:E53)</f>
        <v>6630.09</v>
      </c>
      <c r="F54" s="132">
        <f>SUM(F37:F53)</f>
        <v>0</v>
      </c>
      <c r="G54" s="132">
        <f>SUM(G37:G53)</f>
        <v>1093257.4099999999</v>
      </c>
      <c r="H54" s="1"/>
      <c r="I54" s="1"/>
      <c r="J54" s="2"/>
    </row>
    <row r="55" spans="1:10" ht="19.5" hidden="1" customHeight="1" x14ac:dyDescent="0.2"/>
    <row r="56" spans="1:10" hidden="1" x14ac:dyDescent="0.2">
      <c r="A56" s="1"/>
      <c r="B56" s="1"/>
      <c r="C56" s="1"/>
      <c r="D56" s="2">
        <f>I8</f>
        <v>1099887.52</v>
      </c>
      <c r="E56" s="1"/>
      <c r="F56" s="1"/>
      <c r="G56" s="1"/>
      <c r="H56" s="1"/>
      <c r="I56" s="1"/>
      <c r="J56" s="9"/>
    </row>
    <row r="57" spans="1:10" hidden="1" x14ac:dyDescent="0.2"/>
    <row r="58" spans="1:10" ht="15.75" hidden="1" x14ac:dyDescent="0.25">
      <c r="A58" s="63" t="s">
        <v>105</v>
      </c>
      <c r="B58" s="63"/>
      <c r="C58" s="63"/>
      <c r="D58" s="1"/>
      <c r="E58" s="1"/>
      <c r="F58" s="1"/>
      <c r="G58" s="1"/>
      <c r="H58" s="1"/>
      <c r="I58" s="1"/>
      <c r="J58" s="1"/>
    </row>
    <row r="59" spans="1:10" ht="15.75" hidden="1" x14ac:dyDescent="0.25">
      <c r="A59" s="77" t="str">
        <f>ReportMonth</f>
        <v>JUNE 2004</v>
      </c>
      <c r="B59" s="63"/>
      <c r="D59" s="1"/>
      <c r="E59" s="1"/>
      <c r="F59" s="1"/>
      <c r="G59" s="1"/>
      <c r="H59" s="1"/>
      <c r="I59" s="1"/>
      <c r="J59" s="1"/>
    </row>
    <row r="60" spans="1:10" ht="15" hidden="1" x14ac:dyDescent="0.2">
      <c r="A60" s="118" t="s">
        <v>151</v>
      </c>
      <c r="B60" s="1"/>
      <c r="C60" s="1"/>
      <c r="D60" s="1"/>
      <c r="E60" s="1"/>
      <c r="F60" s="1"/>
      <c r="G60" s="1"/>
      <c r="H60" s="1"/>
      <c r="I60" s="1"/>
      <c r="J60" s="1"/>
    </row>
    <row r="61" spans="1:10" ht="15.75" hidden="1" x14ac:dyDescent="0.25">
      <c r="A61" s="95" t="s">
        <v>419</v>
      </c>
      <c r="B61" s="42"/>
      <c r="C61" s="42"/>
      <c r="D61" s="42"/>
      <c r="E61" s="42"/>
      <c r="F61" s="42"/>
      <c r="G61" s="1"/>
      <c r="H61" s="1"/>
      <c r="I61" s="1"/>
      <c r="J61" s="1"/>
    </row>
    <row r="62" spans="1:10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idden="1" x14ac:dyDescent="0.2">
      <c r="A64" s="1"/>
      <c r="B64" s="1"/>
      <c r="C64" s="1"/>
      <c r="D64" s="1"/>
      <c r="E64" s="1"/>
      <c r="F64" s="5"/>
      <c r="G64" s="1"/>
      <c r="H64" s="1"/>
      <c r="I64" s="1"/>
      <c r="J64" s="1"/>
    </row>
    <row r="65" spans="1:7" hidden="1" x14ac:dyDescent="0.2">
      <c r="A65" s="1"/>
      <c r="B65" s="1"/>
      <c r="C65" s="119"/>
      <c r="D65" s="119" t="s">
        <v>152</v>
      </c>
      <c r="E65" s="119" t="s">
        <v>113</v>
      </c>
      <c r="F65" s="5" t="s">
        <v>795</v>
      </c>
      <c r="G65" s="5" t="s">
        <v>72</v>
      </c>
    </row>
    <row r="66" spans="1:7" hidden="1" x14ac:dyDescent="0.2">
      <c r="A66" s="1"/>
      <c r="B66" s="1"/>
      <c r="C66" s="124"/>
      <c r="D66" s="97" t="s">
        <v>119</v>
      </c>
      <c r="E66" s="97" t="s">
        <v>120</v>
      </c>
      <c r="F66" s="40" t="s">
        <v>796</v>
      </c>
      <c r="G66" s="97" t="s">
        <v>153</v>
      </c>
    </row>
    <row r="67" spans="1:7" hidden="1" x14ac:dyDescent="0.2"/>
    <row r="68" spans="1:7" hidden="1" x14ac:dyDescent="0.2">
      <c r="A68" s="1" t="s">
        <v>129</v>
      </c>
      <c r="B68" s="1"/>
      <c r="C68" s="14"/>
      <c r="D68" s="2"/>
      <c r="E68" s="2">
        <v>261.76</v>
      </c>
      <c r="F68" s="2">
        <v>-3387.36</v>
      </c>
      <c r="G68" s="2"/>
    </row>
    <row r="69" spans="1:7" hidden="1" x14ac:dyDescent="0.2">
      <c r="A69" s="1" t="s">
        <v>130</v>
      </c>
      <c r="B69" s="1"/>
      <c r="C69" s="14"/>
      <c r="D69" s="2"/>
      <c r="E69" s="2">
        <v>211.9</v>
      </c>
      <c r="F69" s="2">
        <v>3044.3</v>
      </c>
      <c r="G69" s="2"/>
    </row>
    <row r="70" spans="1:7" hidden="1" x14ac:dyDescent="0.2">
      <c r="A70" s="1" t="s">
        <v>131</v>
      </c>
      <c r="B70" s="1"/>
      <c r="C70" s="14"/>
      <c r="D70" s="2"/>
      <c r="E70" s="2">
        <v>6843.08</v>
      </c>
      <c r="F70" s="2">
        <v>-110199.26</v>
      </c>
      <c r="G70" s="2"/>
    </row>
    <row r="71" spans="1:7" hidden="1" x14ac:dyDescent="0.2">
      <c r="A71" s="1" t="s">
        <v>132</v>
      </c>
      <c r="B71" s="1"/>
      <c r="C71" s="14"/>
      <c r="D71" s="2"/>
      <c r="E71" s="2">
        <v>211.9</v>
      </c>
      <c r="F71" s="2">
        <v>7698.72</v>
      </c>
      <c r="G71" s="2"/>
    </row>
    <row r="72" spans="1:7" hidden="1" x14ac:dyDescent="0.2">
      <c r="A72" s="1" t="s">
        <v>133</v>
      </c>
      <c r="B72" s="1"/>
      <c r="C72" s="14"/>
      <c r="D72" s="2"/>
      <c r="E72" s="2">
        <v>411.33</v>
      </c>
      <c r="F72" s="2">
        <v>9813.2199999999993</v>
      </c>
      <c r="G72" s="2"/>
    </row>
    <row r="73" spans="1:7" hidden="1" x14ac:dyDescent="0.2">
      <c r="A73" s="1" t="s">
        <v>134</v>
      </c>
      <c r="B73" s="1"/>
      <c r="C73" s="14"/>
      <c r="D73" s="2"/>
      <c r="E73" s="2">
        <v>99.72</v>
      </c>
      <c r="F73" s="2">
        <v>3383.54</v>
      </c>
      <c r="G73" s="2"/>
    </row>
    <row r="74" spans="1:7" hidden="1" x14ac:dyDescent="0.2">
      <c r="A74" s="1" t="s">
        <v>135</v>
      </c>
      <c r="B74" s="1"/>
      <c r="C74" s="14"/>
      <c r="D74" s="2"/>
      <c r="E74" s="2">
        <v>199.43</v>
      </c>
      <c r="F74" s="2">
        <v>2796.11</v>
      </c>
      <c r="G74" s="2"/>
    </row>
    <row r="75" spans="1:7" hidden="1" x14ac:dyDescent="0.2">
      <c r="A75" s="1" t="s">
        <v>136</v>
      </c>
      <c r="B75" s="1"/>
      <c r="C75" s="14"/>
      <c r="D75" s="2"/>
      <c r="E75" s="2">
        <v>261.76</v>
      </c>
      <c r="F75" s="2">
        <v>6358.01</v>
      </c>
      <c r="G75" s="2"/>
    </row>
    <row r="76" spans="1:7" hidden="1" x14ac:dyDescent="0.2">
      <c r="A76" s="1" t="s">
        <v>137</v>
      </c>
      <c r="B76" s="1"/>
      <c r="C76" s="14"/>
      <c r="D76" s="2"/>
      <c r="E76" s="2">
        <v>249.29</v>
      </c>
      <c r="F76" s="2">
        <v>4121.4399999999996</v>
      </c>
      <c r="G76" s="2"/>
    </row>
    <row r="77" spans="1:7" hidden="1" x14ac:dyDescent="0.2">
      <c r="A77" s="1" t="s">
        <v>138</v>
      </c>
      <c r="B77" s="1"/>
      <c r="C77" s="14"/>
      <c r="D77" s="2"/>
      <c r="E77" s="2">
        <v>398.87</v>
      </c>
      <c r="F77" s="2">
        <v>6309.85</v>
      </c>
      <c r="G77" s="2"/>
    </row>
    <row r="78" spans="1:7" hidden="1" x14ac:dyDescent="0.2">
      <c r="A78" s="1" t="s">
        <v>139</v>
      </c>
      <c r="B78" s="1"/>
      <c r="C78" s="14"/>
      <c r="D78" s="2"/>
      <c r="E78" s="2">
        <v>261.76</v>
      </c>
      <c r="F78" s="2">
        <v>7199.4</v>
      </c>
      <c r="G78" s="2"/>
    </row>
    <row r="79" spans="1:7" hidden="1" x14ac:dyDescent="0.2">
      <c r="A79" s="1" t="s">
        <v>140</v>
      </c>
      <c r="B79" s="1"/>
      <c r="C79" s="14"/>
      <c r="D79" s="2"/>
      <c r="E79" s="2">
        <v>87.25</v>
      </c>
      <c r="F79" s="2">
        <v>1159.99</v>
      </c>
      <c r="G79" s="2"/>
    </row>
    <row r="80" spans="1:7" hidden="1" x14ac:dyDescent="0.2">
      <c r="A80" s="1" t="s">
        <v>141</v>
      </c>
      <c r="B80" s="1"/>
      <c r="C80" s="14"/>
      <c r="D80" s="2"/>
      <c r="E80" s="2">
        <v>548.44000000000005</v>
      </c>
      <c r="F80" s="2">
        <v>10486.55</v>
      </c>
      <c r="G80" s="2"/>
    </row>
    <row r="81" spans="1:7" hidden="1" x14ac:dyDescent="0.2">
      <c r="A81" s="1" t="s">
        <v>142</v>
      </c>
      <c r="B81" s="1"/>
      <c r="C81" s="14"/>
      <c r="D81" s="2"/>
      <c r="E81" s="2">
        <v>411.33</v>
      </c>
      <c r="F81" s="2">
        <v>5607.21</v>
      </c>
      <c r="G81" s="2"/>
    </row>
    <row r="82" spans="1:7" hidden="1" x14ac:dyDescent="0.2">
      <c r="A82" s="1" t="s">
        <v>143</v>
      </c>
      <c r="B82" s="1"/>
      <c r="C82" s="14"/>
      <c r="D82" s="2"/>
      <c r="E82" s="2">
        <v>24.93</v>
      </c>
      <c r="F82" s="2">
        <v>3.88</v>
      </c>
      <c r="G82" s="2"/>
    </row>
    <row r="83" spans="1:7" hidden="1" x14ac:dyDescent="0.2">
      <c r="A83" s="1" t="s">
        <v>144</v>
      </c>
      <c r="B83" s="1"/>
      <c r="C83" s="14"/>
      <c r="D83" s="2"/>
      <c r="E83" s="2">
        <v>1720.12</v>
      </c>
      <c r="F83" s="2">
        <v>39066.69</v>
      </c>
      <c r="G83" s="2"/>
    </row>
    <row r="84" spans="1:7" hidden="1" x14ac:dyDescent="0.2">
      <c r="A84" s="1" t="s">
        <v>145</v>
      </c>
      <c r="B84" s="1"/>
      <c r="C84" s="212"/>
      <c r="D84" s="2"/>
      <c r="E84" s="2">
        <v>261.76</v>
      </c>
      <c r="F84" s="2">
        <v>6537.71</v>
      </c>
      <c r="G84" s="2"/>
    </row>
    <row r="85" spans="1:7" ht="13.5" hidden="1" thickBot="1" x14ac:dyDescent="0.25">
      <c r="A85" s="1" t="s">
        <v>12</v>
      </c>
      <c r="B85" s="1"/>
      <c r="C85" s="212"/>
      <c r="D85" s="132">
        <f>SUM(D68:D84)</f>
        <v>0</v>
      </c>
      <c r="E85" s="132">
        <f>SUM(E68:E84)</f>
        <v>12464.63</v>
      </c>
      <c r="F85" s="132">
        <f>SUM(F68:F84)</f>
        <v>0</v>
      </c>
      <c r="G85" s="36">
        <f>SUM(G68:G84)</f>
        <v>0</v>
      </c>
    </row>
    <row r="86" spans="1:7" hidden="1" x14ac:dyDescent="0.2"/>
    <row r="87" spans="1:7" hidden="1" x14ac:dyDescent="0.2">
      <c r="A87" s="1"/>
      <c r="B87" s="1"/>
      <c r="C87" s="1"/>
      <c r="D87" s="9">
        <f>I9</f>
        <v>2067785.7</v>
      </c>
      <c r="E87" s="1"/>
      <c r="F87" s="1"/>
    </row>
    <row r="88" spans="1:7" hidden="1" x14ac:dyDescent="0.2"/>
    <row r="89" spans="1:7" hidden="1" x14ac:dyDescent="0.2"/>
    <row r="90" spans="1:7" hidden="1" x14ac:dyDescent="0.2"/>
    <row r="91" spans="1:7" hidden="1" x14ac:dyDescent="0.2"/>
    <row r="92" spans="1:7" hidden="1" x14ac:dyDescent="0.2"/>
    <row r="93" spans="1:7" hidden="1" x14ac:dyDescent="0.2"/>
    <row r="94" spans="1:7" hidden="1" x14ac:dyDescent="0.2"/>
    <row r="95" spans="1:7" hidden="1" x14ac:dyDescent="0.2"/>
    <row r="96" spans="1:7" hidden="1" x14ac:dyDescent="0.2"/>
    <row r="97" spans="11:19" hidden="1" x14ac:dyDescent="0.2">
      <c r="K97" s="396" t="s">
        <v>683</v>
      </c>
      <c r="L97" s="396"/>
      <c r="M97" s="396"/>
      <c r="N97" s="396"/>
      <c r="O97" s="396"/>
      <c r="P97" s="396"/>
      <c r="Q97" s="396"/>
      <c r="R97" s="396"/>
    </row>
    <row r="98" spans="11:19" hidden="1" x14ac:dyDescent="0.2">
      <c r="L98" s="1"/>
      <c r="M98" s="1"/>
      <c r="N98" s="1"/>
      <c r="O98" s="266" t="s">
        <v>72</v>
      </c>
      <c r="P98" s="119" t="s">
        <v>114</v>
      </c>
      <c r="Q98" s="119" t="s">
        <v>115</v>
      </c>
      <c r="R98" s="119" t="s">
        <v>116</v>
      </c>
    </row>
    <row r="99" spans="11:19" hidden="1" x14ac:dyDescent="0.2">
      <c r="L99" s="40" t="s">
        <v>122</v>
      </c>
      <c r="M99" s="40" t="s">
        <v>123</v>
      </c>
      <c r="N99" s="40" t="s">
        <v>124</v>
      </c>
      <c r="O99" s="267" t="s">
        <v>125</v>
      </c>
      <c r="P99" s="97" t="s">
        <v>126</v>
      </c>
      <c r="Q99" s="97" t="s">
        <v>127</v>
      </c>
      <c r="R99" s="40" t="s">
        <v>229</v>
      </c>
    </row>
    <row r="100" spans="11:19" hidden="1" x14ac:dyDescent="0.2">
      <c r="K100" s="155" t="s">
        <v>684</v>
      </c>
      <c r="L100" s="223">
        <f>+s3a!J51</f>
        <v>2860.94</v>
      </c>
      <c r="M100" s="223">
        <f>+Q108</f>
        <v>5245.39</v>
      </c>
      <c r="N100" s="223">
        <f>+$Q$109*s3c!F108</f>
        <v>5652.13</v>
      </c>
      <c r="O100" s="275">
        <f>+L100+M100+N100</f>
        <v>13758.46</v>
      </c>
      <c r="P100" s="223">
        <f>+Q111</f>
        <v>37843.54</v>
      </c>
      <c r="Q100" s="223">
        <f>ROUND(+$Q$112*s3c!I108,2)</f>
        <v>1128.9100000000001</v>
      </c>
      <c r="R100" s="223">
        <f>+O100+P100+Q100</f>
        <v>52730.91</v>
      </c>
    </row>
    <row r="101" spans="11:19" hidden="1" x14ac:dyDescent="0.2">
      <c r="K101" s="155" t="s">
        <v>685</v>
      </c>
      <c r="L101" s="223">
        <f>+s3a!J52</f>
        <v>3363.62</v>
      </c>
      <c r="M101" s="223"/>
      <c r="N101" s="223">
        <f>+$Q$109*s3c!F109</f>
        <v>3046.24</v>
      </c>
      <c r="O101" s="275">
        <f>+L101+M101+N101</f>
        <v>6409.86</v>
      </c>
      <c r="P101" s="223"/>
      <c r="Q101" s="223">
        <f>ROUND(+$Q$112*s3c!I109,2)</f>
        <v>2201.17</v>
      </c>
      <c r="R101" s="223">
        <f>+O101+P101+Q101</f>
        <v>8611.0300000000007</v>
      </c>
    </row>
    <row r="102" spans="11:19" hidden="1" x14ac:dyDescent="0.2">
      <c r="K102" s="155" t="s">
        <v>686</v>
      </c>
      <c r="L102" s="223">
        <f>+s3a!J53</f>
        <v>1134.6500000000001</v>
      </c>
      <c r="M102" s="223"/>
      <c r="N102" s="223">
        <f>+$Q$109*s3c!F110</f>
        <v>1181.76</v>
      </c>
      <c r="O102" s="275">
        <f>+L102+M102+N102</f>
        <v>2316.41</v>
      </c>
      <c r="P102" s="223"/>
      <c r="Q102" s="223">
        <f>ROUND(+$Q$112*s3c!I110,2)</f>
        <v>881.89</v>
      </c>
      <c r="R102" s="223">
        <f>+O102+P102+Q102</f>
        <v>3198.3</v>
      </c>
    </row>
    <row r="103" spans="11:19" hidden="1" x14ac:dyDescent="0.2">
      <c r="K103" s="360" t="s">
        <v>687</v>
      </c>
      <c r="L103" s="361">
        <f>+L100+L101+L102</f>
        <v>7359.21</v>
      </c>
      <c r="M103" s="361">
        <f>+M100+M101+M102</f>
        <v>5245.39</v>
      </c>
      <c r="N103" s="361">
        <f>SUM(N100:N102)</f>
        <v>9880.1299999999992</v>
      </c>
      <c r="O103" s="362">
        <f>SUM(O100:O102)</f>
        <v>22484.73</v>
      </c>
      <c r="P103" s="361">
        <f>+P100+P101+P102</f>
        <v>37843.54</v>
      </c>
      <c r="Q103" s="361">
        <f>+Q100+Q101+Q102</f>
        <v>4211.97</v>
      </c>
      <c r="R103" s="361">
        <f>+O103+P103+Q103</f>
        <v>64540.24</v>
      </c>
    </row>
    <row r="104" spans="11:19" hidden="1" x14ac:dyDescent="0.2">
      <c r="L104" s="223"/>
      <c r="M104" s="223"/>
      <c r="N104" s="223"/>
      <c r="O104" s="275"/>
      <c r="P104" s="223"/>
      <c r="Q104" s="223"/>
      <c r="R104" s="223">
        <f>+R100+R101+R102</f>
        <v>64540.24</v>
      </c>
      <c r="S104" s="223">
        <f>+R103-R104</f>
        <v>0</v>
      </c>
    </row>
    <row r="105" spans="11:19" hidden="1" x14ac:dyDescent="0.2">
      <c r="O105" s="363"/>
      <c r="P105" s="284"/>
      <c r="Q105" s="284"/>
      <c r="R105" s="284"/>
    </row>
    <row r="106" spans="11:19" hidden="1" x14ac:dyDescent="0.2">
      <c r="K106" t="s">
        <v>688</v>
      </c>
      <c r="L106" t="s">
        <v>601</v>
      </c>
      <c r="M106" t="s">
        <v>682</v>
      </c>
      <c r="N106" t="s">
        <v>689</v>
      </c>
      <c r="O106" s="363" t="s">
        <v>690</v>
      </c>
      <c r="P106" s="284" t="s">
        <v>691</v>
      </c>
      <c r="Q106" s="284" t="s">
        <v>692</v>
      </c>
      <c r="R106" s="284"/>
    </row>
    <row r="107" spans="11:19" hidden="1" x14ac:dyDescent="0.2">
      <c r="K107">
        <v>1.75</v>
      </c>
      <c r="L107" s="1">
        <v>1.7140200000000001E-2</v>
      </c>
      <c r="M107" s="364">
        <v>2.7400000000000001E-2</v>
      </c>
      <c r="N107" s="20">
        <f>ROUND(L107*M107,6)</f>
        <v>4.6999999999999999E-4</v>
      </c>
      <c r="O107" s="365">
        <f>N107/$N$113</f>
        <v>0.114025086</v>
      </c>
      <c r="P107" s="223">
        <f>+I14</f>
        <v>64540.24</v>
      </c>
      <c r="Q107" s="223">
        <f>+$P$107*O107</f>
        <v>7359.21</v>
      </c>
    </row>
    <row r="108" spans="11:19" hidden="1" x14ac:dyDescent="0.2">
      <c r="K108">
        <v>1.25</v>
      </c>
      <c r="L108">
        <v>1.2243E-2</v>
      </c>
      <c r="M108" s="364">
        <v>2.7400000000000001E-2</v>
      </c>
      <c r="N108" s="20">
        <f>ROUND(L108*M108,6)</f>
        <v>3.3500000000000001E-4</v>
      </c>
      <c r="O108" s="365">
        <f>N108/$N$113</f>
        <v>8.1273199000000004E-2</v>
      </c>
      <c r="P108" s="223" t="s">
        <v>81</v>
      </c>
      <c r="Q108" s="223">
        <f>+$P$107*O108</f>
        <v>5245.39</v>
      </c>
    </row>
    <row r="109" spans="11:19" hidden="1" x14ac:dyDescent="0.2">
      <c r="K109">
        <v>2.35</v>
      </c>
      <c r="L109" s="1">
        <v>2.30168E-2</v>
      </c>
      <c r="M109" s="364">
        <v>2.7400000000000001E-2</v>
      </c>
      <c r="N109" s="20">
        <f>ROUND(L109*M109,6)</f>
        <v>6.3100000000000005E-4</v>
      </c>
      <c r="O109" s="365">
        <f>N109/$N$113</f>
        <v>0.153084742</v>
      </c>
      <c r="P109" s="223" t="s">
        <v>81</v>
      </c>
      <c r="Q109" s="223">
        <f>+$P$107*O109</f>
        <v>9880.1299999999992</v>
      </c>
      <c r="R109" s="223" t="s">
        <v>81</v>
      </c>
      <c r="S109" s="223" t="str">
        <f>+R109</f>
        <v xml:space="preserve"> </v>
      </c>
    </row>
    <row r="110" spans="11:19" hidden="1" x14ac:dyDescent="0.2">
      <c r="K110" s="357" t="s">
        <v>693</v>
      </c>
      <c r="L110" s="366">
        <f>+L108+L109+L107</f>
        <v>5.2400000000000002E-2</v>
      </c>
      <c r="M110" s="345">
        <v>2.7400000000000001E-2</v>
      </c>
      <c r="N110" s="346">
        <f>ROUND(L110*M110,6)</f>
        <v>1.436E-3</v>
      </c>
      <c r="O110" s="347">
        <f>SUM(O107:O109)</f>
        <v>0.34838302700000001</v>
      </c>
      <c r="P110" s="221" t="s">
        <v>81</v>
      </c>
      <c r="Q110" s="221">
        <f>+Q107+Q108+Q109</f>
        <v>22484.73</v>
      </c>
      <c r="R110" s="223">
        <f>+O103</f>
        <v>22484.73</v>
      </c>
      <c r="S110" s="223">
        <f>+Q110-R110</f>
        <v>0</v>
      </c>
    </row>
    <row r="111" spans="11:19" hidden="1" x14ac:dyDescent="0.2">
      <c r="K111">
        <v>0.09</v>
      </c>
      <c r="L111" s="20">
        <v>8.8200000000000001E-2</v>
      </c>
      <c r="M111" s="367">
        <v>2.7400000000000001E-2</v>
      </c>
      <c r="N111" s="20">
        <f>ROUND(L111*M111,6)-0.0000001</f>
        <v>2.4169E-3</v>
      </c>
      <c r="O111" s="365">
        <f>N111/$N$113</f>
        <v>0.58635580700000001</v>
      </c>
      <c r="P111" s="223" t="s">
        <v>81</v>
      </c>
      <c r="Q111" s="223">
        <f>+$P$107*O111</f>
        <v>37843.54</v>
      </c>
    </row>
    <row r="112" spans="11:19" hidden="1" x14ac:dyDescent="0.2">
      <c r="K112">
        <v>0.01</v>
      </c>
      <c r="L112">
        <v>9.7999999999999997E-3</v>
      </c>
      <c r="M112" s="364">
        <v>2.7400000000000001E-2</v>
      </c>
      <c r="N112" s="20">
        <f>ROUND(L112*M112,6)</f>
        <v>2.6899999999999998E-4</v>
      </c>
      <c r="O112" s="365">
        <f>N112/$N$113</f>
        <v>6.5261165999999995E-2</v>
      </c>
      <c r="P112" s="223" t="s">
        <v>81</v>
      </c>
      <c r="Q112" s="223">
        <f>+$P$107*O112</f>
        <v>4211.97</v>
      </c>
    </row>
    <row r="113" spans="1:18" hidden="1" x14ac:dyDescent="0.2">
      <c r="K113" s="357" t="s">
        <v>694</v>
      </c>
      <c r="L113" s="366">
        <f>+L110+L111+L112</f>
        <v>0.15040000000000001</v>
      </c>
      <c r="M113" s="368">
        <f>+M112</f>
        <v>2.7400000000000001E-2</v>
      </c>
      <c r="N113" s="369">
        <f>+N111+N112+N110</f>
        <v>4.1219000000000004E-3</v>
      </c>
      <c r="O113" s="347">
        <f>+O110+O111+O112</f>
        <v>1</v>
      </c>
      <c r="P113" s="221" t="s">
        <v>81</v>
      </c>
      <c r="Q113" s="221">
        <f>+Q110+Q111+Q112</f>
        <v>64540.24</v>
      </c>
      <c r="R113" s="223">
        <f>+P107-Q113</f>
        <v>0</v>
      </c>
    </row>
    <row r="114" spans="1:18" hidden="1" x14ac:dyDescent="0.2"/>
    <row r="116" spans="1:18" ht="15.75" x14ac:dyDescent="0.25">
      <c r="A116" s="63" t="s">
        <v>427</v>
      </c>
      <c r="B116" s="63"/>
      <c r="D116" s="1"/>
      <c r="E116" s="263"/>
      <c r="F116" s="1"/>
      <c r="G116" s="1"/>
      <c r="H116" s="1"/>
    </row>
    <row r="117" spans="1:18" ht="15.75" x14ac:dyDescent="0.25">
      <c r="A117" s="77" t="str">
        <f>ReportMonth</f>
        <v>JUNE 2004</v>
      </c>
      <c r="B117" s="63"/>
      <c r="C117" s="63"/>
      <c r="D117" s="1"/>
      <c r="E117" s="263"/>
      <c r="F117" s="1"/>
      <c r="G117" s="1"/>
      <c r="H117" s="1"/>
    </row>
    <row r="118" spans="1:18" ht="15.75" x14ac:dyDescent="0.25">
      <c r="A118" s="95" t="s">
        <v>109</v>
      </c>
      <c r="B118" s="43"/>
      <c r="C118" s="43"/>
      <c r="D118" s="43"/>
      <c r="E118" s="264"/>
      <c r="F118" s="43"/>
      <c r="G118" s="43"/>
      <c r="H118" s="43"/>
    </row>
    <row r="119" spans="1:18" x14ac:dyDescent="0.2">
      <c r="A119" s="1"/>
      <c r="B119" s="1"/>
      <c r="C119" s="1"/>
      <c r="D119" s="1"/>
      <c r="E119" s="266" t="s">
        <v>72</v>
      </c>
      <c r="F119" s="119" t="s">
        <v>114</v>
      </c>
      <c r="G119" s="119" t="s">
        <v>115</v>
      </c>
      <c r="H119" s="119" t="s">
        <v>116</v>
      </c>
    </row>
    <row r="120" spans="1:18" x14ac:dyDescent="0.2">
      <c r="A120" s="4"/>
      <c r="B120" s="40" t="s">
        <v>122</v>
      </c>
      <c r="C120" s="40" t="s">
        <v>123</v>
      </c>
      <c r="D120" s="40" t="s">
        <v>124</v>
      </c>
      <c r="E120" s="267" t="s">
        <v>125</v>
      </c>
      <c r="F120" s="97" t="s">
        <v>126</v>
      </c>
      <c r="G120" s="97" t="s">
        <v>127</v>
      </c>
      <c r="H120" s="40" t="s">
        <v>229</v>
      </c>
    </row>
    <row r="121" spans="1:18" x14ac:dyDescent="0.2">
      <c r="A121" s="1"/>
      <c r="B121" s="2"/>
      <c r="C121" s="1"/>
      <c r="D121" s="1"/>
      <c r="E121" s="263"/>
      <c r="F121" s="1"/>
      <c r="G121" s="1"/>
      <c r="H121" s="1"/>
    </row>
    <row r="122" spans="1:18" x14ac:dyDescent="0.2">
      <c r="A122" s="219" t="s">
        <v>21</v>
      </c>
      <c r="B122" s="220">
        <f>s3a!K8</f>
        <v>56583.54</v>
      </c>
      <c r="C122" s="220">
        <f>G37</f>
        <v>17054.560000000001</v>
      </c>
      <c r="D122" s="220">
        <f>s3c!G71</f>
        <v>32059.919999999998</v>
      </c>
      <c r="E122" s="271">
        <f>SUM(B122:D122)</f>
        <v>105698.02</v>
      </c>
      <c r="F122" s="220">
        <f>P10</f>
        <v>294449.21000000002</v>
      </c>
      <c r="G122" s="220">
        <f>+s3c!H71</f>
        <v>32881.01</v>
      </c>
      <c r="H122" s="221">
        <f t="shared" ref="H122:H159" si="11">SUM(E122:G122)</f>
        <v>433028.24</v>
      </c>
    </row>
    <row r="123" spans="1:18" x14ac:dyDescent="0.2">
      <c r="A123" s="155" t="s">
        <v>22</v>
      </c>
      <c r="B123" s="222">
        <f>s3a!K9</f>
        <v>10721.85</v>
      </c>
      <c r="C123" s="222">
        <f>G38</f>
        <v>30464.28</v>
      </c>
      <c r="D123" s="222">
        <f>s3c!G72</f>
        <v>50077.06</v>
      </c>
      <c r="E123" s="272">
        <f>SUM(B123:D123)</f>
        <v>91263.19</v>
      </c>
      <c r="F123" s="222">
        <f>P11</f>
        <v>75477.37</v>
      </c>
      <c r="G123" s="222">
        <f>+s3c!H72</f>
        <v>5684.19</v>
      </c>
      <c r="H123" s="223">
        <f t="shared" si="11"/>
        <v>172424.75</v>
      </c>
    </row>
    <row r="124" spans="1:18" x14ac:dyDescent="0.2">
      <c r="A124" s="198" t="s">
        <v>372</v>
      </c>
      <c r="B124" s="222">
        <f>s3a!K10</f>
        <v>3782.05</v>
      </c>
      <c r="C124" s="222"/>
      <c r="D124" s="222">
        <f>s3c!G73</f>
        <v>7198.38</v>
      </c>
      <c r="E124" s="272">
        <f>SUM(B124:D124)</f>
        <v>10980.43</v>
      </c>
      <c r="F124" s="222"/>
      <c r="G124" s="222">
        <f>+s3c!H73</f>
        <v>2744.44</v>
      </c>
      <c r="H124" s="223">
        <f t="shared" si="11"/>
        <v>13724.87</v>
      </c>
    </row>
    <row r="125" spans="1:18" x14ac:dyDescent="0.2">
      <c r="A125" s="218" t="s">
        <v>428</v>
      </c>
      <c r="B125" s="220">
        <f>SUM(B123:B124)</f>
        <v>14503.9</v>
      </c>
      <c r="C125" s="220">
        <f>C123</f>
        <v>30464.28</v>
      </c>
      <c r="D125" s="220">
        <f>s3c!G74</f>
        <v>57275.44</v>
      </c>
      <c r="E125" s="271">
        <f>SUM(E123:E124)</f>
        <v>102243.62</v>
      </c>
      <c r="F125" s="220">
        <f>P11</f>
        <v>75477.37</v>
      </c>
      <c r="G125" s="220">
        <f>SUM(G123:G124)</f>
        <v>8428.6299999999992</v>
      </c>
      <c r="H125" s="221">
        <f t="shared" si="11"/>
        <v>186149.62</v>
      </c>
    </row>
    <row r="126" spans="1:18" x14ac:dyDescent="0.2">
      <c r="A126" s="155" t="s">
        <v>23</v>
      </c>
      <c r="B126" s="222">
        <f>s3a!K12</f>
        <v>518055.67999999999</v>
      </c>
      <c r="C126" s="222">
        <f>G39</f>
        <v>438222.16</v>
      </c>
      <c r="D126" s="222">
        <f>s3c!G75</f>
        <v>510398.39</v>
      </c>
      <c r="E126" s="272">
        <f t="shared" ref="E126:E131" si="12">SUM(B126:D126)</f>
        <v>1466676.23</v>
      </c>
      <c r="F126" s="222">
        <f>P12</f>
        <v>5268267.59</v>
      </c>
      <c r="G126" s="222">
        <f>+s3c!H75</f>
        <v>251031.3</v>
      </c>
      <c r="H126" s="223">
        <f t="shared" si="11"/>
        <v>6985975.1200000001</v>
      </c>
    </row>
    <row r="127" spans="1:18" x14ac:dyDescent="0.2">
      <c r="A127" s="155" t="s">
        <v>373</v>
      </c>
      <c r="B127" s="222">
        <f>s3a!K13</f>
        <v>10563.6</v>
      </c>
      <c r="C127" s="222"/>
      <c r="D127" s="222">
        <f>s3c!G76</f>
        <v>11138.6</v>
      </c>
      <c r="E127" s="272">
        <f t="shared" si="12"/>
        <v>21702.2</v>
      </c>
      <c r="F127" s="222"/>
      <c r="G127" s="222">
        <f>+s3c!H76</f>
        <v>5632.54</v>
      </c>
      <c r="H127" s="223">
        <f t="shared" si="11"/>
        <v>27334.74</v>
      </c>
    </row>
    <row r="128" spans="1:18" x14ac:dyDescent="0.2">
      <c r="A128" s="155" t="s">
        <v>374</v>
      </c>
      <c r="B128" s="222">
        <f>s3a!K14</f>
        <v>154157.25</v>
      </c>
      <c r="C128" s="222"/>
      <c r="D128" s="222">
        <f>s3c!G77</f>
        <v>73265.960000000006</v>
      </c>
      <c r="E128" s="272">
        <f t="shared" si="12"/>
        <v>227423.21</v>
      </c>
      <c r="F128" s="222"/>
      <c r="G128" s="222">
        <f>+s3c!H77</f>
        <v>79496.509999999995</v>
      </c>
      <c r="H128" s="223">
        <f t="shared" si="11"/>
        <v>306919.71999999997</v>
      </c>
    </row>
    <row r="129" spans="1:8" x14ac:dyDescent="0.2">
      <c r="A129" s="155" t="s">
        <v>375</v>
      </c>
      <c r="B129" s="222">
        <f>s3a!K15</f>
        <v>260126.32</v>
      </c>
      <c r="C129" s="222"/>
      <c r="D129" s="222">
        <f>s3c!G78</f>
        <v>173208.55</v>
      </c>
      <c r="E129" s="272">
        <f t="shared" si="12"/>
        <v>433334.87</v>
      </c>
      <c r="F129" s="222"/>
      <c r="G129" s="222">
        <f>+s3c!H78</f>
        <v>195297.53</v>
      </c>
      <c r="H129" s="223">
        <f t="shared" si="11"/>
        <v>628632.4</v>
      </c>
    </row>
    <row r="130" spans="1:8" x14ac:dyDescent="0.2">
      <c r="A130" s="155" t="s">
        <v>376</v>
      </c>
      <c r="B130" s="222">
        <f>s3a!K16</f>
        <v>7556.71</v>
      </c>
      <c r="C130" s="222"/>
      <c r="D130" s="222">
        <f>s3c!G79</f>
        <v>4621.8599999999997</v>
      </c>
      <c r="E130" s="272">
        <f t="shared" si="12"/>
        <v>12178.57</v>
      </c>
      <c r="F130" s="222"/>
      <c r="G130" s="222">
        <f>+s3c!H79</f>
        <v>5015.0600000000004</v>
      </c>
      <c r="H130" s="223">
        <f t="shared" si="11"/>
        <v>17193.63</v>
      </c>
    </row>
    <row r="131" spans="1:8" x14ac:dyDescent="0.2">
      <c r="A131" s="155" t="s">
        <v>377</v>
      </c>
      <c r="B131" s="222">
        <f>s3a!K17</f>
        <v>61961.16</v>
      </c>
      <c r="C131" s="222"/>
      <c r="D131" s="222">
        <f>s3c!G80</f>
        <v>51227.68</v>
      </c>
      <c r="E131" s="272">
        <f t="shared" si="12"/>
        <v>113188.84</v>
      </c>
      <c r="F131" s="222"/>
      <c r="G131" s="222">
        <f>+s3c!H80</f>
        <v>51597.279999999999</v>
      </c>
      <c r="H131" s="223">
        <f t="shared" si="11"/>
        <v>164786.12</v>
      </c>
    </row>
    <row r="132" spans="1:8" x14ac:dyDescent="0.2">
      <c r="A132" s="218" t="s">
        <v>428</v>
      </c>
      <c r="B132" s="220">
        <f>SUM(B126:B131)</f>
        <v>1012420.72</v>
      </c>
      <c r="C132" s="224">
        <f>C126</f>
        <v>438222.16</v>
      </c>
      <c r="D132" s="220">
        <f>s3c!G81</f>
        <v>823861.04</v>
      </c>
      <c r="E132" s="271">
        <f>SUM(E126:E131)</f>
        <v>2274503.92</v>
      </c>
      <c r="F132" s="220">
        <f>P12</f>
        <v>5268267.59</v>
      </c>
      <c r="G132" s="220">
        <f>SUM(G126:G131)</f>
        <v>588070.22</v>
      </c>
      <c r="H132" s="221">
        <f t="shared" si="11"/>
        <v>8130841.7300000004</v>
      </c>
    </row>
    <row r="133" spans="1:8" x14ac:dyDescent="0.2">
      <c r="A133" s="219" t="s">
        <v>24</v>
      </c>
      <c r="B133" s="220">
        <f>s3a!K19</f>
        <v>37410.21</v>
      </c>
      <c r="C133" s="220">
        <f>G40</f>
        <v>20868.02</v>
      </c>
      <c r="D133" s="220">
        <f>s3c!G82</f>
        <v>39229.699999999997</v>
      </c>
      <c r="E133" s="273">
        <f t="shared" ref="E133:E138" si="13">SUM(B133:D133)</f>
        <v>97507.93</v>
      </c>
      <c r="F133" s="221">
        <f>P13</f>
        <v>86528.03</v>
      </c>
      <c r="G133" s="220">
        <f>+s3c!H82</f>
        <v>21741.35</v>
      </c>
      <c r="H133" s="221">
        <f t="shared" si="11"/>
        <v>205777.31</v>
      </c>
    </row>
    <row r="134" spans="1:8" x14ac:dyDescent="0.2">
      <c r="A134" s="155" t="s">
        <v>25</v>
      </c>
      <c r="B134" s="222">
        <f>s3a!K20</f>
        <v>21622.86</v>
      </c>
      <c r="C134" s="222">
        <f>G41</f>
        <v>73223.42</v>
      </c>
      <c r="D134" s="222">
        <f>s3c!G83</f>
        <v>106860.96</v>
      </c>
      <c r="E134" s="272">
        <f t="shared" si="13"/>
        <v>201707.24</v>
      </c>
      <c r="F134" s="222">
        <f>P14</f>
        <v>91064.3</v>
      </c>
      <c r="G134" s="222">
        <f>+s3c!H83</f>
        <v>10691.15</v>
      </c>
      <c r="H134" s="223">
        <f t="shared" si="11"/>
        <v>303462.69</v>
      </c>
    </row>
    <row r="135" spans="1:8" x14ac:dyDescent="0.2">
      <c r="A135" s="155" t="s">
        <v>378</v>
      </c>
      <c r="B135" s="222">
        <f>s3a!K21</f>
        <v>880.11</v>
      </c>
      <c r="C135" s="222"/>
      <c r="D135" s="222">
        <f>s3c!G84</f>
        <v>2468.1999999999998</v>
      </c>
      <c r="E135" s="272">
        <f t="shared" si="13"/>
        <v>3348.31</v>
      </c>
      <c r="F135" s="222"/>
      <c r="G135" s="222">
        <f>+s3c!H84</f>
        <v>1018.85</v>
      </c>
      <c r="H135" s="223">
        <f t="shared" si="11"/>
        <v>4367.16</v>
      </c>
    </row>
    <row r="136" spans="1:8" x14ac:dyDescent="0.2">
      <c r="A136" s="155" t="s">
        <v>133</v>
      </c>
      <c r="B136" s="222">
        <f>s3a!K22</f>
        <v>12541.19</v>
      </c>
      <c r="C136" s="222"/>
      <c r="D136" s="222">
        <f>s3c!G85</f>
        <v>21990.82</v>
      </c>
      <c r="E136" s="272">
        <f t="shared" si="13"/>
        <v>34532.01</v>
      </c>
      <c r="F136" s="222"/>
      <c r="G136" s="222">
        <f>+s3c!H85</f>
        <v>8199.01</v>
      </c>
      <c r="H136" s="223">
        <f t="shared" si="11"/>
        <v>42731.02</v>
      </c>
    </row>
    <row r="137" spans="1:8" x14ac:dyDescent="0.2">
      <c r="A137" s="155" t="s">
        <v>379</v>
      </c>
      <c r="B137" s="222">
        <f>s3a!K23</f>
        <v>715.01</v>
      </c>
      <c r="C137" s="222"/>
      <c r="D137" s="222">
        <f>s3c!G86</f>
        <v>2071.75</v>
      </c>
      <c r="E137" s="272">
        <f t="shared" si="13"/>
        <v>2786.76</v>
      </c>
      <c r="F137" s="222"/>
      <c r="G137" s="222">
        <f>+s3c!H86</f>
        <v>682.36</v>
      </c>
      <c r="H137" s="223">
        <f t="shared" si="11"/>
        <v>3469.12</v>
      </c>
    </row>
    <row r="138" spans="1:8" x14ac:dyDescent="0.2">
      <c r="A138" s="155" t="s">
        <v>380</v>
      </c>
      <c r="B138" s="222">
        <f>s3a!K24</f>
        <v>3615.89</v>
      </c>
      <c r="C138" s="222"/>
      <c r="D138" s="222">
        <f>s3c!G87</f>
        <v>4266.01</v>
      </c>
      <c r="E138" s="272">
        <f t="shared" si="13"/>
        <v>7881.9</v>
      </c>
      <c r="F138" s="222"/>
      <c r="G138" s="222">
        <f>+s3c!H87</f>
        <v>2289.7399999999998</v>
      </c>
      <c r="H138" s="223">
        <f t="shared" si="11"/>
        <v>10171.64</v>
      </c>
    </row>
    <row r="139" spans="1:8" x14ac:dyDescent="0.2">
      <c r="A139" s="218" t="s">
        <v>428</v>
      </c>
      <c r="B139" s="220">
        <f>SUM(B134:B138)</f>
        <v>39375.06</v>
      </c>
      <c r="C139" s="224">
        <f>C134</f>
        <v>73223.42</v>
      </c>
      <c r="D139" s="220">
        <f>s3c!G88</f>
        <v>137657.74</v>
      </c>
      <c r="E139" s="271">
        <f>SUM(E134:E138)</f>
        <v>250256.22</v>
      </c>
      <c r="F139" s="220">
        <f>P14</f>
        <v>91064.3</v>
      </c>
      <c r="G139" s="220">
        <f>SUM(G134:G138)</f>
        <v>22881.11</v>
      </c>
      <c r="H139" s="221">
        <f t="shared" si="11"/>
        <v>364201.63</v>
      </c>
    </row>
    <row r="140" spans="1:8" x14ac:dyDescent="0.2">
      <c r="A140" s="219" t="s">
        <v>26</v>
      </c>
      <c r="B140" s="220">
        <f>s3a!K26</f>
        <v>772.83</v>
      </c>
      <c r="C140" s="220">
        <f>G42</f>
        <v>17625.32</v>
      </c>
      <c r="D140" s="220">
        <f>s3c!G89</f>
        <v>33142.14</v>
      </c>
      <c r="E140" s="273">
        <f>SUM(B140:D140)</f>
        <v>51540.29</v>
      </c>
      <c r="F140" s="221">
        <f>P15</f>
        <v>1787.4</v>
      </c>
      <c r="G140" s="220">
        <f>+s3c!H89</f>
        <v>449.1</v>
      </c>
      <c r="H140" s="221">
        <f t="shared" si="11"/>
        <v>53776.79</v>
      </c>
    </row>
    <row r="141" spans="1:8" x14ac:dyDescent="0.2">
      <c r="A141" s="243" t="s">
        <v>27</v>
      </c>
      <c r="B141" s="244">
        <f>s3a!K27</f>
        <v>1794.82</v>
      </c>
      <c r="C141" s="244">
        <f>G43</f>
        <v>21691</v>
      </c>
      <c r="D141" s="244">
        <f>s3c!G90</f>
        <v>40777.480000000003</v>
      </c>
      <c r="E141" s="274">
        <f>SUM(B141:D141)</f>
        <v>64263.3</v>
      </c>
      <c r="F141" s="245">
        <f>P16</f>
        <v>4151.88</v>
      </c>
      <c r="G141" s="244">
        <f>+s3c!H90</f>
        <v>1043.27</v>
      </c>
      <c r="H141" s="245">
        <f t="shared" si="11"/>
        <v>69458.45</v>
      </c>
    </row>
    <row r="142" spans="1:8" x14ac:dyDescent="0.2">
      <c r="A142" s="155" t="s">
        <v>28</v>
      </c>
      <c r="B142" s="222">
        <f>s3a!K28</f>
        <v>15311.16</v>
      </c>
      <c r="C142" s="222">
        <f>G44</f>
        <v>44204.77</v>
      </c>
      <c r="D142" s="222">
        <f>s3c!G91</f>
        <v>70067.37</v>
      </c>
      <c r="E142" s="275">
        <f>SUM(B142:D142)</f>
        <v>129583.3</v>
      </c>
      <c r="F142" s="223">
        <f>P17</f>
        <v>104709.74</v>
      </c>
      <c r="G142" s="222">
        <f>+s3c!H91</f>
        <v>6506.27</v>
      </c>
      <c r="H142" s="223">
        <f t="shared" si="11"/>
        <v>240799.31</v>
      </c>
    </row>
    <row r="143" spans="1:8" x14ac:dyDescent="0.2">
      <c r="A143" s="155" t="s">
        <v>381</v>
      </c>
      <c r="B143" s="222">
        <f>s3a!K29</f>
        <v>4809.2700000000004</v>
      </c>
      <c r="C143" s="223"/>
      <c r="D143" s="222">
        <f>s3c!G92</f>
        <v>13036.51</v>
      </c>
      <c r="E143" s="275">
        <f>SUM(B143:D143)</f>
        <v>17845.78</v>
      </c>
      <c r="F143" s="223"/>
      <c r="G143" s="222">
        <f>+s3c!H92</f>
        <v>5186.95</v>
      </c>
      <c r="H143" s="223">
        <f t="shared" si="11"/>
        <v>23032.73</v>
      </c>
    </row>
    <row r="144" spans="1:8" x14ac:dyDescent="0.2">
      <c r="A144" s="218" t="s">
        <v>428</v>
      </c>
      <c r="B144" s="220">
        <f>SUM(B142:B143)</f>
        <v>20120.43</v>
      </c>
      <c r="C144" s="224">
        <f>C142</f>
        <v>44204.77</v>
      </c>
      <c r="D144" s="220">
        <f>s3c!G93</f>
        <v>83103.88</v>
      </c>
      <c r="E144" s="271">
        <f>SUM(E142:E143)</f>
        <v>147429.07999999999</v>
      </c>
      <c r="F144" s="220">
        <f>P17</f>
        <v>104709.74</v>
      </c>
      <c r="G144" s="220">
        <f>SUM(G142:G143)</f>
        <v>11693.22</v>
      </c>
      <c r="H144" s="221">
        <f t="shared" si="11"/>
        <v>263832.03999999998</v>
      </c>
    </row>
    <row r="145" spans="1:8" x14ac:dyDescent="0.2">
      <c r="A145" s="155" t="s">
        <v>29</v>
      </c>
      <c r="B145" s="222">
        <f>s3a!K31</f>
        <v>5787.27</v>
      </c>
      <c r="C145" s="222">
        <f>G45</f>
        <v>28018.53</v>
      </c>
      <c r="D145" s="222">
        <f>s3c!G94</f>
        <v>52674.95</v>
      </c>
      <c r="E145" s="275">
        <f>SUM(B145:D145)</f>
        <v>86480.75</v>
      </c>
      <c r="F145" s="223">
        <f>P18</f>
        <v>31084.31</v>
      </c>
      <c r="G145" s="222">
        <f>+s3c!H94</f>
        <v>3366.06</v>
      </c>
      <c r="H145" s="223">
        <f t="shared" si="11"/>
        <v>120931.12</v>
      </c>
    </row>
    <row r="146" spans="1:8" x14ac:dyDescent="0.2">
      <c r="A146" s="217" t="s">
        <v>382</v>
      </c>
      <c r="B146" s="222">
        <f>s3a!K32</f>
        <v>56.07</v>
      </c>
      <c r="C146" s="223"/>
      <c r="D146" s="223"/>
      <c r="E146" s="275">
        <f>SUM(B146:D146)</f>
        <v>56.07</v>
      </c>
      <c r="F146" s="223"/>
      <c r="G146" s="223"/>
      <c r="H146" s="223">
        <f t="shared" si="11"/>
        <v>56.07</v>
      </c>
    </row>
    <row r="147" spans="1:8" x14ac:dyDescent="0.2">
      <c r="A147" s="218" t="s">
        <v>428</v>
      </c>
      <c r="B147" s="220">
        <f>SUM(B145:B146)</f>
        <v>5843.34</v>
      </c>
      <c r="C147" s="224">
        <f>C145</f>
        <v>28018.53</v>
      </c>
      <c r="D147" s="220">
        <f>s3c!G94</f>
        <v>52674.95</v>
      </c>
      <c r="E147" s="271">
        <f>SUM(E145:E146)</f>
        <v>86536.82</v>
      </c>
      <c r="F147" s="220">
        <f>P18</f>
        <v>31084.31</v>
      </c>
      <c r="G147" s="220">
        <f>SUM(G145:G146)</f>
        <v>3366.06</v>
      </c>
      <c r="H147" s="221">
        <f t="shared" si="11"/>
        <v>120987.19</v>
      </c>
    </row>
    <row r="148" spans="1:8" x14ac:dyDescent="0.2">
      <c r="A148" s="155" t="s">
        <v>30</v>
      </c>
      <c r="B148" s="222">
        <f>s3a!K34</f>
        <v>2186.38</v>
      </c>
      <c r="C148" s="222">
        <f>G46</f>
        <v>48344.31</v>
      </c>
      <c r="D148" s="222">
        <f>s3c!G95</f>
        <v>84180.38</v>
      </c>
      <c r="E148" s="275">
        <f>SUM(B148:D148)</f>
        <v>134711.07</v>
      </c>
      <c r="F148" s="223">
        <f>P19</f>
        <v>5474.81</v>
      </c>
      <c r="G148" s="222">
        <f>+s3c!H95</f>
        <v>1000.39</v>
      </c>
      <c r="H148" s="223">
        <f t="shared" si="11"/>
        <v>141186.26999999999</v>
      </c>
    </row>
    <row r="149" spans="1:8" x14ac:dyDescent="0.2">
      <c r="A149" s="155" t="s">
        <v>383</v>
      </c>
      <c r="B149" s="222">
        <f>s3a!K35</f>
        <v>180.8</v>
      </c>
      <c r="C149" s="223"/>
      <c r="D149" s="222">
        <f>s3c!G96</f>
        <v>6706.55</v>
      </c>
      <c r="E149" s="275">
        <f>SUM(B149:D149)</f>
        <v>6887.35</v>
      </c>
      <c r="F149" s="223"/>
      <c r="G149" s="222">
        <f>+s3c!H96</f>
        <v>375.19</v>
      </c>
      <c r="H149" s="223">
        <f t="shared" si="11"/>
        <v>7262.54</v>
      </c>
    </row>
    <row r="150" spans="1:8" x14ac:dyDescent="0.2">
      <c r="A150" s="218" t="s">
        <v>428</v>
      </c>
      <c r="B150" s="220">
        <f>SUM(B148:B149)</f>
        <v>2367.1799999999998</v>
      </c>
      <c r="C150" s="224">
        <f>C148</f>
        <v>48344.31</v>
      </c>
      <c r="D150" s="220">
        <f>s3c!G97</f>
        <v>90886.93</v>
      </c>
      <c r="E150" s="271">
        <f>SUM(E148:E149)</f>
        <v>141598.42000000001</v>
      </c>
      <c r="F150" s="220">
        <f>P19</f>
        <v>5474.81</v>
      </c>
      <c r="G150" s="220">
        <f>SUM(G148:G149)</f>
        <v>1375.58</v>
      </c>
      <c r="H150" s="221">
        <f t="shared" si="11"/>
        <v>148448.81</v>
      </c>
    </row>
    <row r="151" spans="1:8" x14ac:dyDescent="0.2">
      <c r="A151" s="155" t="s">
        <v>31</v>
      </c>
      <c r="B151" s="222">
        <f>s3a!K37</f>
        <v>18518.330000000002</v>
      </c>
      <c r="C151" s="222">
        <f>G47</f>
        <v>24543.29</v>
      </c>
      <c r="D151" s="222">
        <f>s3c!G98</f>
        <v>38404.800000000003</v>
      </c>
      <c r="E151" s="275">
        <f>SUM(B151:D151)</f>
        <v>81466.42</v>
      </c>
      <c r="F151" s="223">
        <f>P20</f>
        <v>159606.82</v>
      </c>
      <c r="G151" s="222">
        <f>+s3c!H98</f>
        <v>11710.68</v>
      </c>
      <c r="H151" s="223">
        <f t="shared" si="11"/>
        <v>252783.92</v>
      </c>
    </row>
    <row r="152" spans="1:8" x14ac:dyDescent="0.2">
      <c r="A152" s="155" t="s">
        <v>384</v>
      </c>
      <c r="B152" s="222">
        <f>s3a!K39</f>
        <v>1582.2</v>
      </c>
      <c r="C152" s="223"/>
      <c r="D152" s="222">
        <f>s3c!G100</f>
        <v>1551.27</v>
      </c>
      <c r="E152" s="275">
        <f>SUM(B152:D152)</f>
        <v>3133.47</v>
      </c>
      <c r="F152" s="223"/>
      <c r="G152" s="222">
        <f>+s3c!H100</f>
        <v>1314.1</v>
      </c>
      <c r="H152" s="223">
        <f>SUM(E152:G152)</f>
        <v>4447.57</v>
      </c>
    </row>
    <row r="153" spans="1:8" x14ac:dyDescent="0.2">
      <c r="A153" s="155" t="s">
        <v>385</v>
      </c>
      <c r="B153" s="222">
        <f>s3a!K38</f>
        <v>10569.97</v>
      </c>
      <c r="C153" s="223"/>
      <c r="D153" s="222">
        <f>s3c!G99</f>
        <v>6185.24</v>
      </c>
      <c r="E153" s="275">
        <f>SUM(B153:D153)</f>
        <v>16755.21</v>
      </c>
      <c r="F153" s="223"/>
      <c r="G153" s="222">
        <f>+s3c!H99</f>
        <v>4798.6400000000003</v>
      </c>
      <c r="H153" s="223">
        <f>SUM(E153:G153)</f>
        <v>21553.85</v>
      </c>
    </row>
    <row r="154" spans="1:8" x14ac:dyDescent="0.2">
      <c r="A154" s="218" t="s">
        <v>428</v>
      </c>
      <c r="B154" s="220">
        <f>SUM(B151:B153)</f>
        <v>30670.5</v>
      </c>
      <c r="C154" s="224">
        <f>C151</f>
        <v>24543.29</v>
      </c>
      <c r="D154" s="220">
        <f>s3c!G101</f>
        <v>46141.31</v>
      </c>
      <c r="E154" s="271">
        <f>SUM(E151:E153)</f>
        <v>101355.1</v>
      </c>
      <c r="F154" s="220">
        <f>P20</f>
        <v>159606.82</v>
      </c>
      <c r="G154" s="220">
        <f>SUM(G151:G153)</f>
        <v>17823.419999999998</v>
      </c>
      <c r="H154" s="221">
        <f t="shared" si="11"/>
        <v>278785.34000000003</v>
      </c>
    </row>
    <row r="155" spans="1:8" x14ac:dyDescent="0.2">
      <c r="A155" s="219" t="s">
        <v>32</v>
      </c>
      <c r="B155" s="220">
        <f>s3a!K41</f>
        <v>3031.02</v>
      </c>
      <c r="C155" s="220">
        <f>G48</f>
        <v>15196.96</v>
      </c>
      <c r="D155" s="220">
        <f>s3c!G102</f>
        <v>28569.23</v>
      </c>
      <c r="E155" s="273">
        <f>SUM(B155:D155)</f>
        <v>46797.21</v>
      </c>
      <c r="F155" s="221">
        <f>P21</f>
        <v>15853.11</v>
      </c>
      <c r="G155" s="220">
        <f>+s3c!H102</f>
        <v>1774.08</v>
      </c>
      <c r="H155" s="221">
        <f t="shared" si="11"/>
        <v>64424.4</v>
      </c>
    </row>
    <row r="156" spans="1:8" x14ac:dyDescent="0.2">
      <c r="A156" s="155" t="s">
        <v>33</v>
      </c>
      <c r="B156" s="222">
        <f>s3a!K42</f>
        <v>5012.0600000000004</v>
      </c>
      <c r="C156" s="222">
        <f>G49</f>
        <v>76080.929999999993</v>
      </c>
      <c r="D156" s="222">
        <f>s3c!G103</f>
        <v>143029.79999999999</v>
      </c>
      <c r="E156" s="275">
        <f>SUM(B156:D156)</f>
        <v>224122.79</v>
      </c>
      <c r="F156" s="223">
        <f>P22</f>
        <v>73707.78</v>
      </c>
      <c r="G156" s="222">
        <f>+s3c!H103</f>
        <v>18519.54</v>
      </c>
      <c r="H156" s="223">
        <f t="shared" si="11"/>
        <v>316350.11</v>
      </c>
    </row>
    <row r="157" spans="1:8" x14ac:dyDescent="0.2">
      <c r="A157" s="217" t="s">
        <v>386</v>
      </c>
      <c r="B157" s="222">
        <f>s3a!K43</f>
        <v>22124.95</v>
      </c>
      <c r="C157" s="223"/>
      <c r="D157" s="223"/>
      <c r="E157" s="275">
        <f>SUM(B157:D157)</f>
        <v>22124.95</v>
      </c>
      <c r="F157" s="223"/>
      <c r="G157" s="223"/>
      <c r="H157" s="223">
        <f t="shared" si="11"/>
        <v>22124.95</v>
      </c>
    </row>
    <row r="158" spans="1:8" x14ac:dyDescent="0.2">
      <c r="A158" s="217" t="s">
        <v>387</v>
      </c>
      <c r="B158" s="222">
        <f>s3a!K44</f>
        <v>3805.93</v>
      </c>
      <c r="C158" s="223"/>
      <c r="D158" s="223"/>
      <c r="E158" s="275">
        <f>SUM(B158:D158)</f>
        <v>3805.93</v>
      </c>
      <c r="F158" s="223"/>
      <c r="G158" s="223"/>
      <c r="H158" s="223">
        <f t="shared" si="11"/>
        <v>3805.93</v>
      </c>
    </row>
    <row r="159" spans="1:8" x14ac:dyDescent="0.2">
      <c r="A159" s="217" t="s">
        <v>388</v>
      </c>
      <c r="B159" s="222">
        <f>s3a!K45</f>
        <v>926.64</v>
      </c>
      <c r="C159" s="223"/>
      <c r="D159" s="223"/>
      <c r="E159" s="275">
        <f>SUM(B159:D159)</f>
        <v>926.64</v>
      </c>
      <c r="F159" s="223"/>
      <c r="G159" s="223"/>
      <c r="H159" s="223">
        <f t="shared" si="11"/>
        <v>926.64</v>
      </c>
    </row>
    <row r="160" spans="1:8" x14ac:dyDescent="0.2">
      <c r="A160" s="218" t="s">
        <v>428</v>
      </c>
      <c r="B160" s="220">
        <f>SUM(B156:B159)</f>
        <v>31869.58</v>
      </c>
      <c r="C160" s="224">
        <f>C156</f>
        <v>76080.929999999993</v>
      </c>
      <c r="D160" s="220">
        <f>s3c!G103</f>
        <v>143029.79999999999</v>
      </c>
      <c r="E160" s="271">
        <f>SUM(E156:E159)</f>
        <v>250980.31</v>
      </c>
      <c r="F160" s="220">
        <f>P22</f>
        <v>73707.78</v>
      </c>
      <c r="G160" s="220">
        <f>SUM(G156:G159)</f>
        <v>18519.54</v>
      </c>
      <c r="H160" s="221">
        <f t="shared" ref="H160:H168" si="14">SUM(E160:G160)</f>
        <v>343207.63</v>
      </c>
    </row>
    <row r="161" spans="1:8" x14ac:dyDescent="0.2">
      <c r="A161" s="155" t="s">
        <v>34</v>
      </c>
      <c r="B161" s="222">
        <f>s3a!K47</f>
        <v>4408.7</v>
      </c>
      <c r="C161" s="222">
        <f>G50</f>
        <v>34401.82</v>
      </c>
      <c r="D161" s="222">
        <f>s3c!G104</f>
        <v>58244.03</v>
      </c>
      <c r="E161" s="275">
        <f>SUM(B161:D161)</f>
        <v>97054.55</v>
      </c>
      <c r="F161" s="223">
        <f>P23</f>
        <v>25725.38</v>
      </c>
      <c r="G161" s="222">
        <f>+s3c!H104</f>
        <v>1934.3</v>
      </c>
      <c r="H161" s="223">
        <f t="shared" si="14"/>
        <v>124714.23</v>
      </c>
    </row>
    <row r="162" spans="1:8" x14ac:dyDescent="0.2">
      <c r="A162" s="155" t="s">
        <v>389</v>
      </c>
      <c r="B162" s="222">
        <f>s3a!K48</f>
        <v>532.67999999999995</v>
      </c>
      <c r="C162" s="223"/>
      <c r="D162" s="222">
        <f>s3c!G105</f>
        <v>6428.44</v>
      </c>
      <c r="E162" s="275">
        <f>SUM(B162:D162)</f>
        <v>6961.12</v>
      </c>
      <c r="F162" s="223"/>
      <c r="G162" s="222">
        <f>+s3c!H105</f>
        <v>938.98</v>
      </c>
      <c r="H162" s="223">
        <f t="shared" si="14"/>
        <v>7900.1</v>
      </c>
    </row>
    <row r="163" spans="1:8" x14ac:dyDescent="0.2">
      <c r="A163" s="218" t="s">
        <v>428</v>
      </c>
      <c r="B163" s="220">
        <f>SUM(B161:B162)</f>
        <v>4941.38</v>
      </c>
      <c r="C163" s="224">
        <f>C161</f>
        <v>34401.82</v>
      </c>
      <c r="D163" s="220">
        <f>s3c!G106</f>
        <v>64672.47</v>
      </c>
      <c r="E163" s="271">
        <f>SUM(E161:E162)</f>
        <v>104015.67</v>
      </c>
      <c r="F163" s="220">
        <f>P23</f>
        <v>25725.38</v>
      </c>
      <c r="G163" s="220">
        <f>SUM(G161:G162)</f>
        <v>2873.28</v>
      </c>
      <c r="H163" s="221">
        <f t="shared" si="14"/>
        <v>132614.32999999999</v>
      </c>
    </row>
    <row r="164" spans="1:8" x14ac:dyDescent="0.2">
      <c r="A164" s="219" t="s">
        <v>35</v>
      </c>
      <c r="B164" s="220">
        <f>s3a!K50</f>
        <v>616.04</v>
      </c>
      <c r="C164" s="220">
        <f>G51</f>
        <v>2294.0700000000002</v>
      </c>
      <c r="D164" s="220">
        <f>s3c!G107</f>
        <v>4311.05</v>
      </c>
      <c r="E164" s="273">
        <f>SUM(B164:D164)</f>
        <v>7221.16</v>
      </c>
      <c r="F164" s="221">
        <f>P24</f>
        <v>1424.78</v>
      </c>
      <c r="G164" s="220">
        <f>+s3c!H107</f>
        <v>357.99</v>
      </c>
      <c r="H164" s="221">
        <f t="shared" si="14"/>
        <v>9003.93</v>
      </c>
    </row>
    <row r="165" spans="1:8" x14ac:dyDescent="0.2">
      <c r="A165" s="155" t="s">
        <v>36</v>
      </c>
      <c r="B165" s="222">
        <f>s3a!K51</f>
        <v>100235.75</v>
      </c>
      <c r="C165" s="222">
        <f>G52</f>
        <v>155577.70000000001</v>
      </c>
      <c r="D165" s="222">
        <f>s3c!G108</f>
        <v>167325.23000000001</v>
      </c>
      <c r="E165" s="275">
        <f>SUM(B165:D165)</f>
        <v>423138.68</v>
      </c>
      <c r="F165" s="223">
        <f>P25</f>
        <v>1341572.3799999999</v>
      </c>
      <c r="G165" s="222">
        <f>+s3c!H108</f>
        <v>40158.43</v>
      </c>
      <c r="H165" s="223">
        <f t="shared" si="14"/>
        <v>1804869.49</v>
      </c>
    </row>
    <row r="166" spans="1:8" x14ac:dyDescent="0.2">
      <c r="A166" s="155" t="s">
        <v>390</v>
      </c>
      <c r="B166" s="222">
        <f>s3a!K52</f>
        <v>117847.83</v>
      </c>
      <c r="C166" s="223"/>
      <c r="D166" s="222">
        <f>s3c!G109</f>
        <v>90180.78</v>
      </c>
      <c r="E166" s="275">
        <f>SUM(B166:D166)</f>
        <v>208028.61</v>
      </c>
      <c r="F166" s="223"/>
      <c r="G166" s="222">
        <f>+s3c!H109</f>
        <v>78301.78</v>
      </c>
      <c r="H166" s="223">
        <f t="shared" si="14"/>
        <v>286330.39</v>
      </c>
    </row>
    <row r="167" spans="1:8" x14ac:dyDescent="0.2">
      <c r="A167" s="155" t="s">
        <v>391</v>
      </c>
      <c r="B167" s="222">
        <f>s3a!K53</f>
        <v>39753.589999999997</v>
      </c>
      <c r="C167" s="223"/>
      <c r="D167" s="222">
        <f>s3c!G110</f>
        <v>34984.83</v>
      </c>
      <c r="E167" s="275">
        <f>SUM(B167:D167)</f>
        <v>74738.42</v>
      </c>
      <c r="F167" s="223"/>
      <c r="G167" s="222">
        <f>+s3c!H110</f>
        <v>31371.27</v>
      </c>
      <c r="H167" s="223">
        <f t="shared" si="14"/>
        <v>106109.69</v>
      </c>
    </row>
    <row r="168" spans="1:8" x14ac:dyDescent="0.2">
      <c r="A168" s="218" t="s">
        <v>428</v>
      </c>
      <c r="B168" s="220">
        <f>SUM(B165:B167)</f>
        <v>257837.17</v>
      </c>
      <c r="C168" s="224">
        <f>C165</f>
        <v>155577.70000000001</v>
      </c>
      <c r="D168" s="220">
        <f>s3c!G111</f>
        <v>292490.84000000003</v>
      </c>
      <c r="E168" s="271">
        <f>SUM(E165:E167)</f>
        <v>705905.71</v>
      </c>
      <c r="F168" s="220">
        <f>P25</f>
        <v>1341572.3799999999</v>
      </c>
      <c r="G168" s="220">
        <f>SUM(G165:G167)</f>
        <v>149831.48000000001</v>
      </c>
      <c r="H168" s="221">
        <f t="shared" si="14"/>
        <v>2197309.5699999998</v>
      </c>
    </row>
    <row r="169" spans="1:8" x14ac:dyDescent="0.2">
      <c r="A169" s="155" t="s">
        <v>37</v>
      </c>
      <c r="B169" s="222">
        <f>s3a!K55</f>
        <v>6849.3</v>
      </c>
      <c r="C169" s="222">
        <f>G53</f>
        <v>45446.27</v>
      </c>
      <c r="D169" s="222">
        <f>s3c!G112</f>
        <v>74658.41</v>
      </c>
      <c r="E169" s="275">
        <f>SUM(B169:D169)</f>
        <v>126953.98</v>
      </c>
      <c r="F169" s="223">
        <f>P26</f>
        <v>53644.5</v>
      </c>
      <c r="G169" s="222">
        <f>+s3c!H112</f>
        <v>3364.26</v>
      </c>
      <c r="H169" s="223">
        <f>SUM(E169:G169)</f>
        <v>183962.74</v>
      </c>
    </row>
    <row r="170" spans="1:8" x14ac:dyDescent="0.2">
      <c r="A170" s="155" t="s">
        <v>392</v>
      </c>
      <c r="B170" s="222">
        <f>s3a!K56</f>
        <v>3553.34</v>
      </c>
      <c r="C170" s="223"/>
      <c r="D170" s="222">
        <f>s3c!G113</f>
        <v>10778.75</v>
      </c>
      <c r="E170" s="275">
        <f>SUM(B170:D170)</f>
        <v>14332.09</v>
      </c>
      <c r="F170" s="223"/>
      <c r="G170" s="222">
        <f>+s3c!H113</f>
        <v>2626.78</v>
      </c>
      <c r="H170" s="223">
        <f>SUM(E170:G170)</f>
        <v>16958.87</v>
      </c>
    </row>
    <row r="171" spans="1:8" x14ac:dyDescent="0.2">
      <c r="A171" s="218" t="s">
        <v>428</v>
      </c>
      <c r="B171" s="220">
        <f>SUM(B169:B170)</f>
        <v>10402.64</v>
      </c>
      <c r="C171" s="224">
        <f>C169</f>
        <v>45446.27</v>
      </c>
      <c r="D171" s="220">
        <f>s3c!G115</f>
        <v>85437.16</v>
      </c>
      <c r="E171" s="271">
        <f>SUM(E169:E170)</f>
        <v>141286.07</v>
      </c>
      <c r="F171" s="220">
        <f>P26</f>
        <v>53644.5</v>
      </c>
      <c r="G171" s="220">
        <f>SUM(G169:G170)</f>
        <v>5991.04</v>
      </c>
      <c r="H171" s="221">
        <f>SUM(E171:G171)</f>
        <v>200921.61</v>
      </c>
    </row>
    <row r="172" spans="1:8" x14ac:dyDescent="0.2">
      <c r="E172" s="265"/>
    </row>
    <row r="173" spans="1:8" ht="13.5" thickBot="1" x14ac:dyDescent="0.25">
      <c r="A173" s="238" t="s">
        <v>243</v>
      </c>
      <c r="B173" s="239">
        <f t="shared" ref="B173:H173" si="15">SUM(B171,B168,B164,B163,B160,B155,B154,B150,B147,B144,B139,B141,B140,B132,B125,B122,B133)</f>
        <v>1530560.36</v>
      </c>
      <c r="C173" s="239">
        <f t="shared" si="15"/>
        <v>1093257.4099999999</v>
      </c>
      <c r="D173" s="239">
        <f t="shared" si="15"/>
        <v>2055321.08</v>
      </c>
      <c r="E173" s="276">
        <f t="shared" si="15"/>
        <v>4679138.8499999996</v>
      </c>
      <c r="F173" s="239">
        <f t="shared" si="15"/>
        <v>7634529.3899999997</v>
      </c>
      <c r="G173" s="239">
        <f t="shared" si="15"/>
        <v>889100.38</v>
      </c>
      <c r="H173" s="239">
        <f t="shared" si="15"/>
        <v>13202768.619999999</v>
      </c>
    </row>
    <row r="174" spans="1:8" ht="13.5" thickTop="1" x14ac:dyDescent="0.2">
      <c r="E174" s="265"/>
      <c r="H174" s="223">
        <f>SUM(E173:G173)</f>
        <v>13202768.619999999</v>
      </c>
    </row>
    <row r="175" spans="1:8" x14ac:dyDescent="0.2">
      <c r="A175" s="155" t="s">
        <v>684</v>
      </c>
      <c r="B175" s="223">
        <f>+L100</f>
        <v>2860.94</v>
      </c>
      <c r="C175" s="223">
        <f>+M100</f>
        <v>5245.39</v>
      </c>
      <c r="D175" s="223">
        <f>+N100</f>
        <v>5652.13</v>
      </c>
      <c r="E175" s="275">
        <f>SUM(B175:D175)</f>
        <v>13758.46</v>
      </c>
      <c r="F175" s="223">
        <f>+P100</f>
        <v>37843.54</v>
      </c>
      <c r="G175" s="223">
        <f>+Q100</f>
        <v>1128.9100000000001</v>
      </c>
      <c r="H175" s="223">
        <f>+R100</f>
        <v>52730.91</v>
      </c>
    </row>
    <row r="176" spans="1:8" x14ac:dyDescent="0.2">
      <c r="A176" s="155" t="s">
        <v>685</v>
      </c>
      <c r="B176" s="223">
        <f>+L101</f>
        <v>3363.62</v>
      </c>
      <c r="C176" s="223"/>
      <c r="D176" s="223">
        <f>+N101+S110</f>
        <v>3046.24</v>
      </c>
      <c r="E176" s="275">
        <f>SUM(B176:D176)</f>
        <v>6409.86</v>
      </c>
      <c r="F176" s="223"/>
      <c r="G176" s="223">
        <f>+Q101</f>
        <v>2201.17</v>
      </c>
      <c r="H176" s="223">
        <f>+R101</f>
        <v>8611.0300000000007</v>
      </c>
    </row>
    <row r="177" spans="1:8" x14ac:dyDescent="0.2">
      <c r="A177" s="155" t="s">
        <v>686</v>
      </c>
      <c r="B177" s="223">
        <f>+L102</f>
        <v>1134.6500000000001</v>
      </c>
      <c r="C177" s="223"/>
      <c r="D177" s="223">
        <f>+N102</f>
        <v>1181.76</v>
      </c>
      <c r="E177" s="275">
        <f>SUM(B177:D177)</f>
        <v>2316.41</v>
      </c>
      <c r="F177" s="223"/>
      <c r="G177" s="223">
        <f>+Q102</f>
        <v>881.89</v>
      </c>
      <c r="H177" s="223">
        <f>+R102</f>
        <v>3198.3</v>
      </c>
    </row>
    <row r="178" spans="1:8" x14ac:dyDescent="0.2">
      <c r="A178" s="360" t="s">
        <v>687</v>
      </c>
      <c r="B178" s="220">
        <f t="shared" ref="B178:H178" si="16">SUM(B175:B177)</f>
        <v>7359.21</v>
      </c>
      <c r="C178" s="220">
        <f t="shared" si="16"/>
        <v>5245.39</v>
      </c>
      <c r="D178" s="220">
        <f t="shared" si="16"/>
        <v>9880.1299999999992</v>
      </c>
      <c r="E178" s="271">
        <f t="shared" si="16"/>
        <v>22484.73</v>
      </c>
      <c r="F178" s="220">
        <f t="shared" si="16"/>
        <v>37843.54</v>
      </c>
      <c r="G178" s="220">
        <f t="shared" si="16"/>
        <v>4211.97</v>
      </c>
      <c r="H178" s="220">
        <f t="shared" si="16"/>
        <v>64540.24</v>
      </c>
    </row>
    <row r="179" spans="1:8" ht="13.5" thickBot="1" x14ac:dyDescent="0.25">
      <c r="A179" s="207" t="s">
        <v>696</v>
      </c>
      <c r="B179" s="373">
        <f>+B173+B178</f>
        <v>1537919.57</v>
      </c>
      <c r="C179" s="373">
        <f t="shared" ref="C179:H179" si="17">+C173+C178</f>
        <v>1098502.8</v>
      </c>
      <c r="D179" s="373">
        <f t="shared" si="17"/>
        <v>2065201.21</v>
      </c>
      <c r="E179" s="374">
        <f t="shared" si="17"/>
        <v>4701623.58</v>
      </c>
      <c r="F179" s="373">
        <f t="shared" si="17"/>
        <v>7672372.9299999997</v>
      </c>
      <c r="G179" s="373">
        <f t="shared" si="17"/>
        <v>893312.35</v>
      </c>
      <c r="H179" s="373">
        <f t="shared" si="17"/>
        <v>13267308.859999999</v>
      </c>
    </row>
    <row r="180" spans="1:8" ht="13.5" thickTop="1" x14ac:dyDescent="0.2"/>
  </sheetData>
  <mergeCells count="1">
    <mergeCell ref="K97:R97"/>
  </mergeCells>
  <phoneticPr fontId="0" type="noConversion"/>
  <printOptions horizontalCentered="1"/>
  <pageMargins left="0.49" right="0.54" top="0.88" bottom="0.77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59"/>
  <sheetViews>
    <sheetView zoomScale="75" zoomScaleNormal="75" zoomScaleSheetLayoutView="75" workbookViewId="0">
      <selection activeCell="A5" sqref="A5"/>
    </sheetView>
  </sheetViews>
  <sheetFormatPr defaultRowHeight="12.75" x14ac:dyDescent="0.2"/>
  <cols>
    <col min="1" max="1" width="20.42578125" customWidth="1"/>
    <col min="2" max="2" width="14.85546875" bestFit="1" customWidth="1"/>
    <col min="3" max="3" width="14.42578125" bestFit="1" customWidth="1"/>
    <col min="4" max="7" width="14.42578125" customWidth="1"/>
    <col min="8" max="8" width="16.7109375" style="143" customWidth="1"/>
    <col min="9" max="9" width="18.42578125" style="144" bestFit="1" customWidth="1"/>
    <col min="10" max="10" width="18.42578125" style="144" customWidth="1"/>
    <col min="11" max="11" width="15.5703125" style="151" bestFit="1" customWidth="1"/>
    <col min="13" max="13" width="11.28515625" hidden="1" customWidth="1"/>
    <col min="14" max="14" width="10.140625" hidden="1" customWidth="1"/>
    <col min="15" max="15" width="9.28515625" hidden="1" customWidth="1"/>
    <col min="16" max="18" width="0" hidden="1" customWidth="1"/>
  </cols>
  <sheetData>
    <row r="1" spans="1:15" ht="15.75" x14ac:dyDescent="0.25">
      <c r="A1" s="63" t="s">
        <v>425</v>
      </c>
      <c r="B1" s="62"/>
      <c r="C1" s="62"/>
      <c r="E1" s="62"/>
      <c r="F1" s="62"/>
      <c r="G1" s="1"/>
      <c r="H1" s="1"/>
      <c r="I1" s="1"/>
      <c r="J1" s="1"/>
    </row>
    <row r="2" spans="1:15" ht="15.75" x14ac:dyDescent="0.25">
      <c r="A2" s="112" t="str">
        <f>ReportMonth</f>
        <v>JUNE 2004</v>
      </c>
      <c r="D2" s="62"/>
      <c r="E2" s="62"/>
      <c r="F2" s="62"/>
      <c r="G2" s="1"/>
      <c r="H2" s="1"/>
      <c r="I2" s="1"/>
      <c r="J2" s="1"/>
    </row>
    <row r="3" spans="1:15" ht="15" x14ac:dyDescent="0.2">
      <c r="A3" s="69"/>
    </row>
    <row r="4" spans="1:15" ht="15.75" x14ac:dyDescent="0.25">
      <c r="A4" s="397" t="s">
        <v>423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</row>
    <row r="7" spans="1:15" s="89" customFormat="1" ht="30.75" customHeight="1" thickBot="1" x14ac:dyDescent="0.25">
      <c r="A7" s="197" t="s">
        <v>367</v>
      </c>
      <c r="B7" s="197" t="s">
        <v>368</v>
      </c>
      <c r="C7" s="197" t="s">
        <v>369</v>
      </c>
      <c r="D7" s="211" t="s">
        <v>5</v>
      </c>
      <c r="E7" s="209" t="s">
        <v>414</v>
      </c>
      <c r="F7" s="210" t="s">
        <v>415</v>
      </c>
      <c r="G7" s="211" t="s">
        <v>416</v>
      </c>
      <c r="H7" s="190" t="s">
        <v>418</v>
      </c>
      <c r="I7" s="191" t="s">
        <v>371</v>
      </c>
      <c r="J7" s="191" t="s">
        <v>695</v>
      </c>
      <c r="K7" s="225" t="s">
        <v>417</v>
      </c>
      <c r="L7" s="198"/>
      <c r="M7" s="198"/>
      <c r="N7" s="198"/>
      <c r="O7" s="198"/>
    </row>
    <row r="8" spans="1:15" x14ac:dyDescent="0.2">
      <c r="A8" s="155" t="s">
        <v>21</v>
      </c>
      <c r="B8" s="155"/>
      <c r="C8" s="155"/>
      <c r="D8" s="206">
        <f>'s3,s3b, s3d'!B10</f>
        <v>3355721</v>
      </c>
      <c r="E8" s="240">
        <f>D8/$D$58</f>
        <v>3.6752066E-2</v>
      </c>
      <c r="F8" s="226">
        <f>'s3,s3b, s3d'!D10</f>
        <v>56592.39</v>
      </c>
      <c r="G8" s="226">
        <f>'s3,s3b, s3d'!E10</f>
        <v>8.85</v>
      </c>
      <c r="H8" s="227">
        <f>'s3,s3b, s3d'!F10</f>
        <v>56583.54</v>
      </c>
      <c r="I8" s="199">
        <v>1</v>
      </c>
      <c r="J8" s="199"/>
      <c r="K8" s="228">
        <f>$H$8*I8</f>
        <v>56583.54</v>
      </c>
      <c r="L8" s="155"/>
      <c r="M8" s="202"/>
      <c r="N8" s="155"/>
      <c r="O8" s="155"/>
    </row>
    <row r="9" spans="1:15" ht="26.25" customHeight="1" x14ac:dyDescent="0.2">
      <c r="A9" s="155" t="s">
        <v>22</v>
      </c>
      <c r="B9" s="155"/>
      <c r="C9" s="155"/>
      <c r="D9" s="206">
        <f>'s3,s3b, s3d'!B11</f>
        <v>862117</v>
      </c>
      <c r="E9" s="240">
        <f>D9/$D$58</f>
        <v>9.4419589999999998E-3</v>
      </c>
      <c r="F9" s="226">
        <f>'s3,s3b, s3d'!D11</f>
        <v>14539.13</v>
      </c>
      <c r="G9" s="226">
        <f>'s3,s3b, s3d'!E11</f>
        <v>35.229999999999997</v>
      </c>
      <c r="H9" s="227">
        <f>'s3,s3b, s3d'!$F11</f>
        <v>14503.9</v>
      </c>
      <c r="I9" s="200">
        <v>0.73923899999999998</v>
      </c>
      <c r="J9" s="200"/>
      <c r="K9" s="228">
        <f>$H$9*I9+O11</f>
        <v>10721.85</v>
      </c>
      <c r="L9" s="155"/>
      <c r="M9" s="202">
        <f>$H$9*I9</f>
        <v>10721.85</v>
      </c>
      <c r="N9" s="155"/>
      <c r="O9" s="155"/>
    </row>
    <row r="10" spans="1:15" s="89" customFormat="1" x14ac:dyDescent="0.2">
      <c r="A10" s="198"/>
      <c r="B10" s="198" t="s">
        <v>372</v>
      </c>
      <c r="C10" s="198"/>
      <c r="D10" s="198"/>
      <c r="E10" s="241"/>
      <c r="F10" s="229"/>
      <c r="G10" s="229"/>
      <c r="H10" s="227"/>
      <c r="I10" s="201">
        <v>0.26076100000000002</v>
      </c>
      <c r="J10" s="370"/>
      <c r="K10" s="228">
        <f>$H$9*I10</f>
        <v>3782.05</v>
      </c>
      <c r="L10" s="198"/>
      <c r="M10" s="202">
        <f>$H$9*I10</f>
        <v>3782.05</v>
      </c>
      <c r="N10" s="198"/>
      <c r="O10" s="198"/>
    </row>
    <row r="11" spans="1:15" x14ac:dyDescent="0.2">
      <c r="A11" s="155"/>
      <c r="B11" s="155"/>
      <c r="C11" s="155"/>
      <c r="D11" s="155"/>
      <c r="E11" s="240"/>
      <c r="F11" s="226"/>
      <c r="G11" s="226"/>
      <c r="H11" s="227"/>
      <c r="I11" s="199">
        <f>SUM(I9:I10)</f>
        <v>1</v>
      </c>
      <c r="J11" s="199"/>
      <c r="K11" s="228"/>
      <c r="L11" s="155"/>
      <c r="M11" s="202">
        <f>SUM(M9:M10)</f>
        <v>14503.9</v>
      </c>
      <c r="N11" s="230">
        <f>H9</f>
        <v>14503.9</v>
      </c>
      <c r="O11" s="205">
        <f>N11-M11</f>
        <v>0</v>
      </c>
    </row>
    <row r="12" spans="1:15" ht="26.25" customHeight="1" x14ac:dyDescent="0.2">
      <c r="A12" s="155" t="s">
        <v>23</v>
      </c>
      <c r="B12" s="155"/>
      <c r="C12" s="155"/>
      <c r="D12" s="206">
        <f>'s3,s3b, s3d'!B12</f>
        <v>60047513</v>
      </c>
      <c r="E12" s="240">
        <f>D12/$D$58</f>
        <v>0.65764412000000005</v>
      </c>
      <c r="F12" s="226">
        <f>'s3,s3b, s3d'!D12</f>
        <v>1012668.38</v>
      </c>
      <c r="G12" s="226">
        <f>'s3,s3b, s3d'!E12</f>
        <v>247.66</v>
      </c>
      <c r="H12" s="227">
        <f>'s3,s3b, s3d'!$F12</f>
        <v>1012420.72</v>
      </c>
      <c r="I12" s="199">
        <v>0.51170000000000004</v>
      </c>
      <c r="J12" s="199"/>
      <c r="K12" s="228">
        <f>$H$12*I12+O18</f>
        <v>518055.67999999999</v>
      </c>
      <c r="L12" s="155"/>
      <c r="M12" s="202">
        <f t="shared" ref="M12:M17" si="0">$H$12*I12</f>
        <v>518055.67999999999</v>
      </c>
      <c r="N12" s="155"/>
      <c r="O12" s="155"/>
    </row>
    <row r="13" spans="1:15" x14ac:dyDescent="0.2">
      <c r="A13" s="155"/>
      <c r="B13" s="155" t="s">
        <v>373</v>
      </c>
      <c r="C13" s="155"/>
      <c r="D13" s="155"/>
      <c r="E13" s="240"/>
      <c r="F13" s="226"/>
      <c r="G13" s="226"/>
      <c r="H13" s="226"/>
      <c r="I13" s="199">
        <v>1.0434000000000001E-2</v>
      </c>
      <c r="J13" s="199"/>
      <c r="K13" s="228">
        <f>$H$12*I13</f>
        <v>10563.6</v>
      </c>
      <c r="L13" s="155"/>
      <c r="M13" s="202">
        <f t="shared" si="0"/>
        <v>10563.6</v>
      </c>
      <c r="N13" s="155"/>
      <c r="O13" s="155"/>
    </row>
    <row r="14" spans="1:15" x14ac:dyDescent="0.2">
      <c r="A14" s="155"/>
      <c r="B14" s="155" t="s">
        <v>374</v>
      </c>
      <c r="C14" s="155"/>
      <c r="D14" s="155"/>
      <c r="E14" s="240"/>
      <c r="F14" s="226"/>
      <c r="G14" s="226"/>
      <c r="H14" s="226"/>
      <c r="I14" s="199">
        <v>0.15226600000000001</v>
      </c>
      <c r="J14" s="199"/>
      <c r="K14" s="228">
        <f>$H$12*I14</f>
        <v>154157.25</v>
      </c>
      <c r="L14" s="155"/>
      <c r="M14" s="202">
        <f t="shared" si="0"/>
        <v>154157.25</v>
      </c>
      <c r="N14" s="155"/>
      <c r="O14" s="155"/>
    </row>
    <row r="15" spans="1:15" x14ac:dyDescent="0.2">
      <c r="A15" s="155"/>
      <c r="B15" s="155" t="s">
        <v>375</v>
      </c>
      <c r="C15" s="155"/>
      <c r="D15" s="155"/>
      <c r="E15" s="240"/>
      <c r="F15" s="226"/>
      <c r="G15" s="226"/>
      <c r="H15" s="226"/>
      <c r="I15" s="199">
        <v>0.25693500000000002</v>
      </c>
      <c r="J15" s="199"/>
      <c r="K15" s="228">
        <f>$H$12*I15</f>
        <v>260126.32</v>
      </c>
      <c r="L15" s="155"/>
      <c r="M15" s="202">
        <f t="shared" si="0"/>
        <v>260126.32</v>
      </c>
      <c r="N15" s="155"/>
      <c r="O15" s="155"/>
    </row>
    <row r="16" spans="1:15" x14ac:dyDescent="0.2">
      <c r="A16" s="155"/>
      <c r="B16" s="155" t="s">
        <v>376</v>
      </c>
      <c r="C16" s="155"/>
      <c r="D16" s="155"/>
      <c r="E16" s="240"/>
      <c r="F16" s="226"/>
      <c r="G16" s="226"/>
      <c r="H16" s="226"/>
      <c r="I16" s="199">
        <v>7.4640000000000001E-3</v>
      </c>
      <c r="J16" s="199"/>
      <c r="K16" s="228">
        <f>$H$12*I16</f>
        <v>7556.71</v>
      </c>
      <c r="L16" s="155"/>
      <c r="M16" s="202">
        <f t="shared" si="0"/>
        <v>7556.71</v>
      </c>
      <c r="N16" s="155"/>
      <c r="O16" s="155"/>
    </row>
    <row r="17" spans="1:15" ht="12" customHeight="1" x14ac:dyDescent="0.2">
      <c r="A17" s="155"/>
      <c r="B17" s="155" t="s">
        <v>377</v>
      </c>
      <c r="C17" s="155"/>
      <c r="D17" s="155"/>
      <c r="E17" s="240"/>
      <c r="F17" s="226"/>
      <c r="G17" s="226"/>
      <c r="H17" s="226"/>
      <c r="I17" s="201">
        <v>6.1200999999999998E-2</v>
      </c>
      <c r="J17" s="370"/>
      <c r="K17" s="228">
        <f>$H$12*I17</f>
        <v>61961.16</v>
      </c>
      <c r="L17" s="155"/>
      <c r="M17" s="202">
        <f t="shared" si="0"/>
        <v>61961.16</v>
      </c>
      <c r="N17" s="155"/>
      <c r="O17" s="155"/>
    </row>
    <row r="18" spans="1:15" x14ac:dyDescent="0.2">
      <c r="A18" s="155"/>
      <c r="B18" s="155"/>
      <c r="C18" s="155"/>
      <c r="D18" s="155"/>
      <c r="E18" s="240"/>
      <c r="F18" s="226"/>
      <c r="G18" s="226"/>
      <c r="H18" s="226"/>
      <c r="I18" s="199">
        <f>SUM(I12:I17)</f>
        <v>1</v>
      </c>
      <c r="J18" s="199"/>
      <c r="K18" s="228"/>
      <c r="L18" s="155"/>
      <c r="M18" s="202">
        <f>SUM(M12:M17)</f>
        <v>1012420.72</v>
      </c>
      <c r="N18" s="230">
        <f>H12</f>
        <v>1012420.72</v>
      </c>
      <c r="O18" s="202">
        <f>N18-M18</f>
        <v>0</v>
      </c>
    </row>
    <row r="19" spans="1:15" ht="26.25" customHeight="1" x14ac:dyDescent="0.2">
      <c r="A19" s="155" t="s">
        <v>24</v>
      </c>
      <c r="B19" s="155"/>
      <c r="C19" s="155"/>
      <c r="D19" s="206">
        <f>'s3,s3b, s3d'!B13</f>
        <v>2231254</v>
      </c>
      <c r="E19" s="240">
        <f>D19/$D$58</f>
        <v>2.4436833000000002E-2</v>
      </c>
      <c r="F19" s="226">
        <f>'s3,s3b, s3d'!D13</f>
        <v>37628.870000000003</v>
      </c>
      <c r="G19" s="226">
        <f>'s3,s3b, s3d'!E13</f>
        <v>218.66</v>
      </c>
      <c r="H19" s="227">
        <f>'s3,s3b, s3d'!$F13</f>
        <v>37410.21</v>
      </c>
      <c r="I19" s="199">
        <v>1</v>
      </c>
      <c r="J19" s="199"/>
      <c r="K19" s="228">
        <f>$H$19*I19</f>
        <v>37410.21</v>
      </c>
      <c r="L19" s="155"/>
      <c r="M19" s="202"/>
      <c r="N19" s="230"/>
      <c r="O19" s="155"/>
    </row>
    <row r="20" spans="1:15" ht="24.75" customHeight="1" x14ac:dyDescent="0.2">
      <c r="A20" s="155" t="s">
        <v>25</v>
      </c>
      <c r="B20" s="155"/>
      <c r="C20" s="155"/>
      <c r="D20" s="206">
        <f>'s3,s3b, s3d'!B14</f>
        <v>2347307</v>
      </c>
      <c r="E20" s="240">
        <f>D20/$D$58</f>
        <v>2.5707852999999999E-2</v>
      </c>
      <c r="F20" s="226">
        <f>'s3,s3b, s3d'!D14</f>
        <v>39586.050000000003</v>
      </c>
      <c r="G20" s="226">
        <f>'s3,s3b, s3d'!E14</f>
        <v>210.99</v>
      </c>
      <c r="H20" s="227">
        <f>'s3,s3b, s3d'!$F$14</f>
        <v>39375.06</v>
      </c>
      <c r="I20" s="199">
        <v>0.54915099999999994</v>
      </c>
      <c r="J20" s="199"/>
      <c r="K20" s="228">
        <f>$H$20*I20+O25</f>
        <v>21622.86</v>
      </c>
      <c r="L20" s="155"/>
      <c r="M20" s="202">
        <f>$H$20*I20</f>
        <v>21622.85</v>
      </c>
      <c r="N20" s="230"/>
      <c r="O20" s="155"/>
    </row>
    <row r="21" spans="1:15" x14ac:dyDescent="0.2">
      <c r="A21" s="155"/>
      <c r="B21" s="155" t="s">
        <v>378</v>
      </c>
      <c r="C21" s="155"/>
      <c r="D21" s="155"/>
      <c r="E21" s="240"/>
      <c r="F21" s="226"/>
      <c r="G21" s="226"/>
      <c r="H21" s="226"/>
      <c r="I21" s="199">
        <v>2.2352E-2</v>
      </c>
      <c r="J21" s="199"/>
      <c r="K21" s="228">
        <f>$H$20*I21</f>
        <v>880.11</v>
      </c>
      <c r="L21" s="155"/>
      <c r="M21" s="202">
        <f>$H$20*I21</f>
        <v>880.11</v>
      </c>
      <c r="N21" s="230"/>
      <c r="O21" s="155"/>
    </row>
    <row r="22" spans="1:15" x14ac:dyDescent="0.2">
      <c r="A22" s="155"/>
      <c r="B22" s="155" t="s">
        <v>133</v>
      </c>
      <c r="C22" s="155"/>
      <c r="D22" s="155"/>
      <c r="E22" s="240"/>
      <c r="F22" s="226"/>
      <c r="G22" s="226"/>
      <c r="H22" s="226"/>
      <c r="I22" s="199">
        <v>0.31850600000000001</v>
      </c>
      <c r="J22" s="199"/>
      <c r="K22" s="228">
        <f>$H$20*I22</f>
        <v>12541.19</v>
      </c>
      <c r="L22" s="155"/>
      <c r="M22" s="202">
        <f>$H$20*I22</f>
        <v>12541.19</v>
      </c>
      <c r="N22" s="230"/>
      <c r="O22" s="155"/>
    </row>
    <row r="23" spans="1:15" x14ac:dyDescent="0.2">
      <c r="A23" s="155"/>
      <c r="B23" s="155" t="s">
        <v>379</v>
      </c>
      <c r="C23" s="155"/>
      <c r="D23" s="155"/>
      <c r="E23" s="240"/>
      <c r="F23" s="226"/>
      <c r="G23" s="226"/>
      <c r="H23" s="226"/>
      <c r="I23" s="199">
        <v>1.8159000000000002E-2</v>
      </c>
      <c r="J23" s="199"/>
      <c r="K23" s="228">
        <f>$H$20*I23</f>
        <v>715.01</v>
      </c>
      <c r="L23" s="155"/>
      <c r="M23" s="202">
        <f>$H$20*I23</f>
        <v>715.01</v>
      </c>
      <c r="N23" s="230"/>
      <c r="O23" s="155"/>
    </row>
    <row r="24" spans="1:15" x14ac:dyDescent="0.2">
      <c r="A24" s="155"/>
      <c r="B24" s="155" t="s">
        <v>380</v>
      </c>
      <c r="C24" s="155"/>
      <c r="D24" s="155"/>
      <c r="E24" s="240"/>
      <c r="F24" s="226"/>
      <c r="G24" s="226"/>
      <c r="H24" s="226"/>
      <c r="I24" s="201">
        <v>9.1831999999999997E-2</v>
      </c>
      <c r="J24" s="370"/>
      <c r="K24" s="228">
        <f>$H$20*I24</f>
        <v>3615.89</v>
      </c>
      <c r="L24" s="155"/>
      <c r="M24" s="202">
        <f>$H$20*I24</f>
        <v>3615.89</v>
      </c>
      <c r="N24" s="230"/>
      <c r="O24" s="155"/>
    </row>
    <row r="25" spans="1:15" x14ac:dyDescent="0.2">
      <c r="A25" s="155"/>
      <c r="B25" s="155"/>
      <c r="C25" s="155"/>
      <c r="D25" s="155"/>
      <c r="E25" s="240"/>
      <c r="F25" s="226"/>
      <c r="G25" s="226"/>
      <c r="H25" s="226"/>
      <c r="I25" s="199">
        <f>SUM(I20:I24)</f>
        <v>1</v>
      </c>
      <c r="J25" s="199"/>
      <c r="K25" s="228"/>
      <c r="L25" s="155"/>
      <c r="M25" s="202">
        <f>SUM(M20:M24)</f>
        <v>39375.050000000003</v>
      </c>
      <c r="N25" s="230">
        <f>H20</f>
        <v>39375.06</v>
      </c>
      <c r="O25" s="202">
        <f>N25-M25</f>
        <v>0.01</v>
      </c>
    </row>
    <row r="26" spans="1:15" ht="25.5" customHeight="1" x14ac:dyDescent="0.2">
      <c r="A26" s="155" t="s">
        <v>26</v>
      </c>
      <c r="B26" s="155"/>
      <c r="C26" s="155"/>
      <c r="D26" s="206">
        <f>'s3,s3b, s3d'!B15</f>
        <v>45826</v>
      </c>
      <c r="E26" s="240">
        <f>D26/$D$58</f>
        <v>5.0188900000000005E-4</v>
      </c>
      <c r="F26" s="226">
        <f>'s3,s3b, s3d'!D15</f>
        <v>772.83</v>
      </c>
      <c r="G26" s="226">
        <f>'s3,s3b, s3d'!E15</f>
        <v>0</v>
      </c>
      <c r="H26" s="227">
        <f>'s3,s3b, s3d'!$F$15</f>
        <v>772.83</v>
      </c>
      <c r="I26" s="199">
        <v>1</v>
      </c>
      <c r="J26" s="199"/>
      <c r="K26" s="228">
        <f>$H$26*I26</f>
        <v>772.83</v>
      </c>
      <c r="L26" s="155"/>
      <c r="M26" s="202"/>
      <c r="N26" s="230"/>
      <c r="O26" s="155"/>
    </row>
    <row r="27" spans="1:15" ht="25.5" customHeight="1" x14ac:dyDescent="0.2">
      <c r="A27" s="155" t="s">
        <v>27</v>
      </c>
      <c r="B27" s="155"/>
      <c r="C27" s="155"/>
      <c r="D27" s="206">
        <f>'s3,s3b, s3d'!B16</f>
        <v>108184</v>
      </c>
      <c r="E27" s="240">
        <f>D27/$D$58</f>
        <v>1.1848379999999999E-3</v>
      </c>
      <c r="F27" s="226">
        <f>'s3,s3b, s3d'!D16</f>
        <v>1824.46</v>
      </c>
      <c r="G27" s="226">
        <f>'s3,s3b, s3d'!E16</f>
        <v>29.64</v>
      </c>
      <c r="H27" s="227">
        <f>'s3,s3b, s3d'!$F$16</f>
        <v>1794.82</v>
      </c>
      <c r="I27" s="199">
        <v>1</v>
      </c>
      <c r="J27" s="199"/>
      <c r="K27" s="228">
        <f>$H$27*I27</f>
        <v>1794.82</v>
      </c>
      <c r="L27" s="155"/>
      <c r="M27" s="202"/>
      <c r="N27" s="230"/>
      <c r="O27" s="155"/>
    </row>
    <row r="28" spans="1:15" ht="25.5" customHeight="1" x14ac:dyDescent="0.2">
      <c r="A28" s="155" t="s">
        <v>28</v>
      </c>
      <c r="B28" s="155"/>
      <c r="C28" s="155"/>
      <c r="D28" s="206">
        <f>'s3,s3b, s3d'!B17</f>
        <v>1200152</v>
      </c>
      <c r="E28" s="240">
        <f>D28/$D$58</f>
        <v>1.314414E-2</v>
      </c>
      <c r="F28" s="226">
        <f>'s3,s3b, s3d'!D17</f>
        <v>20239.91</v>
      </c>
      <c r="G28" s="226">
        <f>'s3,s3b, s3d'!E17</f>
        <v>119.48</v>
      </c>
      <c r="H28" s="227">
        <f>'s3,s3b, s3d'!$F$17</f>
        <v>20120.43</v>
      </c>
      <c r="I28" s="200">
        <v>0.76097599999999999</v>
      </c>
      <c r="J28" s="200"/>
      <c r="K28" s="228">
        <f>$H$28*I28+O30</f>
        <v>15311.16</v>
      </c>
      <c r="L28" s="155"/>
      <c r="M28" s="202">
        <f>$H$28*I28</f>
        <v>15311.16</v>
      </c>
      <c r="N28" s="230"/>
      <c r="O28" s="155"/>
    </row>
    <row r="29" spans="1:15" x14ac:dyDescent="0.2">
      <c r="A29" s="155"/>
      <c r="B29" s="155" t="s">
        <v>381</v>
      </c>
      <c r="C29" s="155"/>
      <c r="D29" s="155"/>
      <c r="E29" s="240"/>
      <c r="F29" s="226"/>
      <c r="G29" s="226"/>
      <c r="H29" s="226"/>
      <c r="I29" s="204">
        <v>0.23902399999999999</v>
      </c>
      <c r="J29" s="371"/>
      <c r="K29" s="228">
        <f>$H$28*I29</f>
        <v>4809.2700000000004</v>
      </c>
      <c r="L29" s="155"/>
      <c r="M29" s="202">
        <f>$H$28*I29</f>
        <v>4809.2700000000004</v>
      </c>
      <c r="N29" s="230"/>
      <c r="O29" s="155"/>
    </row>
    <row r="30" spans="1:15" x14ac:dyDescent="0.2">
      <c r="A30" s="155"/>
      <c r="B30" s="155"/>
      <c r="C30" s="155"/>
      <c r="D30" s="155"/>
      <c r="E30" s="240"/>
      <c r="F30" s="226"/>
      <c r="G30" s="226"/>
      <c r="H30" s="226"/>
      <c r="I30" s="199">
        <f>SUM(I28:I29)</f>
        <v>1</v>
      </c>
      <c r="J30" s="199"/>
      <c r="K30" s="228"/>
      <c r="L30" s="155"/>
      <c r="M30" s="202">
        <f>SUM(M28:M29)</f>
        <v>20120.43</v>
      </c>
      <c r="N30" s="230">
        <f>H28</f>
        <v>20120.43</v>
      </c>
      <c r="O30" s="202">
        <f>N30-M30</f>
        <v>0</v>
      </c>
    </row>
    <row r="31" spans="1:15" ht="25.5" customHeight="1" x14ac:dyDescent="0.2">
      <c r="A31" s="155" t="s">
        <v>29</v>
      </c>
      <c r="B31" s="155"/>
      <c r="C31" s="155"/>
      <c r="D31" s="206">
        <f>'s3,s3b, s3d'!B18</f>
        <v>350896</v>
      </c>
      <c r="E31" s="240">
        <f>D31/$D$58</f>
        <v>3.8430349999999999E-3</v>
      </c>
      <c r="F31" s="226">
        <f>'s3,s3b, s3d'!D18</f>
        <v>5917.67</v>
      </c>
      <c r="G31" s="226">
        <f>'s3,s3b, s3d'!E18</f>
        <v>74.33</v>
      </c>
      <c r="H31" s="227">
        <f>'s3,s3b, s3d'!$F$18</f>
        <v>5843.34</v>
      </c>
      <c r="I31" s="199">
        <v>0.99040499999999998</v>
      </c>
      <c r="J31" s="199"/>
      <c r="K31" s="228">
        <f>$H$31*I31+O33</f>
        <v>5787.27</v>
      </c>
      <c r="L31" s="155"/>
      <c r="M31" s="202">
        <f>$H$31*I31</f>
        <v>5787.27</v>
      </c>
      <c r="N31" s="230"/>
      <c r="O31" s="155"/>
    </row>
    <row r="32" spans="1:15" x14ac:dyDescent="0.2">
      <c r="A32" s="155"/>
      <c r="B32" s="155"/>
      <c r="C32" s="155" t="s">
        <v>382</v>
      </c>
      <c r="D32" s="155"/>
      <c r="E32" s="240"/>
      <c r="F32" s="226"/>
      <c r="G32" s="226"/>
      <c r="H32" s="226"/>
      <c r="I32" s="201">
        <v>9.5949999999999994E-3</v>
      </c>
      <c r="J32" s="370"/>
      <c r="K32" s="228">
        <f>$H$31*I32</f>
        <v>56.07</v>
      </c>
      <c r="L32" s="155"/>
      <c r="M32" s="202">
        <f>$H$31*I32</f>
        <v>56.07</v>
      </c>
      <c r="N32" s="230"/>
      <c r="O32" s="155"/>
    </row>
    <row r="33" spans="1:15" x14ac:dyDescent="0.2">
      <c r="A33" s="155"/>
      <c r="B33" s="155"/>
      <c r="C33" s="155"/>
      <c r="D33" s="155"/>
      <c r="E33" s="240"/>
      <c r="F33" s="226"/>
      <c r="G33" s="226"/>
      <c r="H33" s="226"/>
      <c r="I33" s="199">
        <f>SUM(I31:I32)</f>
        <v>1</v>
      </c>
      <c r="J33" s="199"/>
      <c r="K33" s="228"/>
      <c r="L33" s="155"/>
      <c r="M33" s="202">
        <f>SUM(M31:M32)</f>
        <v>5843.34</v>
      </c>
      <c r="N33" s="230">
        <f>H31</f>
        <v>5843.34</v>
      </c>
      <c r="O33" s="202">
        <f>N33-M33</f>
        <v>0</v>
      </c>
    </row>
    <row r="34" spans="1:15" ht="25.5" customHeight="1" x14ac:dyDescent="0.2">
      <c r="A34" s="155" t="s">
        <v>30</v>
      </c>
      <c r="B34" s="155"/>
      <c r="C34" s="155"/>
      <c r="D34" s="206">
        <f>'s3,s3b, s3d'!B19</f>
        <v>140365</v>
      </c>
      <c r="E34" s="240">
        <f>D34/$D$58</f>
        <v>1.5372859999999999E-3</v>
      </c>
      <c r="F34" s="226">
        <f>'s3,s3b, s3d'!D19</f>
        <v>2367.1799999999998</v>
      </c>
      <c r="G34" s="226">
        <f>'s3,s3b, s3d'!E19</f>
        <v>0</v>
      </c>
      <c r="H34" s="227">
        <f>'s3,s3b, s3d'!$F$19</f>
        <v>2367.1799999999998</v>
      </c>
      <c r="I34" s="199">
        <v>0.92362100000000003</v>
      </c>
      <c r="J34" s="199"/>
      <c r="K34" s="228">
        <f>$H$34*I34+O36</f>
        <v>2186.38</v>
      </c>
      <c r="L34" s="155"/>
      <c r="M34" s="202">
        <f>$H$34*I34</f>
        <v>2186.38</v>
      </c>
      <c r="N34" s="230"/>
      <c r="O34" s="155"/>
    </row>
    <row r="35" spans="1:15" x14ac:dyDescent="0.2">
      <c r="A35" s="155"/>
      <c r="B35" s="155" t="s">
        <v>383</v>
      </c>
      <c r="C35" s="155"/>
      <c r="D35" s="155"/>
      <c r="E35" s="240"/>
      <c r="F35" s="226"/>
      <c r="G35" s="226"/>
      <c r="H35" s="226"/>
      <c r="I35" s="201">
        <v>7.6379000000000002E-2</v>
      </c>
      <c r="J35" s="370"/>
      <c r="K35" s="228">
        <f>$H$34*I35</f>
        <v>180.8</v>
      </c>
      <c r="L35" s="155"/>
      <c r="M35" s="202">
        <f>$H$34*I35</f>
        <v>180.8</v>
      </c>
      <c r="N35" s="230"/>
      <c r="O35" s="155"/>
    </row>
    <row r="36" spans="1:15" x14ac:dyDescent="0.2">
      <c r="A36" s="155"/>
      <c r="B36" s="155"/>
      <c r="C36" s="155"/>
      <c r="D36" s="155"/>
      <c r="E36" s="240"/>
      <c r="F36" s="226"/>
      <c r="G36" s="226"/>
      <c r="H36" s="226"/>
      <c r="I36" s="199">
        <f>SUM(I34:I35)</f>
        <v>1</v>
      </c>
      <c r="J36" s="199"/>
      <c r="K36" s="228"/>
      <c r="L36" s="155"/>
      <c r="M36" s="202">
        <f>SUM(M34:M35)</f>
        <v>2367.1799999999998</v>
      </c>
      <c r="N36" s="230">
        <f>H34</f>
        <v>2367.1799999999998</v>
      </c>
      <c r="O36" s="202">
        <f>N36-M36</f>
        <v>0</v>
      </c>
    </row>
    <row r="37" spans="1:15" ht="24.75" customHeight="1" x14ac:dyDescent="0.2">
      <c r="A37" s="155" t="s">
        <v>31</v>
      </c>
      <c r="B37" s="155"/>
      <c r="C37" s="155"/>
      <c r="D37" s="206">
        <f>'s3,s3b, s3d'!B20</f>
        <v>1822757</v>
      </c>
      <c r="E37" s="240">
        <f>D37/$D$58</f>
        <v>1.9962949000000001E-2</v>
      </c>
      <c r="F37" s="226">
        <f>'s3,s3b, s3d'!D20</f>
        <v>30739.8</v>
      </c>
      <c r="G37" s="226">
        <f>'s3,s3b, s3d'!E20</f>
        <v>69.3</v>
      </c>
      <c r="H37" s="227">
        <f>'s3,s3b, s3d'!$F$20</f>
        <v>30670.5</v>
      </c>
      <c r="I37" s="199">
        <v>0.60378299999999996</v>
      </c>
      <c r="J37" s="199"/>
      <c r="K37" s="228">
        <f>$H$37*I37+O40</f>
        <v>18518.330000000002</v>
      </c>
      <c r="L37" s="155"/>
      <c r="M37" s="202">
        <f>$H$37*I37</f>
        <v>18518.330000000002</v>
      </c>
      <c r="N37" s="230"/>
      <c r="O37" s="155"/>
    </row>
    <row r="38" spans="1:15" x14ac:dyDescent="0.2">
      <c r="A38" s="155"/>
      <c r="B38" s="155" t="s">
        <v>385</v>
      </c>
      <c r="C38" s="155"/>
      <c r="D38" s="155"/>
      <c r="E38" s="240"/>
      <c r="F38" s="226"/>
      <c r="G38" s="226"/>
      <c r="H38" s="226"/>
      <c r="I38" s="199">
        <v>0.34462999999999999</v>
      </c>
      <c r="J38" s="199"/>
      <c r="K38" s="228">
        <f>$H$37*I38</f>
        <v>10569.97</v>
      </c>
      <c r="L38" s="155"/>
      <c r="M38" s="202">
        <f>$H$37*I38</f>
        <v>10569.97</v>
      </c>
      <c r="N38" s="230"/>
      <c r="O38" s="155"/>
    </row>
    <row r="39" spans="1:15" x14ac:dyDescent="0.2">
      <c r="A39" s="155"/>
      <c r="B39" s="155" t="s">
        <v>384</v>
      </c>
      <c r="C39" s="155"/>
      <c r="D39" s="155"/>
      <c r="E39" s="240"/>
      <c r="F39" s="226"/>
      <c r="G39" s="226"/>
      <c r="H39" s="226"/>
      <c r="I39" s="201">
        <v>5.1587000000000001E-2</v>
      </c>
      <c r="J39" s="370"/>
      <c r="K39" s="228">
        <f>$H$37*I39</f>
        <v>1582.2</v>
      </c>
      <c r="L39" s="155"/>
      <c r="M39" s="202">
        <f>$H$37*I39</f>
        <v>1582.2</v>
      </c>
      <c r="N39" s="230"/>
      <c r="O39" s="155"/>
    </row>
    <row r="40" spans="1:15" x14ac:dyDescent="0.2">
      <c r="A40" s="155"/>
      <c r="B40" s="155"/>
      <c r="C40" s="155"/>
      <c r="D40" s="155"/>
      <c r="E40" s="240"/>
      <c r="F40" s="226"/>
      <c r="G40" s="226"/>
      <c r="H40" s="226"/>
      <c r="I40" s="199">
        <f>SUM(I37:I39)</f>
        <v>1</v>
      </c>
      <c r="J40" s="199"/>
      <c r="K40" s="228"/>
      <c r="L40" s="155"/>
      <c r="M40" s="202">
        <f>SUM(M37:M39)</f>
        <v>30670.5</v>
      </c>
      <c r="N40" s="230">
        <f>H37</f>
        <v>30670.5</v>
      </c>
      <c r="O40" s="202">
        <f>N40-M40</f>
        <v>0</v>
      </c>
    </row>
    <row r="41" spans="1:15" ht="25.5" customHeight="1" x14ac:dyDescent="0.2">
      <c r="A41" s="155" t="s">
        <v>32</v>
      </c>
      <c r="B41" s="155"/>
      <c r="C41" s="155"/>
      <c r="D41" s="206">
        <f>'s3,s3b, s3d'!B21</f>
        <v>257947</v>
      </c>
      <c r="E41" s="240">
        <f>D41/$D$58</f>
        <v>2.8250520000000002E-3</v>
      </c>
      <c r="F41" s="226">
        <f>'s3,s3b, s3d'!D21</f>
        <v>4350.1400000000003</v>
      </c>
      <c r="G41" s="226">
        <f>'s3,s3b, s3d'!E21</f>
        <v>1319.12</v>
      </c>
      <c r="H41" s="227">
        <f>'s3,s3b, s3d'!$F$21</f>
        <v>3031.02</v>
      </c>
      <c r="I41" s="199">
        <v>1</v>
      </c>
      <c r="J41" s="199"/>
      <c r="K41" s="228">
        <f>$H$41*I41</f>
        <v>3031.02</v>
      </c>
      <c r="L41" s="155"/>
      <c r="M41" s="202"/>
      <c r="N41" s="230"/>
      <c r="O41" s="155"/>
    </row>
    <row r="42" spans="1:15" ht="26.25" customHeight="1" x14ac:dyDescent="0.2">
      <c r="A42" s="155" t="s">
        <v>33</v>
      </c>
      <c r="B42" s="155"/>
      <c r="C42" s="155"/>
      <c r="D42" s="206">
        <f>'s3,s3b, s3d'!B22</f>
        <v>1889749</v>
      </c>
      <c r="E42" s="240">
        <f>D42/$D$58</f>
        <v>2.0696649000000001E-2</v>
      </c>
      <c r="F42" s="226">
        <f>'s3,s3b, s3d'!D22</f>
        <v>31869.58</v>
      </c>
      <c r="G42" s="226">
        <f>'s3,s3b, s3d'!E22</f>
        <v>0</v>
      </c>
      <c r="H42" s="227">
        <f>'s3,s3b, s3d'!$F$22</f>
        <v>31869.58</v>
      </c>
      <c r="I42" s="199">
        <v>0.15726799999999999</v>
      </c>
      <c r="J42" s="199"/>
      <c r="K42" s="228">
        <f>$H$42*I42+O46</f>
        <v>5012.0600000000004</v>
      </c>
      <c r="L42" s="155"/>
      <c r="M42" s="202">
        <f>$H$42*I42</f>
        <v>5012.07</v>
      </c>
      <c r="N42" s="230"/>
      <c r="O42" s="155"/>
    </row>
    <row r="43" spans="1:15" x14ac:dyDescent="0.2">
      <c r="A43" s="155"/>
      <c r="B43" s="155"/>
      <c r="C43" s="155" t="s">
        <v>386</v>
      </c>
      <c r="D43" s="155"/>
      <c r="E43" s="240"/>
      <c r="F43" s="226"/>
      <c r="G43" s="226"/>
      <c r="H43" s="226"/>
      <c r="I43" s="199">
        <v>0.69423400000000002</v>
      </c>
      <c r="J43" s="199"/>
      <c r="K43" s="228">
        <f>$H$42*I43</f>
        <v>22124.95</v>
      </c>
      <c r="L43" s="155"/>
      <c r="M43" s="202">
        <f>$H$42*I43</f>
        <v>22124.95</v>
      </c>
      <c r="N43" s="230"/>
      <c r="O43" s="155"/>
    </row>
    <row r="44" spans="1:15" ht="12.75" customHeight="1" x14ac:dyDescent="0.2">
      <c r="A44" s="155"/>
      <c r="B44" s="155"/>
      <c r="C44" s="155" t="s">
        <v>387</v>
      </c>
      <c r="D44" s="155"/>
      <c r="E44" s="240"/>
      <c r="F44" s="226"/>
      <c r="G44" s="226"/>
      <c r="H44" s="226"/>
      <c r="I44" s="199">
        <v>0.119422</v>
      </c>
      <c r="J44" s="199"/>
      <c r="K44" s="228">
        <f>$H$42*I44</f>
        <v>3805.93</v>
      </c>
      <c r="L44" s="155"/>
      <c r="M44" s="202">
        <f>$H$42*I44</f>
        <v>3805.93</v>
      </c>
      <c r="N44" s="230"/>
      <c r="O44" s="155"/>
    </row>
    <row r="45" spans="1:15" x14ac:dyDescent="0.2">
      <c r="A45" s="155"/>
      <c r="B45" s="155"/>
      <c r="C45" s="155" t="s">
        <v>388</v>
      </c>
      <c r="D45" s="155"/>
      <c r="E45" s="240"/>
      <c r="F45" s="226"/>
      <c r="G45" s="226"/>
      <c r="H45" s="226"/>
      <c r="I45" s="201">
        <v>2.9076000000000001E-2</v>
      </c>
      <c r="J45" s="370"/>
      <c r="K45" s="228">
        <f>$H$42*I45</f>
        <v>926.64</v>
      </c>
      <c r="L45" s="155"/>
      <c r="M45" s="202">
        <f>$H$42*I45</f>
        <v>926.64</v>
      </c>
      <c r="N45" s="230"/>
      <c r="O45" s="155"/>
    </row>
    <row r="46" spans="1:15" x14ac:dyDescent="0.2">
      <c r="A46" s="155"/>
      <c r="B46" s="155"/>
      <c r="C46" s="155"/>
      <c r="D46" s="155"/>
      <c r="E46" s="240"/>
      <c r="F46" s="226"/>
      <c r="G46" s="226"/>
      <c r="H46" s="226"/>
      <c r="I46" s="199">
        <f>SUM(I42:I45)</f>
        <v>1</v>
      </c>
      <c r="J46" s="199"/>
      <c r="K46" s="228"/>
      <c r="L46" s="155"/>
      <c r="M46" s="202">
        <f>SUM(M42:M45)</f>
        <v>31869.59</v>
      </c>
      <c r="N46" s="230">
        <f>H42</f>
        <v>31869.58</v>
      </c>
      <c r="O46" s="202">
        <f>N46-M46</f>
        <v>-0.01</v>
      </c>
    </row>
    <row r="47" spans="1:15" ht="26.25" customHeight="1" x14ac:dyDescent="0.2">
      <c r="A47" s="155" t="s">
        <v>34</v>
      </c>
      <c r="B47" s="155"/>
      <c r="C47" s="155"/>
      <c r="D47" s="206">
        <f>'s3,s3b, s3d'!B23</f>
        <v>304247</v>
      </c>
      <c r="E47" s="240">
        <f>D47/$D$58</f>
        <v>3.3321319999999998E-3</v>
      </c>
      <c r="F47" s="226">
        <f>'s3,s3b, s3d'!D23</f>
        <v>5130.96</v>
      </c>
      <c r="G47" s="226">
        <f>'s3,s3b, s3d'!E23</f>
        <v>189.58</v>
      </c>
      <c r="H47" s="227">
        <f>'s3,s3b, s3d'!$F$23</f>
        <v>4941.38</v>
      </c>
      <c r="I47" s="199">
        <v>0.89219999999999999</v>
      </c>
      <c r="J47" s="199"/>
      <c r="K47" s="228">
        <f>$H$47*I47+O49</f>
        <v>4408.7</v>
      </c>
      <c r="L47" s="155"/>
      <c r="M47" s="202">
        <f>$H$47*I47</f>
        <v>4408.7</v>
      </c>
      <c r="N47" s="230"/>
      <c r="O47" s="155"/>
    </row>
    <row r="48" spans="1:15" x14ac:dyDescent="0.2">
      <c r="A48" s="155"/>
      <c r="B48" s="155" t="s">
        <v>389</v>
      </c>
      <c r="C48" s="155"/>
      <c r="D48" s="155"/>
      <c r="E48" s="240"/>
      <c r="F48" s="226"/>
      <c r="G48" s="226"/>
      <c r="H48" s="226"/>
      <c r="I48" s="201">
        <v>0.10780000000000001</v>
      </c>
      <c r="J48" s="370"/>
      <c r="K48" s="228">
        <f>$H$47*I48</f>
        <v>532.67999999999995</v>
      </c>
      <c r="L48" s="155"/>
      <c r="M48" s="202">
        <f>$H$47*I48</f>
        <v>532.67999999999995</v>
      </c>
      <c r="N48" s="230"/>
      <c r="O48" s="155"/>
    </row>
    <row r="49" spans="1:15" x14ac:dyDescent="0.2">
      <c r="A49" s="155"/>
      <c r="B49" s="155"/>
      <c r="C49" s="155"/>
      <c r="D49" s="155"/>
      <c r="E49" s="240"/>
      <c r="F49" s="226"/>
      <c r="G49" s="226"/>
      <c r="H49" s="226"/>
      <c r="I49" s="199">
        <f>SUM(I47:I48)</f>
        <v>1</v>
      </c>
      <c r="J49" s="199"/>
      <c r="K49" s="228"/>
      <c r="L49" s="155"/>
      <c r="M49" s="202">
        <f>SUM(M47:M48)</f>
        <v>4941.38</v>
      </c>
      <c r="N49" s="230">
        <f>H47</f>
        <v>4941.38</v>
      </c>
      <c r="O49" s="202">
        <f>N49-M49</f>
        <v>0</v>
      </c>
    </row>
    <row r="50" spans="1:15" ht="25.5" customHeight="1" x14ac:dyDescent="0.2">
      <c r="A50" s="155" t="s">
        <v>35</v>
      </c>
      <c r="B50" s="155"/>
      <c r="C50" s="155"/>
      <c r="D50" s="206">
        <f>'s3,s3b, s3d'!B24</f>
        <v>36529</v>
      </c>
      <c r="E50" s="240">
        <f>D50/$D$58</f>
        <v>4.0006800000000001E-4</v>
      </c>
      <c r="F50" s="226">
        <f>'s3,s3b, s3d'!D24</f>
        <v>616.04</v>
      </c>
      <c r="G50" s="226">
        <f>'s3,s3b, s3d'!E24</f>
        <v>0</v>
      </c>
      <c r="H50" s="227">
        <f>'s3,s3b, s3d'!$F$24</f>
        <v>616.04</v>
      </c>
      <c r="I50" s="199">
        <v>1</v>
      </c>
      <c r="J50" s="199"/>
      <c r="K50" s="228">
        <f>$H$50*I50</f>
        <v>616.04</v>
      </c>
      <c r="L50" s="155"/>
      <c r="M50" s="202"/>
      <c r="N50" s="230"/>
      <c r="O50" s="155"/>
    </row>
    <row r="51" spans="1:15" ht="25.5" customHeight="1" x14ac:dyDescent="0.2">
      <c r="A51" s="155" t="s">
        <v>36</v>
      </c>
      <c r="B51" s="155"/>
      <c r="C51" s="155"/>
      <c r="D51" s="206">
        <f>'s3,s3b, s3d'!B25</f>
        <v>15677316</v>
      </c>
      <c r="E51" s="240">
        <f>D51/$D$58</f>
        <v>0.17169894599999999</v>
      </c>
      <c r="F51" s="226">
        <f>'s3,s3b, s3d'!D25</f>
        <v>264389.33</v>
      </c>
      <c r="G51" s="226">
        <f>'s3,s3b, s3d'!E25</f>
        <v>6552.16</v>
      </c>
      <c r="H51" s="227">
        <f>'s3,s3b, s3d'!$F$25</f>
        <v>257837.17</v>
      </c>
      <c r="I51" s="199">
        <v>0.38875599999999999</v>
      </c>
      <c r="J51" s="372">
        <f>ROUND(+'s3,s3b, s3d'!$Q$107*s3a!I51,2)</f>
        <v>2860.94</v>
      </c>
      <c r="K51" s="375">
        <f>$H$51*I51+O54</f>
        <v>100235.74686052</v>
      </c>
      <c r="L51" s="155"/>
      <c r="M51" s="202">
        <f>$H$51*I51</f>
        <v>100235.75</v>
      </c>
      <c r="N51" s="230"/>
      <c r="O51" s="155"/>
    </row>
    <row r="52" spans="1:15" x14ac:dyDescent="0.2">
      <c r="A52" s="155"/>
      <c r="B52" s="155" t="s">
        <v>390</v>
      </c>
      <c r="C52" s="155"/>
      <c r="D52" s="155"/>
      <c r="E52" s="240"/>
      <c r="F52" s="226"/>
      <c r="G52" s="226"/>
      <c r="H52" s="226"/>
      <c r="I52" s="199">
        <v>0.457063</v>
      </c>
      <c r="J52" s="372">
        <f>ROUND(+'s3,s3b, s3d'!$Q$107*s3a!I52,2)</f>
        <v>3363.62</v>
      </c>
      <c r="K52" s="375">
        <f>$H$51*I52+O55</f>
        <v>117847.83043171</v>
      </c>
      <c r="L52" s="155"/>
      <c r="M52" s="202">
        <f>$H$51*I52</f>
        <v>117847.83</v>
      </c>
      <c r="N52" s="230"/>
      <c r="O52" s="155"/>
    </row>
    <row r="53" spans="1:15" x14ac:dyDescent="0.2">
      <c r="A53" s="155"/>
      <c r="B53" s="155" t="s">
        <v>391</v>
      </c>
      <c r="C53" s="155"/>
      <c r="D53" s="155"/>
      <c r="E53" s="240"/>
      <c r="F53" s="226"/>
      <c r="G53" s="226"/>
      <c r="H53" s="226"/>
      <c r="I53" s="201">
        <v>0.15418100000000001</v>
      </c>
      <c r="J53" s="372">
        <f>ROUND(+'s3,s3b, s3d'!$Q$107*s3a!I53,2)</f>
        <v>1134.6500000000001</v>
      </c>
      <c r="K53" s="375">
        <f>$H$51*I53+O56</f>
        <v>39753.592707770003</v>
      </c>
      <c r="L53" s="155"/>
      <c r="M53" s="202">
        <f>$H$51*I53</f>
        <v>39753.589999999997</v>
      </c>
      <c r="N53" s="230"/>
      <c r="O53" s="155"/>
    </row>
    <row r="54" spans="1:15" x14ac:dyDescent="0.2">
      <c r="A54" s="155"/>
      <c r="B54" s="155"/>
      <c r="C54" s="155"/>
      <c r="D54" s="155"/>
      <c r="E54" s="240"/>
      <c r="F54" s="226"/>
      <c r="G54" s="226"/>
      <c r="H54" s="226"/>
      <c r="I54" s="199">
        <f>SUM(I51:I53)</f>
        <v>1</v>
      </c>
      <c r="J54" s="372">
        <f>+J51+J52+J53</f>
        <v>7359.21</v>
      </c>
      <c r="K54" s="376" t="s">
        <v>81</v>
      </c>
      <c r="L54" s="155"/>
      <c r="M54" s="202">
        <f>SUM(M51:M53)</f>
        <v>257837.17</v>
      </c>
      <c r="N54" s="230">
        <f>H51</f>
        <v>257837.17</v>
      </c>
      <c r="O54" s="202">
        <f>N54-M54</f>
        <v>0</v>
      </c>
    </row>
    <row r="55" spans="1:15" ht="24.75" customHeight="1" x14ac:dyDescent="0.2">
      <c r="A55" s="155" t="s">
        <v>37</v>
      </c>
      <c r="B55" s="155"/>
      <c r="C55" s="155"/>
      <c r="D55" s="206">
        <f>'s3,s3b, s3d'!B26</f>
        <v>629122</v>
      </c>
      <c r="E55" s="240">
        <f>D55/$D$58</f>
        <v>6.8901839999999997E-3</v>
      </c>
      <c r="F55" s="226">
        <f>'s3,s3b, s3d'!D26</f>
        <v>10609.8</v>
      </c>
      <c r="G55" s="226">
        <f>'s3,s3b, s3d'!E26</f>
        <v>207.16</v>
      </c>
      <c r="H55" s="227">
        <f>'s3,s3b, s3d'!$F$26</f>
        <v>10402.64</v>
      </c>
      <c r="I55" s="199">
        <v>0.65841899999999998</v>
      </c>
      <c r="J55" s="199"/>
      <c r="K55" s="228">
        <f>$H$55*I55+O57</f>
        <v>6849.3</v>
      </c>
      <c r="L55" s="155"/>
      <c r="M55" s="202">
        <f>$H$55*I55</f>
        <v>6849.3</v>
      </c>
      <c r="N55" s="230"/>
      <c r="O55" s="155"/>
    </row>
    <row r="56" spans="1:15" x14ac:dyDescent="0.2">
      <c r="A56" s="155"/>
      <c r="B56" s="155" t="s">
        <v>392</v>
      </c>
      <c r="C56" s="155"/>
      <c r="D56" s="155"/>
      <c r="E56" s="240"/>
      <c r="F56" s="226"/>
      <c r="G56" s="226"/>
      <c r="H56" s="226"/>
      <c r="I56" s="201">
        <v>0.34158100000000002</v>
      </c>
      <c r="J56" s="370"/>
      <c r="K56" s="228">
        <f>$H$55*I56</f>
        <v>3553.34</v>
      </c>
      <c r="L56" s="155"/>
      <c r="M56" s="202">
        <f>$H$55*I56</f>
        <v>3553.34</v>
      </c>
      <c r="N56" s="230"/>
      <c r="O56" s="155"/>
    </row>
    <row r="57" spans="1:15" x14ac:dyDescent="0.2">
      <c r="A57" s="155"/>
      <c r="B57" s="155"/>
      <c r="C57" s="155"/>
      <c r="D57" s="155"/>
      <c r="E57" s="240"/>
      <c r="F57" s="226"/>
      <c r="G57" s="226"/>
      <c r="H57" s="226"/>
      <c r="I57" s="199">
        <f>SUM(I55:I56)</f>
        <v>1</v>
      </c>
      <c r="J57" s="199"/>
      <c r="K57" s="228"/>
      <c r="L57" s="155"/>
      <c r="M57" s="202">
        <f>SUM(M55:M56)</f>
        <v>10402.64</v>
      </c>
      <c r="N57" s="230">
        <f>H55</f>
        <v>10402.64</v>
      </c>
      <c r="O57" s="202">
        <f>N57-M57</f>
        <v>0</v>
      </c>
    </row>
    <row r="58" spans="1:15" s="142" customFormat="1" ht="13.5" thickBot="1" x14ac:dyDescent="0.25">
      <c r="A58" s="207" t="s">
        <v>243</v>
      </c>
      <c r="B58" s="207"/>
      <c r="C58" s="207"/>
      <c r="D58" s="208">
        <f>SUM(D8:D57)</f>
        <v>91307002</v>
      </c>
      <c r="E58" s="242">
        <f>SUM(E8:E57)</f>
        <v>0.99999999900000003</v>
      </c>
      <c r="F58" s="231">
        <f>SUM(F8:F57)</f>
        <v>1539842.52</v>
      </c>
      <c r="G58" s="231">
        <f>SUM(G8:G57)</f>
        <v>9282.16</v>
      </c>
      <c r="H58" s="231">
        <f>SUM(H8:H57)</f>
        <v>1530560.36</v>
      </c>
      <c r="I58" s="231"/>
      <c r="J58" s="231"/>
      <c r="K58" s="231">
        <f>SUM(K8:K56)</f>
        <v>1530560.36</v>
      </c>
      <c r="L58" s="150"/>
      <c r="M58" s="150"/>
      <c r="N58" s="150"/>
      <c r="O58" s="150"/>
    </row>
    <row r="59" spans="1:15" ht="13.5" thickTop="1" x14ac:dyDescent="0.2">
      <c r="A59" s="155"/>
      <c r="B59" s="155"/>
      <c r="C59" s="155"/>
      <c r="D59" s="155"/>
      <c r="E59" s="155"/>
      <c r="F59" s="155"/>
      <c r="G59" s="155"/>
      <c r="H59" s="203"/>
      <c r="I59" s="199"/>
      <c r="J59" s="199"/>
      <c r="K59" s="228"/>
      <c r="L59" s="155"/>
      <c r="M59" s="155"/>
      <c r="N59" s="155"/>
      <c r="O59" s="155"/>
    </row>
    <row r="61" spans="1:15" x14ac:dyDescent="0.2">
      <c r="B61" s="155"/>
      <c r="C61" s="155"/>
    </row>
    <row r="62" spans="1:15" x14ac:dyDescent="0.2">
      <c r="B62" s="155"/>
      <c r="C62" s="155"/>
    </row>
    <row r="63" spans="1:15" x14ac:dyDescent="0.2">
      <c r="C63" s="198"/>
    </row>
    <row r="64" spans="1:15" x14ac:dyDescent="0.2">
      <c r="B64" s="155"/>
      <c r="C64" s="155"/>
    </row>
    <row r="65" spans="2:3" x14ac:dyDescent="0.2">
      <c r="B65" s="155"/>
      <c r="C65" s="155"/>
    </row>
    <row r="66" spans="2:3" x14ac:dyDescent="0.2">
      <c r="C66" s="155"/>
    </row>
    <row r="67" spans="2:3" x14ac:dyDescent="0.2">
      <c r="C67" s="155"/>
    </row>
    <row r="68" spans="2:3" x14ac:dyDescent="0.2">
      <c r="C68" s="155"/>
    </row>
    <row r="69" spans="2:3" x14ac:dyDescent="0.2">
      <c r="C69" s="155"/>
    </row>
    <row r="70" spans="2:3" x14ac:dyDescent="0.2">
      <c r="C70" s="155"/>
    </row>
    <row r="71" spans="2:3" x14ac:dyDescent="0.2">
      <c r="B71" s="155"/>
    </row>
    <row r="72" spans="2:3" x14ac:dyDescent="0.2">
      <c r="B72" s="155"/>
    </row>
    <row r="73" spans="2:3" x14ac:dyDescent="0.2">
      <c r="B73" s="155"/>
    </row>
    <row r="74" spans="2:3" x14ac:dyDescent="0.2">
      <c r="B74" s="155"/>
    </row>
    <row r="75" spans="2:3" x14ac:dyDescent="0.2">
      <c r="B75" s="155"/>
    </row>
    <row r="76" spans="2:3" x14ac:dyDescent="0.2">
      <c r="B76" s="155"/>
    </row>
    <row r="77" spans="2:3" x14ac:dyDescent="0.2">
      <c r="B77" s="155"/>
    </row>
    <row r="78" spans="2:3" x14ac:dyDescent="0.2">
      <c r="B78" s="155"/>
    </row>
    <row r="79" spans="2:3" x14ac:dyDescent="0.2">
      <c r="B79" s="155"/>
    </row>
    <row r="80" spans="2:3" x14ac:dyDescent="0.2">
      <c r="B80" s="155"/>
    </row>
    <row r="81" spans="2:3" x14ac:dyDescent="0.2">
      <c r="B81" s="155"/>
    </row>
    <row r="82" spans="2:3" x14ac:dyDescent="0.2">
      <c r="B82" s="155"/>
    </row>
    <row r="83" spans="2:3" x14ac:dyDescent="0.2">
      <c r="B83" s="155"/>
    </row>
    <row r="84" spans="2:3" x14ac:dyDescent="0.2">
      <c r="B84" s="155"/>
    </row>
    <row r="85" spans="2:3" x14ac:dyDescent="0.2">
      <c r="B85" s="155"/>
    </row>
    <row r="86" spans="2:3" x14ac:dyDescent="0.2">
      <c r="B86" s="155"/>
      <c r="C86" s="155"/>
    </row>
    <row r="87" spans="2:3" x14ac:dyDescent="0.2">
      <c r="B87" s="155"/>
      <c r="C87" s="155"/>
    </row>
    <row r="88" spans="2:3" x14ac:dyDescent="0.2">
      <c r="B88" s="155"/>
    </row>
    <row r="89" spans="2:3" x14ac:dyDescent="0.2">
      <c r="B89" s="155"/>
    </row>
    <row r="90" spans="2:3" x14ac:dyDescent="0.2">
      <c r="B90" s="155"/>
    </row>
    <row r="91" spans="2:3" x14ac:dyDescent="0.2">
      <c r="B91" s="155"/>
      <c r="C91" s="155"/>
    </row>
    <row r="92" spans="2:3" x14ac:dyDescent="0.2">
      <c r="B92" s="155"/>
      <c r="C92" s="155"/>
    </row>
    <row r="93" spans="2:3" x14ac:dyDescent="0.2">
      <c r="C93" s="155"/>
    </row>
    <row r="94" spans="2:3" x14ac:dyDescent="0.2">
      <c r="C94" s="155"/>
    </row>
    <row r="95" spans="2:3" x14ac:dyDescent="0.2">
      <c r="C95" s="155"/>
    </row>
    <row r="96" spans="2:3" x14ac:dyDescent="0.2">
      <c r="C96" s="155"/>
    </row>
    <row r="97" spans="2:3" x14ac:dyDescent="0.2">
      <c r="B97" s="155"/>
    </row>
    <row r="98" spans="2:3" x14ac:dyDescent="0.2">
      <c r="B98" s="155"/>
    </row>
    <row r="99" spans="2:3" x14ac:dyDescent="0.2">
      <c r="B99" s="155"/>
    </row>
    <row r="100" spans="2:3" x14ac:dyDescent="0.2">
      <c r="B100" s="155"/>
    </row>
    <row r="101" spans="2:3" x14ac:dyDescent="0.2">
      <c r="B101" s="155"/>
      <c r="C101" s="155"/>
    </row>
    <row r="102" spans="2:3" x14ac:dyDescent="0.2">
      <c r="B102" s="155"/>
      <c r="C102" s="155"/>
    </row>
    <row r="103" spans="2:3" x14ac:dyDescent="0.2">
      <c r="B103" s="155"/>
    </row>
    <row r="104" spans="2:3" x14ac:dyDescent="0.2">
      <c r="B104" s="155"/>
    </row>
    <row r="105" spans="2:3" x14ac:dyDescent="0.2">
      <c r="B105" s="155"/>
      <c r="C105" s="155"/>
    </row>
    <row r="106" spans="2:3" x14ac:dyDescent="0.2">
      <c r="B106" s="155"/>
      <c r="C106" s="155"/>
    </row>
    <row r="107" spans="2:3" x14ac:dyDescent="0.2">
      <c r="B107" s="155"/>
    </row>
    <row r="108" spans="2:3" x14ac:dyDescent="0.2">
      <c r="B108" s="155"/>
    </row>
    <row r="109" spans="2:3" x14ac:dyDescent="0.2">
      <c r="B109" s="155"/>
      <c r="C109" s="155"/>
    </row>
    <row r="110" spans="2:3" x14ac:dyDescent="0.2">
      <c r="B110" s="155"/>
      <c r="C110" s="155"/>
    </row>
    <row r="111" spans="2:3" x14ac:dyDescent="0.2">
      <c r="C111" s="155"/>
    </row>
    <row r="112" spans="2:3" x14ac:dyDescent="0.2">
      <c r="B112" s="155"/>
      <c r="C112" s="155"/>
    </row>
    <row r="113" spans="2:3" x14ac:dyDescent="0.2">
      <c r="B113" s="155"/>
      <c r="C113" s="155"/>
    </row>
    <row r="114" spans="2:3" x14ac:dyDescent="0.2">
      <c r="B114" s="155"/>
    </row>
    <row r="115" spans="2:3" x14ac:dyDescent="0.2">
      <c r="B115" s="155"/>
    </row>
    <row r="116" spans="2:3" x14ac:dyDescent="0.2">
      <c r="B116" s="155"/>
    </row>
    <row r="117" spans="2:3" x14ac:dyDescent="0.2">
      <c r="B117" s="155"/>
      <c r="C117" s="155"/>
    </row>
    <row r="118" spans="2:3" x14ac:dyDescent="0.2">
      <c r="B118" s="155"/>
      <c r="C118" s="155"/>
    </row>
    <row r="119" spans="2:3" x14ac:dyDescent="0.2">
      <c r="C119" s="155"/>
    </row>
    <row r="120" spans="2:3" x14ac:dyDescent="0.2">
      <c r="B120" s="155"/>
    </row>
    <row r="121" spans="2:3" x14ac:dyDescent="0.2">
      <c r="B121" s="155"/>
    </row>
    <row r="122" spans="2:3" x14ac:dyDescent="0.2">
      <c r="B122" s="155"/>
    </row>
    <row r="123" spans="2:3" x14ac:dyDescent="0.2">
      <c r="B123" s="155"/>
      <c r="C123" s="155"/>
    </row>
    <row r="124" spans="2:3" x14ac:dyDescent="0.2">
      <c r="B124" s="155"/>
      <c r="C124" s="155"/>
    </row>
    <row r="125" spans="2:3" x14ac:dyDescent="0.2">
      <c r="C125" s="155"/>
    </row>
    <row r="126" spans="2:3" x14ac:dyDescent="0.2">
      <c r="C126" s="155"/>
    </row>
    <row r="127" spans="2:3" x14ac:dyDescent="0.2">
      <c r="B127" s="155"/>
      <c r="C127" s="155"/>
    </row>
    <row r="128" spans="2:3" x14ac:dyDescent="0.2">
      <c r="B128" s="155"/>
      <c r="C128" s="155"/>
    </row>
    <row r="129" spans="2:3" x14ac:dyDescent="0.2">
      <c r="B129" s="155"/>
    </row>
    <row r="130" spans="2:3" x14ac:dyDescent="0.2">
      <c r="B130" s="155"/>
    </row>
    <row r="131" spans="2:3" x14ac:dyDescent="0.2">
      <c r="B131" s="155"/>
    </row>
    <row r="132" spans="2:3" x14ac:dyDescent="0.2">
      <c r="B132" s="155"/>
    </row>
    <row r="133" spans="2:3" x14ac:dyDescent="0.2">
      <c r="B133" s="155"/>
      <c r="C133" s="155"/>
    </row>
    <row r="134" spans="2:3" x14ac:dyDescent="0.2">
      <c r="B134" s="155"/>
      <c r="C134" s="155"/>
    </row>
    <row r="135" spans="2:3" x14ac:dyDescent="0.2">
      <c r="B135" s="155"/>
    </row>
    <row r="136" spans="2:3" x14ac:dyDescent="0.2">
      <c r="B136" s="155"/>
    </row>
    <row r="137" spans="2:3" x14ac:dyDescent="0.2">
      <c r="B137" s="155"/>
    </row>
    <row r="138" spans="2:3" x14ac:dyDescent="0.2">
      <c r="B138" s="155"/>
    </row>
    <row r="139" spans="2:3" x14ac:dyDescent="0.2">
      <c r="B139" s="155"/>
    </row>
    <row r="140" spans="2:3" x14ac:dyDescent="0.2">
      <c r="B140" s="155"/>
    </row>
    <row r="141" spans="2:3" x14ac:dyDescent="0.2">
      <c r="B141" s="155"/>
    </row>
    <row r="142" spans="2:3" x14ac:dyDescent="0.2">
      <c r="B142" s="155"/>
      <c r="C142" s="155"/>
    </row>
    <row r="143" spans="2:3" x14ac:dyDescent="0.2">
      <c r="B143" s="155"/>
      <c r="C143" s="155"/>
    </row>
    <row r="144" spans="2:3" x14ac:dyDescent="0.2">
      <c r="C144" s="155"/>
    </row>
    <row r="145" spans="2:3" x14ac:dyDescent="0.2">
      <c r="B145" s="155"/>
    </row>
    <row r="146" spans="2:3" x14ac:dyDescent="0.2">
      <c r="B146" s="155"/>
      <c r="C146" s="155"/>
    </row>
    <row r="147" spans="2:3" x14ac:dyDescent="0.2">
      <c r="B147" s="155"/>
      <c r="C147" s="155"/>
    </row>
    <row r="148" spans="2:3" x14ac:dyDescent="0.2">
      <c r="B148" s="155"/>
    </row>
    <row r="149" spans="2:3" x14ac:dyDescent="0.2">
      <c r="B149" s="155"/>
    </row>
    <row r="150" spans="2:3" x14ac:dyDescent="0.2">
      <c r="B150" s="155"/>
      <c r="C150" s="155"/>
    </row>
    <row r="151" spans="2:3" x14ac:dyDescent="0.2">
      <c r="B151" s="155"/>
      <c r="C151" s="155"/>
    </row>
    <row r="152" spans="2:3" x14ac:dyDescent="0.2">
      <c r="C152" s="155"/>
    </row>
    <row r="153" spans="2:3" x14ac:dyDescent="0.2">
      <c r="C153" s="155"/>
    </row>
    <row r="154" spans="2:3" x14ac:dyDescent="0.2">
      <c r="B154" s="155"/>
      <c r="C154" s="155"/>
    </row>
    <row r="155" spans="2:3" x14ac:dyDescent="0.2">
      <c r="B155" s="155"/>
      <c r="C155" s="155"/>
    </row>
    <row r="156" spans="2:3" x14ac:dyDescent="0.2">
      <c r="C156" s="155"/>
    </row>
    <row r="157" spans="2:3" x14ac:dyDescent="0.2">
      <c r="B157" s="155"/>
    </row>
    <row r="158" spans="2:3" x14ac:dyDescent="0.2">
      <c r="B158" s="155"/>
    </row>
    <row r="159" spans="2:3" x14ac:dyDescent="0.2">
      <c r="B159" s="155"/>
    </row>
  </sheetData>
  <mergeCells count="1">
    <mergeCell ref="A4:K4"/>
  </mergeCells>
  <phoneticPr fontId="0" type="noConversion"/>
  <printOptions horizontalCentered="1"/>
  <pageMargins left="0.5" right="0.5" top="0.2" bottom="0.5" header="0.5" footer="0.5"/>
  <pageSetup scale="70" orientation="landscape" r:id="rId1"/>
  <headerFooter alignWithMargins="0"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X1089"/>
  <sheetViews>
    <sheetView zoomScaleNormal="100" workbookViewId="0"/>
  </sheetViews>
  <sheetFormatPr defaultRowHeight="12.75" x14ac:dyDescent="0.2"/>
  <cols>
    <col min="1" max="1" width="14.140625" customWidth="1"/>
    <col min="2" max="2" width="15.42578125" bestFit="1" customWidth="1"/>
    <col min="3" max="3" width="12.7109375" customWidth="1"/>
    <col min="4" max="4" width="13.7109375" bestFit="1" customWidth="1"/>
    <col min="5" max="5" width="13.28515625" customWidth="1"/>
    <col min="6" max="6" width="12.5703125" customWidth="1"/>
    <col min="7" max="7" width="14.85546875" customWidth="1"/>
    <col min="8" max="8" width="12.5703125" customWidth="1"/>
    <col min="9" max="9" width="14.140625" bestFit="1" customWidth="1"/>
    <col min="10" max="10" width="14.28515625" style="155" customWidth="1"/>
    <col min="11" max="11" width="19.140625" bestFit="1" customWidth="1"/>
    <col min="12" max="13" width="11.28515625" customWidth="1"/>
    <col min="14" max="14" width="14.140625" customWidth="1"/>
    <col min="15" max="15" width="13.140625" customWidth="1"/>
    <col min="16" max="16" width="12.85546875" bestFit="1" customWidth="1"/>
    <col min="17" max="18" width="12.85546875" customWidth="1"/>
    <col min="19" max="19" width="13.42578125" customWidth="1"/>
    <col min="20" max="20" width="12.85546875" bestFit="1" customWidth="1"/>
    <col min="21" max="22" width="11.28515625" customWidth="1"/>
    <col min="23" max="23" width="11.28515625" bestFit="1" customWidth="1"/>
    <col min="24" max="24" width="12.85546875" bestFit="1" customWidth="1"/>
  </cols>
  <sheetData>
    <row r="1" spans="1:20" ht="37.5" customHeight="1" x14ac:dyDescent="0.2">
      <c r="A1" s="194" t="s">
        <v>393</v>
      </c>
      <c r="B1" s="148"/>
      <c r="C1" s="148"/>
      <c r="D1" s="149"/>
      <c r="E1" s="402" t="s">
        <v>641</v>
      </c>
      <c r="F1" s="402"/>
      <c r="G1" s="142"/>
      <c r="H1" s="142"/>
      <c r="I1" s="142"/>
      <c r="J1" s="150"/>
      <c r="K1" s="142"/>
      <c r="L1" s="142"/>
      <c r="M1" s="142"/>
      <c r="N1" s="142"/>
      <c r="O1" s="142"/>
      <c r="P1" s="142"/>
      <c r="Q1" s="142"/>
      <c r="R1" s="142"/>
      <c r="S1" s="142"/>
      <c r="T1" s="142"/>
    </row>
    <row r="2" spans="1:20" ht="38.25" x14ac:dyDescent="0.2">
      <c r="A2" s="150" t="s">
        <v>394</v>
      </c>
      <c r="C2" s="156">
        <v>1041384.54</v>
      </c>
      <c r="E2" s="401" t="s">
        <v>411</v>
      </c>
      <c r="F2" s="401"/>
      <c r="G2" s="159">
        <f>IF(C4&lt;0,0,IF(C4&lt;C2,B3,0))</f>
        <v>0</v>
      </c>
      <c r="J2"/>
    </row>
    <row r="3" spans="1:20" ht="25.5" x14ac:dyDescent="0.2">
      <c r="A3" s="150" t="s">
        <v>395</v>
      </c>
      <c r="B3" s="156">
        <f>'s3,s3b, s3d'!$I$8</f>
        <v>1099887.52</v>
      </c>
      <c r="E3" s="160" t="s">
        <v>397</v>
      </c>
      <c r="F3" s="161" t="s">
        <v>642</v>
      </c>
      <c r="G3" s="161" t="s">
        <v>643</v>
      </c>
      <c r="H3" s="161" t="s">
        <v>399</v>
      </c>
      <c r="I3" s="161" t="s">
        <v>400</v>
      </c>
      <c r="J3"/>
    </row>
    <row r="4" spans="1:20" ht="25.5" x14ac:dyDescent="0.2">
      <c r="A4" s="193" t="s">
        <v>396</v>
      </c>
      <c r="B4" s="151">
        <f>'s3,s3b, s3d'!E54</f>
        <v>6630.09</v>
      </c>
      <c r="C4" s="158">
        <f>B3-B4</f>
        <v>1093257.43</v>
      </c>
      <c r="E4" s="155" t="s">
        <v>21</v>
      </c>
      <c r="F4" s="153">
        <v>1.67E-2</v>
      </c>
      <c r="G4" s="162">
        <f t="shared" ref="G4:G20" si="0">$G$2*F4</f>
        <v>0</v>
      </c>
      <c r="H4" s="151">
        <f>'s3,s3b, s3d'!E37</f>
        <v>139.22999999999999</v>
      </c>
      <c r="I4" s="162">
        <f t="shared" ref="I4:I20" si="1">G4-H4</f>
        <v>-139.22999999999999</v>
      </c>
      <c r="J4"/>
    </row>
    <row r="5" spans="1:20" ht="49.5" customHeight="1" x14ac:dyDescent="0.2">
      <c r="E5" s="155" t="s">
        <v>22</v>
      </c>
      <c r="F5" s="153">
        <v>2.7699999999999999E-2</v>
      </c>
      <c r="G5" s="162">
        <f t="shared" si="0"/>
        <v>0</v>
      </c>
      <c r="H5" s="151">
        <f>'s3,s3b, s3d'!E38</f>
        <v>112.71</v>
      </c>
      <c r="I5" s="162">
        <f t="shared" si="1"/>
        <v>-112.71</v>
      </c>
      <c r="J5"/>
    </row>
    <row r="6" spans="1:20" ht="35.25" customHeight="1" x14ac:dyDescent="0.2">
      <c r="E6" s="155" t="s">
        <v>23</v>
      </c>
      <c r="F6" s="153">
        <v>0.43830000000000002</v>
      </c>
      <c r="G6" s="162">
        <f t="shared" si="0"/>
        <v>0</v>
      </c>
      <c r="H6" s="151">
        <f>'s3,s3b, s3d'!E39</f>
        <v>3639.93</v>
      </c>
      <c r="I6" s="162">
        <f>(G6-H6)+J21</f>
        <v>-3639.93</v>
      </c>
      <c r="J6"/>
    </row>
    <row r="7" spans="1:20" x14ac:dyDescent="0.2">
      <c r="E7" s="155" t="s">
        <v>24</v>
      </c>
      <c r="F7" s="153">
        <v>1.55E-2</v>
      </c>
      <c r="G7" s="162">
        <f t="shared" si="0"/>
        <v>0</v>
      </c>
      <c r="H7" s="151">
        <f>'s3,s3b, s3d'!E40</f>
        <v>112.71</v>
      </c>
      <c r="I7" s="162">
        <f t="shared" si="1"/>
        <v>-112.71</v>
      </c>
      <c r="J7"/>
    </row>
    <row r="8" spans="1:20" x14ac:dyDescent="0.2">
      <c r="E8" s="155" t="s">
        <v>25</v>
      </c>
      <c r="F8" s="153">
        <v>6.5299999999999997E-2</v>
      </c>
      <c r="G8" s="162">
        <f t="shared" si="0"/>
        <v>0</v>
      </c>
      <c r="H8" s="151">
        <f>'s3,s3b, s3d'!E41</f>
        <v>218.79</v>
      </c>
      <c r="I8" s="162">
        <f t="shared" si="1"/>
        <v>-218.79</v>
      </c>
      <c r="J8"/>
    </row>
    <row r="9" spans="1:20" x14ac:dyDescent="0.2">
      <c r="E9" s="155" t="s">
        <v>26</v>
      </c>
      <c r="F9" s="153">
        <v>1.52E-2</v>
      </c>
      <c r="G9" s="162">
        <f t="shared" si="0"/>
        <v>0</v>
      </c>
      <c r="H9" s="151">
        <f>'s3,s3b, s3d'!E42</f>
        <v>53.04</v>
      </c>
      <c r="I9" s="162">
        <f t="shared" si="1"/>
        <v>-53.04</v>
      </c>
      <c r="J9"/>
    </row>
    <row r="10" spans="1:20" x14ac:dyDescent="0.2">
      <c r="E10" s="155" t="s">
        <v>27</v>
      </c>
      <c r="F10" s="153">
        <v>1.9400000000000001E-2</v>
      </c>
      <c r="G10" s="162">
        <f t="shared" si="0"/>
        <v>0</v>
      </c>
      <c r="H10" s="151">
        <f>'s3,s3b, s3d'!E43</f>
        <v>106.08</v>
      </c>
      <c r="I10" s="162">
        <f t="shared" si="1"/>
        <v>-106.08</v>
      </c>
      <c r="J10"/>
    </row>
    <row r="11" spans="1:20" x14ac:dyDescent="0.2">
      <c r="E11" s="155" t="s">
        <v>28</v>
      </c>
      <c r="F11" s="153">
        <v>3.9199999999999999E-2</v>
      </c>
      <c r="G11" s="162">
        <f t="shared" si="0"/>
        <v>0</v>
      </c>
      <c r="H11" s="151">
        <f>'s3,s3b, s3d'!E44</f>
        <v>139.22999999999999</v>
      </c>
      <c r="I11" s="162">
        <f t="shared" si="1"/>
        <v>-139.22999999999999</v>
      </c>
      <c r="J11"/>
    </row>
    <row r="12" spans="1:20" x14ac:dyDescent="0.2">
      <c r="E12" s="155" t="s">
        <v>29</v>
      </c>
      <c r="F12" s="153">
        <v>2.4799999999999999E-2</v>
      </c>
      <c r="G12" s="162">
        <f t="shared" si="0"/>
        <v>0</v>
      </c>
      <c r="H12" s="151">
        <f>'s3,s3b, s3d'!E45</f>
        <v>132.6</v>
      </c>
      <c r="I12" s="162">
        <f t="shared" si="1"/>
        <v>-132.6</v>
      </c>
      <c r="J12"/>
    </row>
    <row r="13" spans="1:20" x14ac:dyDescent="0.2">
      <c r="E13" s="155" t="s">
        <v>30</v>
      </c>
      <c r="F13" s="153">
        <v>4.3200000000000002E-2</v>
      </c>
      <c r="G13" s="162">
        <f t="shared" si="0"/>
        <v>0</v>
      </c>
      <c r="H13" s="151">
        <f>'s3,s3b, s3d'!E46</f>
        <v>212.16</v>
      </c>
      <c r="I13" s="162">
        <f t="shared" si="1"/>
        <v>-212.16</v>
      </c>
      <c r="J13"/>
    </row>
    <row r="14" spans="1:20" x14ac:dyDescent="0.2">
      <c r="E14" s="155" t="s">
        <v>31</v>
      </c>
      <c r="F14" s="153">
        <v>1.89E-2</v>
      </c>
      <c r="G14" s="162">
        <f t="shared" si="0"/>
        <v>0</v>
      </c>
      <c r="H14" s="151">
        <f>'s3,s3b, s3d'!E47</f>
        <v>139.22999999999999</v>
      </c>
      <c r="I14" s="162">
        <f t="shared" si="1"/>
        <v>-139.22999999999999</v>
      </c>
      <c r="J14"/>
    </row>
    <row r="15" spans="1:20" x14ac:dyDescent="0.2">
      <c r="E15" s="155" t="s">
        <v>401</v>
      </c>
      <c r="F15" s="153">
        <v>1.4E-2</v>
      </c>
      <c r="G15" s="162">
        <f t="shared" si="0"/>
        <v>0</v>
      </c>
      <c r="H15" s="151">
        <f>'s3,s3b, s3d'!E48</f>
        <v>46.41</v>
      </c>
      <c r="I15" s="162">
        <f t="shared" si="1"/>
        <v>-46.41</v>
      </c>
      <c r="J15"/>
    </row>
    <row r="16" spans="1:20" x14ac:dyDescent="0.2">
      <c r="E16" s="155" t="s">
        <v>33</v>
      </c>
      <c r="F16" s="153">
        <v>6.7699999999999996E-2</v>
      </c>
      <c r="G16" s="162">
        <f t="shared" si="0"/>
        <v>0</v>
      </c>
      <c r="H16" s="151">
        <f>'s3,s3b, s3d'!E49</f>
        <v>291.73</v>
      </c>
      <c r="I16" s="162">
        <f t="shared" si="1"/>
        <v>-291.73</v>
      </c>
      <c r="J16"/>
    </row>
    <row r="17" spans="1:22" x14ac:dyDescent="0.2">
      <c r="E17" s="155" t="s">
        <v>34</v>
      </c>
      <c r="F17" s="153">
        <v>2.8400000000000002E-2</v>
      </c>
      <c r="G17" s="162">
        <f t="shared" si="0"/>
        <v>0</v>
      </c>
      <c r="H17" s="151">
        <f>'s3,s3b, s3d'!E50</f>
        <v>218.79</v>
      </c>
      <c r="I17" s="162">
        <f t="shared" si="1"/>
        <v>-218.79</v>
      </c>
      <c r="J17"/>
    </row>
    <row r="18" spans="1:22" x14ac:dyDescent="0.2">
      <c r="E18" s="155" t="s">
        <v>35</v>
      </c>
      <c r="F18" s="153">
        <v>2.2000000000000001E-3</v>
      </c>
      <c r="G18" s="162">
        <f t="shared" si="0"/>
        <v>0</v>
      </c>
      <c r="H18" s="151">
        <f>'s3,s3b, s3d'!E51</f>
        <v>13.26</v>
      </c>
      <c r="I18" s="162">
        <f t="shared" si="1"/>
        <v>-13.26</v>
      </c>
      <c r="J18"/>
    </row>
    <row r="19" spans="1:22" x14ac:dyDescent="0.2">
      <c r="E19" s="155" t="s">
        <v>36</v>
      </c>
      <c r="F19" s="153">
        <v>0.1232</v>
      </c>
      <c r="G19" s="162">
        <f t="shared" si="0"/>
        <v>0</v>
      </c>
      <c r="H19" s="151">
        <f>'s3,s3b, s3d'!E52</f>
        <v>914.96</v>
      </c>
      <c r="I19" s="162">
        <f t="shared" si="1"/>
        <v>-914.96</v>
      </c>
      <c r="J19"/>
    </row>
    <row r="20" spans="1:22" x14ac:dyDescent="0.2">
      <c r="E20" s="155" t="s">
        <v>37</v>
      </c>
      <c r="F20" s="153">
        <v>4.0300000000000002E-2</v>
      </c>
      <c r="G20" s="162">
        <f t="shared" si="0"/>
        <v>0</v>
      </c>
      <c r="H20" s="151">
        <f>'s3,s3b, s3d'!E53</f>
        <v>139.22999999999999</v>
      </c>
      <c r="I20" s="162">
        <f t="shared" si="1"/>
        <v>-139.22999999999999</v>
      </c>
      <c r="J20"/>
    </row>
    <row r="21" spans="1:22" ht="13.5" thickBot="1" x14ac:dyDescent="0.25">
      <c r="E21" s="150" t="s">
        <v>243</v>
      </c>
      <c r="F21" s="163">
        <f>SUM(F4:F20)</f>
        <v>1</v>
      </c>
      <c r="G21" s="164">
        <f>SUM(G4:G20)</f>
        <v>0</v>
      </c>
      <c r="H21" s="165">
        <f>SUM(H4:H20)</f>
        <v>6630.09</v>
      </c>
      <c r="I21" s="164">
        <f>SUM(I4:I20)</f>
        <v>-6630.09</v>
      </c>
      <c r="J21" s="162">
        <f>G2-G21</f>
        <v>0</v>
      </c>
    </row>
    <row r="22" spans="1:22" ht="26.25" customHeight="1" thickTop="1" thickBot="1" x14ac:dyDescent="0.25">
      <c r="A22" s="403" t="s">
        <v>644</v>
      </c>
      <c r="B22" s="403"/>
      <c r="C22" s="403"/>
      <c r="J22"/>
    </row>
    <row r="23" spans="1:22" ht="37.5" customHeight="1" thickBot="1" x14ac:dyDescent="0.25">
      <c r="A23" s="401" t="s">
        <v>412</v>
      </c>
      <c r="B23" s="401"/>
      <c r="C23" s="151">
        <f>IF(C4&gt;C2,B3,0)</f>
        <v>1099887.52</v>
      </c>
      <c r="D23" s="151"/>
      <c r="E23" s="151"/>
      <c r="F23" s="151"/>
      <c r="J23"/>
      <c r="L23" s="398" t="s">
        <v>675</v>
      </c>
      <c r="M23" s="399"/>
      <c r="N23" s="399"/>
      <c r="O23" s="400"/>
      <c r="R23" s="150" t="s">
        <v>650</v>
      </c>
    </row>
    <row r="24" spans="1:22" ht="89.25" x14ac:dyDescent="0.2">
      <c r="A24" s="167" t="s">
        <v>402</v>
      </c>
      <c r="B24" s="167" t="s">
        <v>403</v>
      </c>
      <c r="C24" s="167" t="s">
        <v>404</v>
      </c>
      <c r="D24" s="167" t="s">
        <v>405</v>
      </c>
      <c r="E24" s="167" t="s">
        <v>406</v>
      </c>
      <c r="F24" s="167" t="s">
        <v>645</v>
      </c>
      <c r="G24" s="168" t="s">
        <v>646</v>
      </c>
      <c r="H24" s="167" t="s">
        <v>407</v>
      </c>
      <c r="I24" s="167" t="s">
        <v>408</v>
      </c>
      <c r="J24" s="167" t="s">
        <v>647</v>
      </c>
      <c r="K24" s="324" t="s">
        <v>648</v>
      </c>
      <c r="L24" s="323" t="s">
        <v>676</v>
      </c>
      <c r="M24" s="323" t="s">
        <v>677</v>
      </c>
      <c r="N24" s="323" t="s">
        <v>678</v>
      </c>
      <c r="O24" s="323" t="s">
        <v>679</v>
      </c>
      <c r="P24" s="167" t="s">
        <v>649</v>
      </c>
      <c r="Q24" s="168" t="s">
        <v>409</v>
      </c>
      <c r="R24" s="169">
        <f>IF(C4-C2&gt;0,C4-C2,0)</f>
        <v>51872.89</v>
      </c>
      <c r="S24" s="167" t="s">
        <v>110</v>
      </c>
      <c r="T24" s="333" t="s">
        <v>680</v>
      </c>
      <c r="U24" s="334" t="s">
        <v>681</v>
      </c>
    </row>
    <row r="25" spans="1:22" x14ac:dyDescent="0.2">
      <c r="A25" s="155" t="s">
        <v>21</v>
      </c>
      <c r="B25" s="170">
        <v>54844</v>
      </c>
      <c r="C25" s="144">
        <f t="shared" ref="C25:C41" si="2">B25/$B$42</f>
        <v>2.4861000000000001E-2</v>
      </c>
      <c r="D25" s="170">
        <v>248</v>
      </c>
      <c r="E25" s="144">
        <f t="shared" ref="E25:E41" si="3">D25/$D$42</f>
        <v>1.2185E-2</v>
      </c>
      <c r="F25" s="144">
        <f t="shared" ref="F25:F41" si="4">(C25*2/3)+(E25/3)</f>
        <v>2.0636000000000002E-2</v>
      </c>
      <c r="G25" s="162">
        <f t="shared" ref="G25:G41" si="5">$C$23*F25</f>
        <v>22697.279999999999</v>
      </c>
      <c r="H25" s="162">
        <f t="shared" ref="H25:H41" si="6">H4</f>
        <v>139.22999999999999</v>
      </c>
      <c r="I25" s="162">
        <f t="shared" ref="I25:I41" si="7">G25-H25</f>
        <v>22558.05</v>
      </c>
      <c r="J25" s="153">
        <f t="shared" ref="J25:J41" si="8">F4</f>
        <v>1.67E-2</v>
      </c>
      <c r="K25" s="162">
        <f t="shared" ref="K25:K41" si="9">$C$2*J25</f>
        <v>17391.12</v>
      </c>
      <c r="L25" s="341">
        <f>IF((I25&gt;K25), I25-K25, 0)</f>
        <v>5166.93</v>
      </c>
      <c r="M25" s="342">
        <f>L25/$L$42</f>
        <v>2.8219999999999999E-2</v>
      </c>
      <c r="N25" s="343">
        <f>IF((K25&gt;I25), K25-I25, 0)</f>
        <v>0</v>
      </c>
      <c r="O25" s="344">
        <f>$O$42*M25</f>
        <v>1463.85</v>
      </c>
      <c r="P25" s="144">
        <f t="shared" ref="P25:P41" si="10">IF(I25-K25&lt;=0,0,F25)</f>
        <v>2.0636000000000002E-2</v>
      </c>
      <c r="Q25" s="144">
        <f t="shared" ref="Q25:Q41" si="11">IF(P25=0,0,P25/$P$42)</f>
        <v>2.6522E-2</v>
      </c>
      <c r="R25" s="162">
        <f t="shared" ref="R25:R41" si="12">Q25*$R$24</f>
        <v>1375.77</v>
      </c>
      <c r="S25" s="162">
        <f>K25+R25</f>
        <v>18766.89</v>
      </c>
      <c r="T25" s="335">
        <f>K25+O25</f>
        <v>18854.97</v>
      </c>
      <c r="U25" s="339">
        <f>+S25-T25</f>
        <v>-88.08</v>
      </c>
      <c r="V25" s="162">
        <f t="shared" ref="V25:V42" si="13">K25+R25</f>
        <v>18766.89</v>
      </c>
    </row>
    <row r="26" spans="1:22" x14ac:dyDescent="0.2">
      <c r="A26" s="155" t="s">
        <v>22</v>
      </c>
      <c r="B26" s="170">
        <v>25116</v>
      </c>
      <c r="C26" s="144">
        <f t="shared" si="2"/>
        <v>1.1384999999999999E-2</v>
      </c>
      <c r="D26" s="170">
        <v>595</v>
      </c>
      <c r="E26" s="144">
        <f t="shared" si="3"/>
        <v>2.9234E-2</v>
      </c>
      <c r="F26" s="144">
        <f t="shared" si="4"/>
        <v>1.7335E-2</v>
      </c>
      <c r="G26" s="162">
        <f t="shared" si="5"/>
        <v>19066.55</v>
      </c>
      <c r="H26" s="162">
        <f t="shared" si="6"/>
        <v>112.71</v>
      </c>
      <c r="I26" s="162">
        <f t="shared" si="7"/>
        <v>18953.84</v>
      </c>
      <c r="J26" s="153">
        <f t="shared" si="8"/>
        <v>2.7699999999999999E-2</v>
      </c>
      <c r="K26" s="162">
        <f t="shared" si="9"/>
        <v>28846.35</v>
      </c>
      <c r="L26" s="348">
        <f>IF((I26&gt;K26), I26-K26, 0)</f>
        <v>0</v>
      </c>
      <c r="M26" s="342"/>
      <c r="N26" s="349">
        <f>IF((K26&gt;I26), K26-I26, 0)</f>
        <v>9892.51</v>
      </c>
      <c r="O26" s="350"/>
      <c r="P26" s="144">
        <f t="shared" si="10"/>
        <v>0</v>
      </c>
      <c r="Q26" s="144">
        <f t="shared" si="11"/>
        <v>0</v>
      </c>
      <c r="R26" s="162">
        <f t="shared" si="12"/>
        <v>0</v>
      </c>
      <c r="S26" s="162">
        <f>K26+R26</f>
        <v>28846.35</v>
      </c>
      <c r="T26" s="335">
        <f t="shared" ref="T26:T41" si="14">K26+O26</f>
        <v>28846.35</v>
      </c>
      <c r="U26" s="339">
        <f t="shared" ref="U26:U41" si="15">+S26-T26</f>
        <v>0</v>
      </c>
      <c r="V26" s="162">
        <f t="shared" si="13"/>
        <v>28846.35</v>
      </c>
    </row>
    <row r="27" spans="1:22" x14ac:dyDescent="0.2">
      <c r="A27" s="155" t="s">
        <v>23</v>
      </c>
      <c r="B27" s="170">
        <v>1549657</v>
      </c>
      <c r="C27" s="144">
        <f t="shared" si="2"/>
        <v>0.70246699999999995</v>
      </c>
      <c r="D27" s="170">
        <v>4863</v>
      </c>
      <c r="E27" s="144">
        <f t="shared" si="3"/>
        <v>0.23893300000000001</v>
      </c>
      <c r="F27" s="144">
        <f t="shared" si="4"/>
        <v>0.547956</v>
      </c>
      <c r="G27" s="162">
        <f t="shared" si="5"/>
        <v>602689.97</v>
      </c>
      <c r="H27" s="162">
        <f t="shared" si="6"/>
        <v>3639.93</v>
      </c>
      <c r="I27" s="162">
        <f t="shared" si="7"/>
        <v>599050.04</v>
      </c>
      <c r="J27" s="153">
        <f t="shared" si="8"/>
        <v>0.43830000000000002</v>
      </c>
      <c r="K27" s="162">
        <f t="shared" si="9"/>
        <v>456438.84</v>
      </c>
      <c r="L27" s="348">
        <f t="shared" ref="L27:L41" si="16">IF((I27&gt;K27), I27-K27, 0)</f>
        <v>142611.20000000001</v>
      </c>
      <c r="M27" s="342">
        <f>L27/$L$42</f>
        <v>0.77888299999999999</v>
      </c>
      <c r="N27" s="349">
        <f t="shared" ref="N27:N41" si="17">IF((K27&gt;I27), K27-I27, 0)</f>
        <v>0</v>
      </c>
      <c r="O27" s="350">
        <f>$O$42*M27</f>
        <v>40402.9</v>
      </c>
      <c r="P27" s="144">
        <f t="shared" si="10"/>
        <v>0.547956</v>
      </c>
      <c r="Q27" s="144">
        <f t="shared" si="11"/>
        <v>0.70425000000000004</v>
      </c>
      <c r="R27" s="162">
        <f t="shared" si="12"/>
        <v>36531.480000000003</v>
      </c>
      <c r="S27" s="162">
        <f>K27+R27-X42</f>
        <v>492970.32</v>
      </c>
      <c r="T27" s="335">
        <f t="shared" si="14"/>
        <v>496841.74</v>
      </c>
      <c r="U27" s="339">
        <f t="shared" si="15"/>
        <v>-3871.42</v>
      </c>
      <c r="V27" s="162">
        <f t="shared" si="13"/>
        <v>492970.32</v>
      </c>
    </row>
    <row r="28" spans="1:22" x14ac:dyDescent="0.2">
      <c r="A28" s="155" t="s">
        <v>24</v>
      </c>
      <c r="B28" s="170">
        <v>44212</v>
      </c>
      <c r="C28" s="144">
        <f t="shared" si="2"/>
        <v>2.0042000000000001E-2</v>
      </c>
      <c r="D28" s="170">
        <v>210</v>
      </c>
      <c r="E28" s="144">
        <f t="shared" si="3"/>
        <v>1.0318000000000001E-2</v>
      </c>
      <c r="F28" s="144">
        <f t="shared" si="4"/>
        <v>1.6801E-2</v>
      </c>
      <c r="G28" s="162">
        <f t="shared" si="5"/>
        <v>18479.21</v>
      </c>
      <c r="H28" s="162">
        <f t="shared" si="6"/>
        <v>112.71</v>
      </c>
      <c r="I28" s="162">
        <f t="shared" si="7"/>
        <v>18366.5</v>
      </c>
      <c r="J28" s="153">
        <f t="shared" si="8"/>
        <v>1.55E-2</v>
      </c>
      <c r="K28" s="162">
        <f t="shared" si="9"/>
        <v>16141.46</v>
      </c>
      <c r="L28" s="348">
        <f t="shared" si="16"/>
        <v>2225.04</v>
      </c>
      <c r="M28" s="342">
        <f>L28/$L$42</f>
        <v>1.2152E-2</v>
      </c>
      <c r="N28" s="349">
        <f t="shared" si="17"/>
        <v>0</v>
      </c>
      <c r="O28" s="350">
        <f>$O$42*M28</f>
        <v>630.36</v>
      </c>
      <c r="P28" s="144">
        <f t="shared" si="10"/>
        <v>1.6801E-2</v>
      </c>
      <c r="Q28" s="144">
        <f t="shared" si="11"/>
        <v>2.1593000000000001E-2</v>
      </c>
      <c r="R28" s="162">
        <f t="shared" si="12"/>
        <v>1120.0899999999999</v>
      </c>
      <c r="S28" s="162">
        <f t="shared" ref="S28:S41" si="18">K28+R28</f>
        <v>17261.55</v>
      </c>
      <c r="T28" s="335">
        <f t="shared" si="14"/>
        <v>16771.82</v>
      </c>
      <c r="U28" s="339">
        <f t="shared" si="15"/>
        <v>489.73</v>
      </c>
      <c r="V28" s="162">
        <f t="shared" si="13"/>
        <v>17261.55</v>
      </c>
    </row>
    <row r="29" spans="1:22" x14ac:dyDescent="0.2">
      <c r="A29" s="155" t="s">
        <v>25</v>
      </c>
      <c r="B29" s="170">
        <v>46577</v>
      </c>
      <c r="C29" s="144">
        <f t="shared" si="2"/>
        <v>2.1114000000000001E-2</v>
      </c>
      <c r="D29" s="170">
        <v>1174</v>
      </c>
      <c r="E29" s="144">
        <f t="shared" si="3"/>
        <v>5.7681999999999997E-2</v>
      </c>
      <c r="F29" s="144">
        <f t="shared" si="4"/>
        <v>3.3302999999999999E-2</v>
      </c>
      <c r="G29" s="162">
        <f t="shared" si="5"/>
        <v>36629.550000000003</v>
      </c>
      <c r="H29" s="162">
        <f t="shared" si="6"/>
        <v>218.79</v>
      </c>
      <c r="I29" s="162">
        <f t="shared" si="7"/>
        <v>36410.76</v>
      </c>
      <c r="J29" s="153">
        <f t="shared" si="8"/>
        <v>6.5299999999999997E-2</v>
      </c>
      <c r="K29" s="162">
        <f t="shared" si="9"/>
        <v>68002.41</v>
      </c>
      <c r="L29" s="348">
        <f t="shared" si="16"/>
        <v>0</v>
      </c>
      <c r="M29" s="342"/>
      <c r="N29" s="349">
        <f t="shared" si="17"/>
        <v>31591.65</v>
      </c>
      <c r="O29" s="350"/>
      <c r="P29" s="144">
        <f t="shared" si="10"/>
        <v>0</v>
      </c>
      <c r="Q29" s="144">
        <f t="shared" si="11"/>
        <v>0</v>
      </c>
      <c r="R29" s="162">
        <f t="shared" si="12"/>
        <v>0</v>
      </c>
      <c r="S29" s="162">
        <f t="shared" si="18"/>
        <v>68002.41</v>
      </c>
      <c r="T29" s="335">
        <f t="shared" si="14"/>
        <v>68002.41</v>
      </c>
      <c r="U29" s="339">
        <f t="shared" si="15"/>
        <v>0</v>
      </c>
      <c r="V29" s="162">
        <f t="shared" si="13"/>
        <v>68002.41</v>
      </c>
    </row>
    <row r="30" spans="1:22" x14ac:dyDescent="0.2">
      <c r="A30" s="155" t="s">
        <v>26</v>
      </c>
      <c r="B30" s="170">
        <v>1125</v>
      </c>
      <c r="C30" s="144">
        <f t="shared" si="2"/>
        <v>5.1000000000000004E-4</v>
      </c>
      <c r="D30" s="170">
        <v>469</v>
      </c>
      <c r="E30" s="144">
        <f t="shared" si="3"/>
        <v>2.3043000000000001E-2</v>
      </c>
      <c r="F30" s="144">
        <f t="shared" si="4"/>
        <v>8.0210000000000004E-3</v>
      </c>
      <c r="G30" s="162">
        <f t="shared" si="5"/>
        <v>8822.2000000000007</v>
      </c>
      <c r="H30" s="162">
        <f t="shared" si="6"/>
        <v>53.04</v>
      </c>
      <c r="I30" s="162">
        <f t="shared" si="7"/>
        <v>8769.16</v>
      </c>
      <c r="J30" s="153">
        <f t="shared" si="8"/>
        <v>1.52E-2</v>
      </c>
      <c r="K30" s="162">
        <f t="shared" si="9"/>
        <v>15829.05</v>
      </c>
      <c r="L30" s="348">
        <f t="shared" si="16"/>
        <v>0</v>
      </c>
      <c r="M30" s="342"/>
      <c r="N30" s="349">
        <f t="shared" si="17"/>
        <v>7059.89</v>
      </c>
      <c r="O30" s="350"/>
      <c r="P30" s="144">
        <f t="shared" si="10"/>
        <v>0</v>
      </c>
      <c r="Q30" s="144">
        <f t="shared" si="11"/>
        <v>0</v>
      </c>
      <c r="R30" s="162">
        <f t="shared" si="12"/>
        <v>0</v>
      </c>
      <c r="S30" s="162">
        <f t="shared" si="18"/>
        <v>15829.05</v>
      </c>
      <c r="T30" s="335">
        <f t="shared" si="14"/>
        <v>15829.05</v>
      </c>
      <c r="U30" s="339">
        <f t="shared" si="15"/>
        <v>0</v>
      </c>
      <c r="V30" s="162">
        <f t="shared" si="13"/>
        <v>15829.05</v>
      </c>
    </row>
    <row r="31" spans="1:22" x14ac:dyDescent="0.2">
      <c r="A31" s="155" t="s">
        <v>27</v>
      </c>
      <c r="B31" s="170">
        <v>1384</v>
      </c>
      <c r="C31" s="144">
        <f t="shared" si="2"/>
        <v>6.2699999999999995E-4</v>
      </c>
      <c r="D31" s="170">
        <v>960</v>
      </c>
      <c r="E31" s="144">
        <f t="shared" si="3"/>
        <v>4.7167000000000001E-2</v>
      </c>
      <c r="F31" s="144">
        <f t="shared" si="4"/>
        <v>1.6140000000000002E-2</v>
      </c>
      <c r="G31" s="162">
        <f t="shared" si="5"/>
        <v>17752.18</v>
      </c>
      <c r="H31" s="162">
        <f t="shared" si="6"/>
        <v>106.08</v>
      </c>
      <c r="I31" s="162">
        <f t="shared" si="7"/>
        <v>17646.099999999999</v>
      </c>
      <c r="J31" s="153">
        <f t="shared" si="8"/>
        <v>1.9400000000000001E-2</v>
      </c>
      <c r="K31" s="162">
        <f t="shared" si="9"/>
        <v>20202.86</v>
      </c>
      <c r="L31" s="348">
        <f t="shared" si="16"/>
        <v>0</v>
      </c>
      <c r="M31" s="342"/>
      <c r="N31" s="349">
        <f t="shared" si="17"/>
        <v>2556.7600000000002</v>
      </c>
      <c r="O31" s="350"/>
      <c r="P31" s="144">
        <f t="shared" si="10"/>
        <v>0</v>
      </c>
      <c r="Q31" s="144">
        <f t="shared" si="11"/>
        <v>0</v>
      </c>
      <c r="R31" s="162">
        <f t="shared" si="12"/>
        <v>0</v>
      </c>
      <c r="S31" s="162">
        <f t="shared" si="18"/>
        <v>20202.86</v>
      </c>
      <c r="T31" s="335">
        <f t="shared" si="14"/>
        <v>20202.86</v>
      </c>
      <c r="U31" s="339">
        <f t="shared" si="15"/>
        <v>0</v>
      </c>
      <c r="V31" s="162">
        <f t="shared" si="13"/>
        <v>20202.86</v>
      </c>
    </row>
    <row r="32" spans="1:22" x14ac:dyDescent="0.2">
      <c r="A32" s="155" t="s">
        <v>28</v>
      </c>
      <c r="B32" s="170">
        <v>16308</v>
      </c>
      <c r="C32" s="144">
        <f t="shared" si="2"/>
        <v>7.3920000000000001E-3</v>
      </c>
      <c r="D32" s="170">
        <v>996</v>
      </c>
      <c r="E32" s="144">
        <f t="shared" si="3"/>
        <v>4.8936E-2</v>
      </c>
      <c r="F32" s="144">
        <f t="shared" si="4"/>
        <v>2.1239999999999998E-2</v>
      </c>
      <c r="G32" s="162">
        <f t="shared" si="5"/>
        <v>23361.61</v>
      </c>
      <c r="H32" s="162">
        <f t="shared" si="6"/>
        <v>139.22999999999999</v>
      </c>
      <c r="I32" s="162">
        <f t="shared" si="7"/>
        <v>23222.38</v>
      </c>
      <c r="J32" s="153">
        <f t="shared" si="8"/>
        <v>3.9199999999999999E-2</v>
      </c>
      <c r="K32" s="162">
        <f t="shared" si="9"/>
        <v>40822.269999999997</v>
      </c>
      <c r="L32" s="348">
        <f t="shared" si="16"/>
        <v>0</v>
      </c>
      <c r="M32" s="342"/>
      <c r="N32" s="349">
        <f t="shared" si="17"/>
        <v>17599.89</v>
      </c>
      <c r="O32" s="350"/>
      <c r="P32" s="144">
        <f t="shared" si="10"/>
        <v>0</v>
      </c>
      <c r="Q32" s="144">
        <f t="shared" si="11"/>
        <v>0</v>
      </c>
      <c r="R32" s="162">
        <f t="shared" si="12"/>
        <v>0</v>
      </c>
      <c r="S32" s="162">
        <f t="shared" si="18"/>
        <v>40822.269999999997</v>
      </c>
      <c r="T32" s="335">
        <f t="shared" si="14"/>
        <v>40822.269999999997</v>
      </c>
      <c r="U32" s="339">
        <f t="shared" si="15"/>
        <v>0</v>
      </c>
      <c r="V32" s="162">
        <f t="shared" si="13"/>
        <v>40822.269999999997</v>
      </c>
    </row>
    <row r="33" spans="1:24" x14ac:dyDescent="0.2">
      <c r="A33" s="155" t="s">
        <v>29</v>
      </c>
      <c r="B33" s="170">
        <v>5547</v>
      </c>
      <c r="C33" s="144">
        <f t="shared" si="2"/>
        <v>2.5140000000000002E-3</v>
      </c>
      <c r="D33" s="170">
        <v>1149</v>
      </c>
      <c r="E33" s="144">
        <f t="shared" si="3"/>
        <v>5.6453999999999997E-2</v>
      </c>
      <c r="F33" s="144">
        <f t="shared" si="4"/>
        <v>2.0493999999999998E-2</v>
      </c>
      <c r="G33" s="162">
        <f t="shared" si="5"/>
        <v>22541.09</v>
      </c>
      <c r="H33" s="162">
        <f t="shared" si="6"/>
        <v>132.6</v>
      </c>
      <c r="I33" s="162">
        <f t="shared" si="7"/>
        <v>22408.49</v>
      </c>
      <c r="J33" s="153">
        <f t="shared" si="8"/>
        <v>2.4799999999999999E-2</v>
      </c>
      <c r="K33" s="162">
        <f t="shared" si="9"/>
        <v>25826.34</v>
      </c>
      <c r="L33" s="348">
        <f t="shared" si="16"/>
        <v>0</v>
      </c>
      <c r="M33" s="342"/>
      <c r="N33" s="349">
        <f t="shared" si="17"/>
        <v>3417.85</v>
      </c>
      <c r="O33" s="350"/>
      <c r="P33" s="144">
        <f t="shared" si="10"/>
        <v>0</v>
      </c>
      <c r="Q33" s="144">
        <f t="shared" si="11"/>
        <v>0</v>
      </c>
      <c r="R33" s="162">
        <f t="shared" si="12"/>
        <v>0</v>
      </c>
      <c r="S33" s="162">
        <f t="shared" si="18"/>
        <v>25826.34</v>
      </c>
      <c r="T33" s="335">
        <f t="shared" si="14"/>
        <v>25826.34</v>
      </c>
      <c r="U33" s="339">
        <f t="shared" si="15"/>
        <v>0</v>
      </c>
      <c r="V33" s="162">
        <f t="shared" si="13"/>
        <v>25826.34</v>
      </c>
    </row>
    <row r="34" spans="1:24" x14ac:dyDescent="0.2">
      <c r="A34" s="155" t="s">
        <v>30</v>
      </c>
      <c r="B34" s="170">
        <v>3879</v>
      </c>
      <c r="C34" s="144">
        <f t="shared" si="2"/>
        <v>1.758E-3</v>
      </c>
      <c r="D34" s="170">
        <v>1876</v>
      </c>
      <c r="E34" s="144">
        <f t="shared" si="3"/>
        <v>9.2173000000000005E-2</v>
      </c>
      <c r="F34" s="144">
        <f t="shared" si="4"/>
        <v>3.1896000000000001E-2</v>
      </c>
      <c r="G34" s="162">
        <f t="shared" si="5"/>
        <v>35082.01</v>
      </c>
      <c r="H34" s="162">
        <f t="shared" si="6"/>
        <v>212.16</v>
      </c>
      <c r="I34" s="162">
        <f t="shared" si="7"/>
        <v>34869.85</v>
      </c>
      <c r="J34" s="153">
        <f t="shared" si="8"/>
        <v>4.3200000000000002E-2</v>
      </c>
      <c r="K34" s="162">
        <f t="shared" si="9"/>
        <v>44987.81</v>
      </c>
      <c r="L34" s="348">
        <f t="shared" si="16"/>
        <v>0</v>
      </c>
      <c r="M34" s="342"/>
      <c r="N34" s="349">
        <f t="shared" si="17"/>
        <v>10117.959999999999</v>
      </c>
      <c r="O34" s="350"/>
      <c r="P34" s="144">
        <f t="shared" si="10"/>
        <v>0</v>
      </c>
      <c r="Q34" s="144">
        <f t="shared" si="11"/>
        <v>0</v>
      </c>
      <c r="R34" s="162">
        <f t="shared" si="12"/>
        <v>0</v>
      </c>
      <c r="S34" s="162">
        <f t="shared" si="18"/>
        <v>44987.81</v>
      </c>
      <c r="T34" s="335">
        <f t="shared" si="14"/>
        <v>44987.81</v>
      </c>
      <c r="U34" s="339">
        <f t="shared" si="15"/>
        <v>0</v>
      </c>
      <c r="V34" s="162">
        <f t="shared" si="13"/>
        <v>44987.81</v>
      </c>
    </row>
    <row r="35" spans="1:24" x14ac:dyDescent="0.2">
      <c r="A35" s="155" t="s">
        <v>31</v>
      </c>
      <c r="B35" s="170">
        <v>38777</v>
      </c>
      <c r="C35" s="144">
        <f t="shared" si="2"/>
        <v>1.7578E-2</v>
      </c>
      <c r="D35" s="170">
        <v>587</v>
      </c>
      <c r="E35" s="144">
        <f t="shared" si="3"/>
        <v>2.8840999999999999E-2</v>
      </c>
      <c r="F35" s="144">
        <f t="shared" si="4"/>
        <v>2.1332E-2</v>
      </c>
      <c r="G35" s="162">
        <f t="shared" si="5"/>
        <v>23462.799999999999</v>
      </c>
      <c r="H35" s="162">
        <f t="shared" si="6"/>
        <v>139.22999999999999</v>
      </c>
      <c r="I35" s="162">
        <f t="shared" si="7"/>
        <v>23323.57</v>
      </c>
      <c r="J35" s="153">
        <f t="shared" si="8"/>
        <v>1.89E-2</v>
      </c>
      <c r="K35" s="162">
        <f t="shared" si="9"/>
        <v>19682.169999999998</v>
      </c>
      <c r="L35" s="348">
        <f t="shared" si="16"/>
        <v>3641.4</v>
      </c>
      <c r="M35" s="342">
        <f>L35/$L$42</f>
        <v>1.9887999999999999E-2</v>
      </c>
      <c r="N35" s="349">
        <f t="shared" si="17"/>
        <v>0</v>
      </c>
      <c r="O35" s="350">
        <f>$O$42*M35</f>
        <v>1031.6500000000001</v>
      </c>
      <c r="P35" s="144">
        <f t="shared" si="10"/>
        <v>2.1332E-2</v>
      </c>
      <c r="Q35" s="144">
        <f t="shared" si="11"/>
        <v>2.7417E-2</v>
      </c>
      <c r="R35" s="162">
        <f t="shared" si="12"/>
        <v>1422.2</v>
      </c>
      <c r="S35" s="162">
        <f t="shared" si="18"/>
        <v>21104.37</v>
      </c>
      <c r="T35" s="335">
        <f t="shared" si="14"/>
        <v>20713.82</v>
      </c>
      <c r="U35" s="339">
        <f t="shared" si="15"/>
        <v>390.55</v>
      </c>
      <c r="V35" s="162">
        <f t="shared" si="13"/>
        <v>21104.37</v>
      </c>
    </row>
    <row r="36" spans="1:24" x14ac:dyDescent="0.2">
      <c r="A36" s="155" t="s">
        <v>401</v>
      </c>
      <c r="B36" s="170">
        <v>4695</v>
      </c>
      <c r="C36" s="144">
        <f t="shared" si="2"/>
        <v>2.1280000000000001E-3</v>
      </c>
      <c r="D36" s="170">
        <v>324</v>
      </c>
      <c r="E36" s="144">
        <f t="shared" si="3"/>
        <v>1.5918999999999999E-2</v>
      </c>
      <c r="F36" s="144">
        <f t="shared" si="4"/>
        <v>6.7250000000000001E-3</v>
      </c>
      <c r="G36" s="162">
        <f t="shared" si="5"/>
        <v>7396.74</v>
      </c>
      <c r="H36" s="162">
        <f t="shared" si="6"/>
        <v>46.41</v>
      </c>
      <c r="I36" s="162">
        <f t="shared" si="7"/>
        <v>7350.33</v>
      </c>
      <c r="J36" s="153">
        <f t="shared" si="8"/>
        <v>1.4E-2</v>
      </c>
      <c r="K36" s="162">
        <f t="shared" si="9"/>
        <v>14579.38</v>
      </c>
      <c r="L36" s="348">
        <f t="shared" si="16"/>
        <v>0</v>
      </c>
      <c r="M36" s="342"/>
      <c r="N36" s="349">
        <f t="shared" si="17"/>
        <v>7229.05</v>
      </c>
      <c r="O36" s="350"/>
      <c r="P36" s="144">
        <f t="shared" si="10"/>
        <v>0</v>
      </c>
      <c r="Q36" s="144">
        <f t="shared" si="11"/>
        <v>0</v>
      </c>
      <c r="R36" s="162">
        <f t="shared" si="12"/>
        <v>0</v>
      </c>
      <c r="S36" s="162">
        <f t="shared" si="18"/>
        <v>14579.38</v>
      </c>
      <c r="T36" s="335">
        <f t="shared" si="14"/>
        <v>14579.38</v>
      </c>
      <c r="U36" s="339">
        <f t="shared" si="15"/>
        <v>0</v>
      </c>
      <c r="V36" s="162">
        <f t="shared" si="13"/>
        <v>14579.38</v>
      </c>
    </row>
    <row r="37" spans="1:24" x14ac:dyDescent="0.2">
      <c r="A37" s="155" t="s">
        <v>33</v>
      </c>
      <c r="B37" s="170">
        <v>35039</v>
      </c>
      <c r="C37" s="144">
        <f t="shared" si="2"/>
        <v>1.5883000000000001E-2</v>
      </c>
      <c r="D37" s="170">
        <v>2027</v>
      </c>
      <c r="E37" s="144">
        <f t="shared" si="3"/>
        <v>9.9592E-2</v>
      </c>
      <c r="F37" s="144">
        <f t="shared" si="4"/>
        <v>4.3785999999999999E-2</v>
      </c>
      <c r="G37" s="162">
        <f t="shared" si="5"/>
        <v>48159.67</v>
      </c>
      <c r="H37" s="162">
        <f t="shared" si="6"/>
        <v>291.73</v>
      </c>
      <c r="I37" s="162">
        <f t="shared" si="7"/>
        <v>47867.94</v>
      </c>
      <c r="J37" s="153">
        <f t="shared" si="8"/>
        <v>6.7699999999999996E-2</v>
      </c>
      <c r="K37" s="162">
        <f t="shared" si="9"/>
        <v>70501.73</v>
      </c>
      <c r="L37" s="348">
        <f t="shared" si="16"/>
        <v>0</v>
      </c>
      <c r="M37" s="342"/>
      <c r="N37" s="349">
        <f t="shared" si="17"/>
        <v>22633.79</v>
      </c>
      <c r="O37" s="350"/>
      <c r="P37" s="144">
        <f t="shared" si="10"/>
        <v>0</v>
      </c>
      <c r="Q37" s="144">
        <f t="shared" si="11"/>
        <v>0</v>
      </c>
      <c r="R37" s="162">
        <f t="shared" si="12"/>
        <v>0</v>
      </c>
      <c r="S37" s="162">
        <f t="shared" si="18"/>
        <v>70501.73</v>
      </c>
      <c r="T37" s="335">
        <f t="shared" si="14"/>
        <v>70501.73</v>
      </c>
      <c r="U37" s="339">
        <f t="shared" si="15"/>
        <v>0</v>
      </c>
      <c r="V37" s="162">
        <f t="shared" si="13"/>
        <v>70501.73</v>
      </c>
    </row>
    <row r="38" spans="1:24" x14ac:dyDescent="0.2">
      <c r="A38" s="155" t="s">
        <v>34</v>
      </c>
      <c r="B38" s="170">
        <v>6937</v>
      </c>
      <c r="C38" s="144">
        <f t="shared" si="2"/>
        <v>3.1449999999999998E-3</v>
      </c>
      <c r="D38" s="170">
        <v>1887</v>
      </c>
      <c r="E38" s="144">
        <f t="shared" si="3"/>
        <v>9.2714000000000005E-2</v>
      </c>
      <c r="F38" s="144">
        <f t="shared" si="4"/>
        <v>3.3001000000000003E-2</v>
      </c>
      <c r="G38" s="162">
        <f t="shared" si="5"/>
        <v>36297.39</v>
      </c>
      <c r="H38" s="162">
        <f t="shared" si="6"/>
        <v>218.79</v>
      </c>
      <c r="I38" s="162">
        <f t="shared" si="7"/>
        <v>36078.6</v>
      </c>
      <c r="J38" s="153">
        <f t="shared" si="8"/>
        <v>2.8400000000000002E-2</v>
      </c>
      <c r="K38" s="162">
        <f t="shared" si="9"/>
        <v>29575.32</v>
      </c>
      <c r="L38" s="348">
        <f t="shared" si="16"/>
        <v>6503.28</v>
      </c>
      <c r="M38" s="342">
        <f>L38/$L$42</f>
        <v>3.5518000000000001E-2</v>
      </c>
      <c r="N38" s="349">
        <f t="shared" si="17"/>
        <v>0</v>
      </c>
      <c r="O38" s="350">
        <f>$O$42*M38</f>
        <v>1842.42</v>
      </c>
      <c r="P38" s="144">
        <f t="shared" si="10"/>
        <v>3.3001000000000003E-2</v>
      </c>
      <c r="Q38" s="144">
        <f t="shared" si="11"/>
        <v>4.2414E-2</v>
      </c>
      <c r="R38" s="162">
        <f t="shared" si="12"/>
        <v>2200.14</v>
      </c>
      <c r="S38" s="162">
        <f t="shared" si="18"/>
        <v>31775.46</v>
      </c>
      <c r="T38" s="335">
        <f t="shared" si="14"/>
        <v>31417.74</v>
      </c>
      <c r="U38" s="339">
        <f t="shared" si="15"/>
        <v>357.72</v>
      </c>
      <c r="V38" s="162">
        <f t="shared" si="13"/>
        <v>31775.46</v>
      </c>
    </row>
    <row r="39" spans="1:24" x14ac:dyDescent="0.2">
      <c r="A39" s="155" t="s">
        <v>35</v>
      </c>
      <c r="B39" s="170">
        <v>3639</v>
      </c>
      <c r="C39" s="144">
        <f t="shared" si="2"/>
        <v>1.65E-3</v>
      </c>
      <c r="D39" s="170">
        <v>49</v>
      </c>
      <c r="E39" s="144">
        <f t="shared" si="3"/>
        <v>2.408E-3</v>
      </c>
      <c r="F39" s="144">
        <f t="shared" si="4"/>
        <v>1.903E-3</v>
      </c>
      <c r="G39" s="162">
        <f t="shared" si="5"/>
        <v>2093.09</v>
      </c>
      <c r="H39" s="162">
        <f t="shared" si="6"/>
        <v>13.26</v>
      </c>
      <c r="I39" s="162">
        <f t="shared" si="7"/>
        <v>2079.83</v>
      </c>
      <c r="J39" s="153">
        <f t="shared" si="8"/>
        <v>2.2000000000000001E-3</v>
      </c>
      <c r="K39" s="162">
        <f t="shared" si="9"/>
        <v>2291.0500000000002</v>
      </c>
      <c r="L39" s="348">
        <f t="shared" si="16"/>
        <v>0</v>
      </c>
      <c r="M39" s="342"/>
      <c r="N39" s="349">
        <f t="shared" si="17"/>
        <v>211.22</v>
      </c>
      <c r="O39" s="350"/>
      <c r="P39" s="144">
        <f t="shared" si="10"/>
        <v>0</v>
      </c>
      <c r="Q39" s="144">
        <f t="shared" si="11"/>
        <v>0</v>
      </c>
      <c r="R39" s="162">
        <f t="shared" si="12"/>
        <v>0</v>
      </c>
      <c r="S39" s="162">
        <f t="shared" si="18"/>
        <v>2291.0500000000002</v>
      </c>
      <c r="T39" s="335">
        <f t="shared" si="14"/>
        <v>2291.0500000000002</v>
      </c>
      <c r="U39" s="339">
        <f t="shared" si="15"/>
        <v>0</v>
      </c>
      <c r="V39" s="162">
        <f t="shared" si="13"/>
        <v>2291.0500000000002</v>
      </c>
    </row>
    <row r="40" spans="1:24" x14ac:dyDescent="0.2">
      <c r="A40" s="155" t="s">
        <v>36</v>
      </c>
      <c r="B40" s="170">
        <v>359423</v>
      </c>
      <c r="C40" s="144">
        <f t="shared" si="2"/>
        <v>0.16292799999999999</v>
      </c>
      <c r="D40" s="170">
        <v>1815</v>
      </c>
      <c r="E40" s="144">
        <f t="shared" si="3"/>
        <v>8.9176000000000005E-2</v>
      </c>
      <c r="F40" s="144">
        <f t="shared" si="4"/>
        <v>0.13834399999999999</v>
      </c>
      <c r="G40" s="162">
        <f t="shared" si="5"/>
        <v>152162.84</v>
      </c>
      <c r="H40" s="162">
        <f t="shared" si="6"/>
        <v>914.96</v>
      </c>
      <c r="I40" s="162">
        <f t="shared" si="7"/>
        <v>151247.88</v>
      </c>
      <c r="J40" s="153">
        <f t="shared" si="8"/>
        <v>0.1232</v>
      </c>
      <c r="K40" s="162">
        <f t="shared" si="9"/>
        <v>128298.58</v>
      </c>
      <c r="L40" s="348">
        <f t="shared" si="16"/>
        <v>22949.3</v>
      </c>
      <c r="M40" s="342">
        <f>L40/$L$42</f>
        <v>0.12533900000000001</v>
      </c>
      <c r="N40" s="349">
        <f t="shared" si="17"/>
        <v>0</v>
      </c>
      <c r="O40" s="350">
        <f>$O$42*M40</f>
        <v>6501.69</v>
      </c>
      <c r="P40" s="144">
        <f t="shared" si="10"/>
        <v>0.13834399999999999</v>
      </c>
      <c r="Q40" s="144">
        <f t="shared" si="11"/>
        <v>0.17780399999999999</v>
      </c>
      <c r="R40" s="162">
        <f t="shared" si="12"/>
        <v>9223.2099999999991</v>
      </c>
      <c r="S40" s="162">
        <f t="shared" si="18"/>
        <v>137521.79</v>
      </c>
      <c r="T40" s="335">
        <f t="shared" si="14"/>
        <v>134800.26999999999</v>
      </c>
      <c r="U40" s="339">
        <f t="shared" si="15"/>
        <v>2721.52</v>
      </c>
      <c r="V40" s="162">
        <f t="shared" si="13"/>
        <v>137521.79</v>
      </c>
    </row>
    <row r="41" spans="1:24" x14ac:dyDescent="0.2">
      <c r="A41" s="155" t="s">
        <v>37</v>
      </c>
      <c r="B41" s="170">
        <v>8863</v>
      </c>
      <c r="C41" s="144">
        <f t="shared" si="2"/>
        <v>4.0179999999999999E-3</v>
      </c>
      <c r="D41" s="170">
        <v>1124</v>
      </c>
      <c r="E41" s="144">
        <f t="shared" si="3"/>
        <v>5.5225000000000003E-2</v>
      </c>
      <c r="F41" s="144">
        <f t="shared" si="4"/>
        <v>2.1087000000000002E-2</v>
      </c>
      <c r="G41" s="151">
        <f t="shared" si="5"/>
        <v>23193.33</v>
      </c>
      <c r="H41" s="162">
        <f t="shared" si="6"/>
        <v>139.22999999999999</v>
      </c>
      <c r="I41" s="162">
        <f t="shared" si="7"/>
        <v>23054.1</v>
      </c>
      <c r="J41" s="171">
        <f t="shared" si="8"/>
        <v>4.0300000000000002E-2</v>
      </c>
      <c r="K41" s="151">
        <f t="shared" si="9"/>
        <v>41967.8</v>
      </c>
      <c r="L41" s="348">
        <f t="shared" si="16"/>
        <v>0</v>
      </c>
      <c r="M41" s="351"/>
      <c r="N41" s="349">
        <f t="shared" si="17"/>
        <v>18913.7</v>
      </c>
      <c r="O41" s="352"/>
      <c r="P41" s="144">
        <f t="shared" si="10"/>
        <v>0</v>
      </c>
      <c r="Q41" s="144">
        <f t="shared" si="11"/>
        <v>0</v>
      </c>
      <c r="R41" s="151">
        <f t="shared" si="12"/>
        <v>0</v>
      </c>
      <c r="S41" s="151">
        <f t="shared" si="18"/>
        <v>41967.8</v>
      </c>
      <c r="T41" s="335">
        <f t="shared" si="14"/>
        <v>41967.8</v>
      </c>
      <c r="U41" s="339">
        <f t="shared" si="15"/>
        <v>0</v>
      </c>
      <c r="V41" s="162">
        <f t="shared" si="13"/>
        <v>41967.8</v>
      </c>
      <c r="W41" s="154"/>
      <c r="X41" s="151"/>
    </row>
    <row r="42" spans="1:24" ht="13.5" thickBot="1" x14ac:dyDescent="0.25">
      <c r="A42" s="150" t="s">
        <v>400</v>
      </c>
      <c r="B42" s="173">
        <f t="shared" ref="B42:K42" si="19">SUM(B25:B41)</f>
        <v>2206022</v>
      </c>
      <c r="C42" s="174">
        <f t="shared" si="19"/>
        <v>1</v>
      </c>
      <c r="D42" s="173">
        <f t="shared" si="19"/>
        <v>20353</v>
      </c>
      <c r="E42" s="175">
        <f t="shared" si="19"/>
        <v>1</v>
      </c>
      <c r="F42" s="175">
        <f t="shared" si="19"/>
        <v>1</v>
      </c>
      <c r="G42" s="164">
        <f t="shared" si="19"/>
        <v>1099887.51</v>
      </c>
      <c r="H42" s="176">
        <f t="shared" si="19"/>
        <v>6630.09</v>
      </c>
      <c r="I42" s="177">
        <f t="shared" si="19"/>
        <v>1093257.42</v>
      </c>
      <c r="J42" s="178">
        <f t="shared" si="19"/>
        <v>1</v>
      </c>
      <c r="K42" s="164">
        <f t="shared" si="19"/>
        <v>1041384.54</v>
      </c>
      <c r="L42" s="353">
        <f>SUM(L25:L41)</f>
        <v>183097.15</v>
      </c>
      <c r="M42" s="354">
        <f>SUM(M25:M41)</f>
        <v>1</v>
      </c>
      <c r="N42" s="355">
        <f>SUM(N25:N41)</f>
        <v>131224.26999999999</v>
      </c>
      <c r="O42" s="356">
        <f>L42-N42</f>
        <v>51872.88</v>
      </c>
      <c r="P42" s="179">
        <f t="shared" ref="P42:U42" si="20">SUM(P25:P41)</f>
        <v>0.77807000000000004</v>
      </c>
      <c r="Q42" s="179">
        <f t="shared" si="20"/>
        <v>1</v>
      </c>
      <c r="R42" s="164">
        <f t="shared" si="20"/>
        <v>51872.89</v>
      </c>
      <c r="S42" s="164">
        <f t="shared" si="20"/>
        <v>1093257.43</v>
      </c>
      <c r="T42" s="338">
        <f t="shared" si="20"/>
        <v>1093257.4099999999</v>
      </c>
      <c r="U42" s="338">
        <f t="shared" si="20"/>
        <v>0.02</v>
      </c>
      <c r="V42" s="162">
        <f t="shared" si="13"/>
        <v>1093257.43</v>
      </c>
      <c r="W42" s="182">
        <f>C4</f>
        <v>1093257.43</v>
      </c>
      <c r="X42" s="183">
        <f>V42-W42</f>
        <v>0</v>
      </c>
    </row>
    <row r="43" spans="1:24" ht="13.5" thickTop="1" x14ac:dyDescent="0.2">
      <c r="E43" s="154"/>
      <c r="F43" s="180"/>
      <c r="G43" s="154"/>
      <c r="H43" s="152"/>
      <c r="I43" s="152"/>
      <c r="J43" s="181"/>
      <c r="K43" s="151"/>
      <c r="L43" s="151"/>
      <c r="M43" s="151"/>
      <c r="N43" s="151"/>
      <c r="O43" s="151"/>
      <c r="P43" s="154"/>
      <c r="R43" s="154"/>
      <c r="S43" s="151"/>
      <c r="T43" s="172"/>
    </row>
    <row r="44" spans="1:24" x14ac:dyDescent="0.2">
      <c r="J44"/>
    </row>
    <row r="45" spans="1:24" x14ac:dyDescent="0.2">
      <c r="J45"/>
    </row>
    <row r="46" spans="1:24" x14ac:dyDescent="0.2">
      <c r="J46"/>
    </row>
    <row r="47" spans="1:24" x14ac:dyDescent="0.2">
      <c r="J47"/>
    </row>
    <row r="48" spans="1:24" x14ac:dyDescent="0.2">
      <c r="J48"/>
    </row>
    <row r="49" spans="10:10" x14ac:dyDescent="0.2">
      <c r="J49"/>
    </row>
    <row r="50" spans="10:10" x14ac:dyDescent="0.2">
      <c r="J50"/>
    </row>
    <row r="51" spans="10:10" x14ac:dyDescent="0.2">
      <c r="J51"/>
    </row>
    <row r="52" spans="10:10" x14ac:dyDescent="0.2">
      <c r="J52"/>
    </row>
    <row r="53" spans="10:10" x14ac:dyDescent="0.2">
      <c r="J53"/>
    </row>
    <row r="54" spans="10:10" x14ac:dyDescent="0.2">
      <c r="J54"/>
    </row>
    <row r="55" spans="10:10" x14ac:dyDescent="0.2">
      <c r="J55"/>
    </row>
    <row r="56" spans="10:10" x14ac:dyDescent="0.2">
      <c r="J56"/>
    </row>
    <row r="57" spans="10:10" x14ac:dyDescent="0.2">
      <c r="J57"/>
    </row>
    <row r="58" spans="10:10" x14ac:dyDescent="0.2">
      <c r="J58"/>
    </row>
    <row r="59" spans="10:10" x14ac:dyDescent="0.2">
      <c r="J59"/>
    </row>
    <row r="60" spans="10:10" x14ac:dyDescent="0.2">
      <c r="J60"/>
    </row>
    <row r="61" spans="10:10" x14ac:dyDescent="0.2">
      <c r="J61"/>
    </row>
    <row r="62" spans="10:10" x14ac:dyDescent="0.2">
      <c r="J62"/>
    </row>
    <row r="63" spans="10:10" x14ac:dyDescent="0.2">
      <c r="J63"/>
    </row>
    <row r="64" spans="10:10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  <row r="74" spans="10:10" x14ac:dyDescent="0.2">
      <c r="J74"/>
    </row>
    <row r="75" spans="10:10" x14ac:dyDescent="0.2">
      <c r="J75"/>
    </row>
    <row r="76" spans="10:10" x14ac:dyDescent="0.2">
      <c r="J76"/>
    </row>
    <row r="77" spans="10:10" x14ac:dyDescent="0.2">
      <c r="J77"/>
    </row>
    <row r="78" spans="10:10" x14ac:dyDescent="0.2">
      <c r="J78"/>
    </row>
    <row r="79" spans="10:10" x14ac:dyDescent="0.2">
      <c r="J79"/>
    </row>
    <row r="80" spans="10:10" x14ac:dyDescent="0.2">
      <c r="J80"/>
    </row>
    <row r="81" spans="10:10" x14ac:dyDescent="0.2">
      <c r="J81"/>
    </row>
    <row r="82" spans="10:10" x14ac:dyDescent="0.2">
      <c r="J82"/>
    </row>
    <row r="83" spans="10:10" x14ac:dyDescent="0.2">
      <c r="J83"/>
    </row>
    <row r="84" spans="10:10" x14ac:dyDescent="0.2">
      <c r="J84"/>
    </row>
    <row r="85" spans="10:10" x14ac:dyDescent="0.2">
      <c r="J85"/>
    </row>
    <row r="86" spans="10:10" x14ac:dyDescent="0.2">
      <c r="J86"/>
    </row>
    <row r="87" spans="10:10" x14ac:dyDescent="0.2">
      <c r="J87"/>
    </row>
    <row r="88" spans="10:10" x14ac:dyDescent="0.2">
      <c r="J88"/>
    </row>
    <row r="89" spans="10:10" x14ac:dyDescent="0.2">
      <c r="J89"/>
    </row>
    <row r="90" spans="10:10" x14ac:dyDescent="0.2">
      <c r="J90"/>
    </row>
    <row r="91" spans="10:10" x14ac:dyDescent="0.2">
      <c r="J91"/>
    </row>
    <row r="92" spans="10:10" x14ac:dyDescent="0.2">
      <c r="J92"/>
    </row>
    <row r="93" spans="10:10" x14ac:dyDescent="0.2">
      <c r="J93"/>
    </row>
    <row r="94" spans="10:10" x14ac:dyDescent="0.2">
      <c r="J94"/>
    </row>
    <row r="95" spans="10:10" x14ac:dyDescent="0.2">
      <c r="J95"/>
    </row>
    <row r="96" spans="10:10" x14ac:dyDescent="0.2">
      <c r="J96"/>
    </row>
    <row r="97" spans="10:10" x14ac:dyDescent="0.2">
      <c r="J97"/>
    </row>
    <row r="98" spans="10:10" x14ac:dyDescent="0.2">
      <c r="J98"/>
    </row>
    <row r="99" spans="10:10" x14ac:dyDescent="0.2">
      <c r="J99"/>
    </row>
    <row r="100" spans="10:10" x14ac:dyDescent="0.2">
      <c r="J100"/>
    </row>
    <row r="101" spans="10:10" x14ac:dyDescent="0.2">
      <c r="J101"/>
    </row>
    <row r="102" spans="10:10" x14ac:dyDescent="0.2">
      <c r="J102"/>
    </row>
    <row r="103" spans="10:10" x14ac:dyDescent="0.2">
      <c r="J103"/>
    </row>
    <row r="104" spans="10:10" x14ac:dyDescent="0.2">
      <c r="J104"/>
    </row>
    <row r="105" spans="10:10" x14ac:dyDescent="0.2">
      <c r="J105"/>
    </row>
    <row r="106" spans="10:10" x14ac:dyDescent="0.2">
      <c r="J106"/>
    </row>
    <row r="107" spans="10:10" x14ac:dyDescent="0.2">
      <c r="J107"/>
    </row>
    <row r="108" spans="10:10" x14ac:dyDescent="0.2">
      <c r="J108"/>
    </row>
    <row r="109" spans="10:10" x14ac:dyDescent="0.2">
      <c r="J109"/>
    </row>
    <row r="110" spans="10:10" x14ac:dyDescent="0.2">
      <c r="J110"/>
    </row>
    <row r="111" spans="10:10" x14ac:dyDescent="0.2">
      <c r="J111"/>
    </row>
    <row r="112" spans="10:10" x14ac:dyDescent="0.2">
      <c r="J112"/>
    </row>
    <row r="113" spans="10:10" x14ac:dyDescent="0.2">
      <c r="J113"/>
    </row>
    <row r="114" spans="10:10" x14ac:dyDescent="0.2">
      <c r="J114"/>
    </row>
    <row r="115" spans="10:10" x14ac:dyDescent="0.2">
      <c r="J115"/>
    </row>
    <row r="116" spans="10:10" x14ac:dyDescent="0.2">
      <c r="J116"/>
    </row>
    <row r="117" spans="10:10" x14ac:dyDescent="0.2">
      <c r="J117"/>
    </row>
    <row r="118" spans="10:10" x14ac:dyDescent="0.2">
      <c r="J118"/>
    </row>
    <row r="119" spans="10:10" x14ac:dyDescent="0.2">
      <c r="J119"/>
    </row>
    <row r="120" spans="10:10" x14ac:dyDescent="0.2">
      <c r="J120"/>
    </row>
    <row r="121" spans="10:10" x14ac:dyDescent="0.2">
      <c r="J121"/>
    </row>
    <row r="122" spans="10:10" x14ac:dyDescent="0.2">
      <c r="J122"/>
    </row>
    <row r="123" spans="10:10" x14ac:dyDescent="0.2">
      <c r="J123"/>
    </row>
    <row r="124" spans="10:10" x14ac:dyDescent="0.2">
      <c r="J124"/>
    </row>
    <row r="125" spans="10:10" x14ac:dyDescent="0.2">
      <c r="J125"/>
    </row>
    <row r="126" spans="10:10" x14ac:dyDescent="0.2">
      <c r="J126"/>
    </row>
    <row r="127" spans="10:10" x14ac:dyDescent="0.2">
      <c r="J127"/>
    </row>
    <row r="128" spans="10:10" x14ac:dyDescent="0.2">
      <c r="J128"/>
    </row>
    <row r="129" spans="10:10" x14ac:dyDescent="0.2">
      <c r="J129"/>
    </row>
    <row r="130" spans="10:10" x14ac:dyDescent="0.2">
      <c r="J130"/>
    </row>
    <row r="131" spans="10:10" x14ac:dyDescent="0.2">
      <c r="J131"/>
    </row>
    <row r="132" spans="10:10" x14ac:dyDescent="0.2">
      <c r="J132"/>
    </row>
    <row r="133" spans="10:10" x14ac:dyDescent="0.2">
      <c r="J133"/>
    </row>
    <row r="134" spans="10:10" x14ac:dyDescent="0.2">
      <c r="J134"/>
    </row>
    <row r="135" spans="10:10" x14ac:dyDescent="0.2">
      <c r="J135"/>
    </row>
    <row r="136" spans="10:10" x14ac:dyDescent="0.2">
      <c r="J136"/>
    </row>
    <row r="137" spans="10:10" x14ac:dyDescent="0.2">
      <c r="J137"/>
    </row>
    <row r="138" spans="10:10" x14ac:dyDescent="0.2">
      <c r="J138"/>
    </row>
    <row r="139" spans="10:10" x14ac:dyDescent="0.2">
      <c r="J139"/>
    </row>
    <row r="140" spans="10:10" x14ac:dyDescent="0.2">
      <c r="J140"/>
    </row>
    <row r="141" spans="10:10" x14ac:dyDescent="0.2">
      <c r="J141"/>
    </row>
    <row r="142" spans="10:10" x14ac:dyDescent="0.2">
      <c r="J142"/>
    </row>
    <row r="143" spans="10:10" x14ac:dyDescent="0.2">
      <c r="J143"/>
    </row>
    <row r="144" spans="10:10" x14ac:dyDescent="0.2">
      <c r="J144"/>
    </row>
    <row r="145" spans="10:10" x14ac:dyDescent="0.2">
      <c r="J145"/>
    </row>
    <row r="146" spans="10:10" x14ac:dyDescent="0.2">
      <c r="J146"/>
    </row>
    <row r="147" spans="10:10" x14ac:dyDescent="0.2">
      <c r="J147"/>
    </row>
    <row r="148" spans="10:10" x14ac:dyDescent="0.2">
      <c r="J148"/>
    </row>
    <row r="149" spans="10:10" x14ac:dyDescent="0.2">
      <c r="J149"/>
    </row>
    <row r="150" spans="10:10" x14ac:dyDescent="0.2">
      <c r="J150"/>
    </row>
    <row r="151" spans="10:10" x14ac:dyDescent="0.2">
      <c r="J151"/>
    </row>
    <row r="152" spans="10:10" x14ac:dyDescent="0.2">
      <c r="J152"/>
    </row>
    <row r="153" spans="10:10" x14ac:dyDescent="0.2">
      <c r="J153"/>
    </row>
    <row r="154" spans="10:10" x14ac:dyDescent="0.2">
      <c r="J154"/>
    </row>
    <row r="155" spans="10:10" x14ac:dyDescent="0.2">
      <c r="J155"/>
    </row>
    <row r="156" spans="10:10" x14ac:dyDescent="0.2">
      <c r="J156"/>
    </row>
    <row r="157" spans="10:10" x14ac:dyDescent="0.2">
      <c r="J157"/>
    </row>
    <row r="158" spans="10:10" x14ac:dyDescent="0.2">
      <c r="J158"/>
    </row>
    <row r="159" spans="10:10" x14ac:dyDescent="0.2">
      <c r="J159"/>
    </row>
    <row r="160" spans="10:10" x14ac:dyDescent="0.2">
      <c r="J160"/>
    </row>
    <row r="161" spans="10:10" x14ac:dyDescent="0.2">
      <c r="J161"/>
    </row>
    <row r="162" spans="10:10" x14ac:dyDescent="0.2">
      <c r="J162"/>
    </row>
    <row r="163" spans="10:10" x14ac:dyDescent="0.2">
      <c r="J163"/>
    </row>
    <row r="164" spans="10:10" x14ac:dyDescent="0.2">
      <c r="J164"/>
    </row>
    <row r="165" spans="10:10" x14ac:dyDescent="0.2">
      <c r="J165"/>
    </row>
    <row r="166" spans="10:10" x14ac:dyDescent="0.2">
      <c r="J166"/>
    </row>
    <row r="167" spans="10:10" x14ac:dyDescent="0.2">
      <c r="J167"/>
    </row>
    <row r="168" spans="10:10" x14ac:dyDescent="0.2">
      <c r="J168"/>
    </row>
    <row r="169" spans="10:10" x14ac:dyDescent="0.2">
      <c r="J169"/>
    </row>
    <row r="170" spans="10:10" x14ac:dyDescent="0.2">
      <c r="J170"/>
    </row>
    <row r="171" spans="10:10" x14ac:dyDescent="0.2">
      <c r="J171"/>
    </row>
    <row r="172" spans="10:10" x14ac:dyDescent="0.2">
      <c r="J172"/>
    </row>
    <row r="173" spans="10:10" x14ac:dyDescent="0.2">
      <c r="J173"/>
    </row>
    <row r="174" spans="10:10" x14ac:dyDescent="0.2">
      <c r="J174"/>
    </row>
    <row r="175" spans="10:10" x14ac:dyDescent="0.2">
      <c r="J175"/>
    </row>
    <row r="176" spans="10:10" x14ac:dyDescent="0.2">
      <c r="J176"/>
    </row>
    <row r="177" spans="10:10" x14ac:dyDescent="0.2">
      <c r="J177"/>
    </row>
    <row r="178" spans="10:10" x14ac:dyDescent="0.2">
      <c r="J178"/>
    </row>
    <row r="179" spans="10:10" x14ac:dyDescent="0.2">
      <c r="J179"/>
    </row>
    <row r="180" spans="10:10" x14ac:dyDescent="0.2">
      <c r="J180"/>
    </row>
    <row r="181" spans="10:10" x14ac:dyDescent="0.2">
      <c r="J181"/>
    </row>
    <row r="182" spans="10:10" x14ac:dyDescent="0.2">
      <c r="J182"/>
    </row>
    <row r="183" spans="10:10" x14ac:dyDescent="0.2">
      <c r="J183"/>
    </row>
    <row r="184" spans="10:10" x14ac:dyDescent="0.2">
      <c r="J184"/>
    </row>
    <row r="185" spans="10:10" x14ac:dyDescent="0.2">
      <c r="J185"/>
    </row>
    <row r="186" spans="10:10" x14ac:dyDescent="0.2">
      <c r="J186"/>
    </row>
    <row r="187" spans="10:10" x14ac:dyDescent="0.2">
      <c r="J187"/>
    </row>
    <row r="188" spans="10:10" x14ac:dyDescent="0.2">
      <c r="J188"/>
    </row>
    <row r="189" spans="10:10" x14ac:dyDescent="0.2">
      <c r="J189"/>
    </row>
    <row r="190" spans="10:10" x14ac:dyDescent="0.2">
      <c r="J190"/>
    </row>
    <row r="191" spans="10:10" x14ac:dyDescent="0.2">
      <c r="J191"/>
    </row>
    <row r="192" spans="10:10" x14ac:dyDescent="0.2">
      <c r="J192"/>
    </row>
    <row r="193" spans="10:10" x14ac:dyDescent="0.2">
      <c r="J193"/>
    </row>
    <row r="194" spans="10:10" x14ac:dyDescent="0.2">
      <c r="J194"/>
    </row>
    <row r="195" spans="10:10" x14ac:dyDescent="0.2">
      <c r="J195"/>
    </row>
    <row r="196" spans="10:10" x14ac:dyDescent="0.2">
      <c r="J196"/>
    </row>
    <row r="197" spans="10:10" x14ac:dyDescent="0.2">
      <c r="J197"/>
    </row>
    <row r="198" spans="10:10" x14ac:dyDescent="0.2">
      <c r="J198"/>
    </row>
    <row r="199" spans="10:10" x14ac:dyDescent="0.2">
      <c r="J199"/>
    </row>
    <row r="200" spans="10:10" x14ac:dyDescent="0.2">
      <c r="J200"/>
    </row>
    <row r="201" spans="10:10" x14ac:dyDescent="0.2">
      <c r="J201"/>
    </row>
    <row r="202" spans="10:10" x14ac:dyDescent="0.2">
      <c r="J202"/>
    </row>
    <row r="203" spans="10:10" x14ac:dyDescent="0.2">
      <c r="J203"/>
    </row>
    <row r="204" spans="10:10" x14ac:dyDescent="0.2">
      <c r="J204"/>
    </row>
    <row r="205" spans="10:10" x14ac:dyDescent="0.2">
      <c r="J205"/>
    </row>
    <row r="206" spans="10:10" x14ac:dyDescent="0.2">
      <c r="J206"/>
    </row>
    <row r="207" spans="10:10" x14ac:dyDescent="0.2">
      <c r="J207"/>
    </row>
    <row r="208" spans="10:10" x14ac:dyDescent="0.2">
      <c r="J208"/>
    </row>
    <row r="209" spans="10:10" x14ac:dyDescent="0.2">
      <c r="J209"/>
    </row>
    <row r="210" spans="10:10" x14ac:dyDescent="0.2">
      <c r="J210"/>
    </row>
    <row r="211" spans="10:10" x14ac:dyDescent="0.2">
      <c r="J211"/>
    </row>
    <row r="212" spans="10:10" x14ac:dyDescent="0.2">
      <c r="J212"/>
    </row>
    <row r="213" spans="10:10" x14ac:dyDescent="0.2">
      <c r="J213"/>
    </row>
    <row r="214" spans="10:10" x14ac:dyDescent="0.2">
      <c r="J214"/>
    </row>
    <row r="215" spans="10:10" x14ac:dyDescent="0.2">
      <c r="J215"/>
    </row>
    <row r="216" spans="10:10" x14ac:dyDescent="0.2">
      <c r="J216"/>
    </row>
    <row r="217" spans="10:10" x14ac:dyDescent="0.2">
      <c r="J217"/>
    </row>
    <row r="218" spans="10:10" x14ac:dyDescent="0.2">
      <c r="J218"/>
    </row>
    <row r="219" spans="10:10" x14ac:dyDescent="0.2">
      <c r="J219"/>
    </row>
    <row r="220" spans="10:10" x14ac:dyDescent="0.2">
      <c r="J220"/>
    </row>
    <row r="221" spans="10:10" x14ac:dyDescent="0.2">
      <c r="J221"/>
    </row>
    <row r="222" spans="10:10" x14ac:dyDescent="0.2">
      <c r="J222"/>
    </row>
    <row r="223" spans="10:10" x14ac:dyDescent="0.2">
      <c r="J223"/>
    </row>
    <row r="224" spans="10:10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  <row r="228" spans="10:10" x14ac:dyDescent="0.2">
      <c r="J228"/>
    </row>
    <row r="229" spans="10:10" x14ac:dyDescent="0.2">
      <c r="J229"/>
    </row>
    <row r="230" spans="10:10" x14ac:dyDescent="0.2">
      <c r="J230"/>
    </row>
    <row r="231" spans="10:10" x14ac:dyDescent="0.2">
      <c r="J231"/>
    </row>
    <row r="232" spans="10:10" x14ac:dyDescent="0.2">
      <c r="J232"/>
    </row>
    <row r="233" spans="10:10" x14ac:dyDescent="0.2">
      <c r="J233"/>
    </row>
    <row r="234" spans="10:10" x14ac:dyDescent="0.2">
      <c r="J234"/>
    </row>
    <row r="235" spans="10:10" x14ac:dyDescent="0.2">
      <c r="J235"/>
    </row>
    <row r="236" spans="10:10" x14ac:dyDescent="0.2">
      <c r="J236"/>
    </row>
    <row r="237" spans="10:10" x14ac:dyDescent="0.2">
      <c r="J237"/>
    </row>
    <row r="238" spans="10:10" x14ac:dyDescent="0.2">
      <c r="J238"/>
    </row>
    <row r="239" spans="10:10" x14ac:dyDescent="0.2">
      <c r="J239"/>
    </row>
    <row r="240" spans="10:10" x14ac:dyDescent="0.2">
      <c r="J240"/>
    </row>
    <row r="241" spans="10:10" x14ac:dyDescent="0.2">
      <c r="J241"/>
    </row>
    <row r="242" spans="10:10" x14ac:dyDescent="0.2">
      <c r="J242"/>
    </row>
    <row r="243" spans="10:10" x14ac:dyDescent="0.2">
      <c r="J243"/>
    </row>
    <row r="244" spans="10:10" x14ac:dyDescent="0.2">
      <c r="J244"/>
    </row>
    <row r="245" spans="10:10" x14ac:dyDescent="0.2">
      <c r="J245"/>
    </row>
    <row r="246" spans="10:10" x14ac:dyDescent="0.2">
      <c r="J246"/>
    </row>
    <row r="247" spans="10:10" x14ac:dyDescent="0.2">
      <c r="J247"/>
    </row>
    <row r="248" spans="10:10" x14ac:dyDescent="0.2">
      <c r="J248"/>
    </row>
    <row r="249" spans="10:10" x14ac:dyDescent="0.2">
      <c r="J249"/>
    </row>
    <row r="250" spans="10:10" x14ac:dyDescent="0.2">
      <c r="J250"/>
    </row>
    <row r="251" spans="10:10" x14ac:dyDescent="0.2">
      <c r="J251"/>
    </row>
    <row r="252" spans="10:10" x14ac:dyDescent="0.2">
      <c r="J252"/>
    </row>
    <row r="253" spans="10:10" x14ac:dyDescent="0.2">
      <c r="J253"/>
    </row>
    <row r="254" spans="10:10" x14ac:dyDescent="0.2">
      <c r="J254"/>
    </row>
    <row r="255" spans="10:10" x14ac:dyDescent="0.2">
      <c r="J255"/>
    </row>
    <row r="256" spans="10:10" x14ac:dyDescent="0.2">
      <c r="J256"/>
    </row>
    <row r="257" spans="10:10" x14ac:dyDescent="0.2">
      <c r="J257"/>
    </row>
    <row r="258" spans="10:10" x14ac:dyDescent="0.2">
      <c r="J258"/>
    </row>
    <row r="259" spans="10:10" x14ac:dyDescent="0.2">
      <c r="J259"/>
    </row>
    <row r="260" spans="10:10" x14ac:dyDescent="0.2">
      <c r="J260"/>
    </row>
    <row r="261" spans="10:10" x14ac:dyDescent="0.2">
      <c r="J261"/>
    </row>
    <row r="262" spans="10:10" x14ac:dyDescent="0.2">
      <c r="J262"/>
    </row>
    <row r="263" spans="10:10" x14ac:dyDescent="0.2">
      <c r="J263"/>
    </row>
    <row r="264" spans="10:10" x14ac:dyDescent="0.2">
      <c r="J264"/>
    </row>
    <row r="265" spans="10:10" x14ac:dyDescent="0.2">
      <c r="J265"/>
    </row>
    <row r="266" spans="10:10" x14ac:dyDescent="0.2">
      <c r="J266"/>
    </row>
    <row r="267" spans="10:10" x14ac:dyDescent="0.2">
      <c r="J267"/>
    </row>
    <row r="268" spans="10:10" x14ac:dyDescent="0.2">
      <c r="J268"/>
    </row>
    <row r="269" spans="10:10" x14ac:dyDescent="0.2">
      <c r="J269"/>
    </row>
    <row r="270" spans="10:10" x14ac:dyDescent="0.2">
      <c r="J270"/>
    </row>
    <row r="271" spans="10:10" x14ac:dyDescent="0.2">
      <c r="J271"/>
    </row>
    <row r="272" spans="10:10" x14ac:dyDescent="0.2">
      <c r="J272"/>
    </row>
    <row r="273" spans="10:10" x14ac:dyDescent="0.2">
      <c r="J273"/>
    </row>
    <row r="274" spans="10:10" x14ac:dyDescent="0.2">
      <c r="J274"/>
    </row>
    <row r="275" spans="10:10" x14ac:dyDescent="0.2">
      <c r="J275"/>
    </row>
    <row r="276" spans="10:10" x14ac:dyDescent="0.2">
      <c r="J276"/>
    </row>
    <row r="277" spans="10:10" x14ac:dyDescent="0.2">
      <c r="J277"/>
    </row>
    <row r="278" spans="10:10" x14ac:dyDescent="0.2">
      <c r="J278"/>
    </row>
    <row r="279" spans="10:10" x14ac:dyDescent="0.2">
      <c r="J279"/>
    </row>
    <row r="280" spans="10:10" x14ac:dyDescent="0.2">
      <c r="J280"/>
    </row>
    <row r="281" spans="10:10" x14ac:dyDescent="0.2">
      <c r="J281"/>
    </row>
    <row r="282" spans="10:10" x14ac:dyDescent="0.2">
      <c r="J282"/>
    </row>
    <row r="283" spans="10:10" x14ac:dyDescent="0.2">
      <c r="J283"/>
    </row>
    <row r="284" spans="10:10" x14ac:dyDescent="0.2">
      <c r="J284"/>
    </row>
    <row r="285" spans="10:10" x14ac:dyDescent="0.2">
      <c r="J285"/>
    </row>
    <row r="286" spans="10:10" x14ac:dyDescent="0.2">
      <c r="J286"/>
    </row>
    <row r="287" spans="10:10" x14ac:dyDescent="0.2">
      <c r="J287"/>
    </row>
    <row r="288" spans="10:10" x14ac:dyDescent="0.2">
      <c r="J288"/>
    </row>
    <row r="289" spans="10:10" x14ac:dyDescent="0.2">
      <c r="J289"/>
    </row>
    <row r="290" spans="10:10" x14ac:dyDescent="0.2">
      <c r="J290"/>
    </row>
    <row r="291" spans="10:10" x14ac:dyDescent="0.2">
      <c r="J291"/>
    </row>
    <row r="292" spans="10:10" x14ac:dyDescent="0.2">
      <c r="J292"/>
    </row>
    <row r="293" spans="10:10" x14ac:dyDescent="0.2">
      <c r="J293"/>
    </row>
    <row r="294" spans="10:10" x14ac:dyDescent="0.2">
      <c r="J294"/>
    </row>
    <row r="295" spans="10:10" x14ac:dyDescent="0.2">
      <c r="J295"/>
    </row>
    <row r="296" spans="10:10" x14ac:dyDescent="0.2">
      <c r="J296"/>
    </row>
    <row r="297" spans="10:10" x14ac:dyDescent="0.2">
      <c r="J297"/>
    </row>
    <row r="298" spans="10:10" x14ac:dyDescent="0.2">
      <c r="J298"/>
    </row>
    <row r="299" spans="10:10" x14ac:dyDescent="0.2">
      <c r="J299"/>
    </row>
    <row r="300" spans="10:10" x14ac:dyDescent="0.2">
      <c r="J300"/>
    </row>
    <row r="301" spans="10:10" x14ac:dyDescent="0.2">
      <c r="J301"/>
    </row>
    <row r="302" spans="10:10" x14ac:dyDescent="0.2">
      <c r="J302"/>
    </row>
    <row r="303" spans="10:10" x14ac:dyDescent="0.2">
      <c r="J303"/>
    </row>
    <row r="304" spans="10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/>
    </row>
    <row r="312" spans="10:10" x14ac:dyDescent="0.2">
      <c r="J312"/>
    </row>
    <row r="313" spans="10:10" x14ac:dyDescent="0.2">
      <c r="J313"/>
    </row>
    <row r="314" spans="10:10" x14ac:dyDescent="0.2">
      <c r="J314"/>
    </row>
    <row r="315" spans="10:10" x14ac:dyDescent="0.2">
      <c r="J315"/>
    </row>
    <row r="316" spans="10:10" x14ac:dyDescent="0.2">
      <c r="J316"/>
    </row>
    <row r="317" spans="10:10" x14ac:dyDescent="0.2">
      <c r="J317"/>
    </row>
    <row r="318" spans="10:10" x14ac:dyDescent="0.2">
      <c r="J318"/>
    </row>
    <row r="319" spans="10:10" x14ac:dyDescent="0.2">
      <c r="J319"/>
    </row>
    <row r="320" spans="10:10" x14ac:dyDescent="0.2">
      <c r="J320"/>
    </row>
    <row r="321" spans="10:10" x14ac:dyDescent="0.2">
      <c r="J321"/>
    </row>
    <row r="322" spans="10:10" x14ac:dyDescent="0.2">
      <c r="J322"/>
    </row>
    <row r="323" spans="10:10" x14ac:dyDescent="0.2">
      <c r="J323"/>
    </row>
    <row r="324" spans="10:10" x14ac:dyDescent="0.2">
      <c r="J324"/>
    </row>
    <row r="325" spans="10:10" x14ac:dyDescent="0.2">
      <c r="J325"/>
    </row>
    <row r="326" spans="10:10" x14ac:dyDescent="0.2">
      <c r="J326"/>
    </row>
    <row r="327" spans="10:10" x14ac:dyDescent="0.2">
      <c r="J327"/>
    </row>
    <row r="328" spans="10:10" x14ac:dyDescent="0.2">
      <c r="J328"/>
    </row>
    <row r="329" spans="10:10" x14ac:dyDescent="0.2">
      <c r="J329"/>
    </row>
    <row r="330" spans="10:10" x14ac:dyDescent="0.2">
      <c r="J330"/>
    </row>
    <row r="331" spans="10:10" x14ac:dyDescent="0.2">
      <c r="J331"/>
    </row>
    <row r="332" spans="10:10" x14ac:dyDescent="0.2">
      <c r="J332"/>
    </row>
    <row r="333" spans="10:10" x14ac:dyDescent="0.2">
      <c r="J333"/>
    </row>
    <row r="334" spans="10:10" x14ac:dyDescent="0.2">
      <c r="J334"/>
    </row>
    <row r="335" spans="10:10" x14ac:dyDescent="0.2">
      <c r="J335"/>
    </row>
    <row r="336" spans="10:10" x14ac:dyDescent="0.2">
      <c r="J336"/>
    </row>
    <row r="337" spans="10:10" x14ac:dyDescent="0.2">
      <c r="J337"/>
    </row>
    <row r="338" spans="10:10" x14ac:dyDescent="0.2">
      <c r="J338"/>
    </row>
    <row r="339" spans="10:10" x14ac:dyDescent="0.2">
      <c r="J339"/>
    </row>
    <row r="340" spans="10:10" x14ac:dyDescent="0.2">
      <c r="J340"/>
    </row>
    <row r="341" spans="10:10" x14ac:dyDescent="0.2">
      <c r="J341"/>
    </row>
    <row r="342" spans="10:10" x14ac:dyDescent="0.2">
      <c r="J342"/>
    </row>
    <row r="343" spans="10:10" x14ac:dyDescent="0.2">
      <c r="J343"/>
    </row>
    <row r="344" spans="10:10" x14ac:dyDescent="0.2">
      <c r="J344"/>
    </row>
    <row r="345" spans="10:10" x14ac:dyDescent="0.2">
      <c r="J345"/>
    </row>
    <row r="346" spans="10:10" x14ac:dyDescent="0.2">
      <c r="J346"/>
    </row>
    <row r="347" spans="10:10" x14ac:dyDescent="0.2">
      <c r="J347"/>
    </row>
    <row r="348" spans="10:10" x14ac:dyDescent="0.2">
      <c r="J348"/>
    </row>
    <row r="349" spans="10:10" x14ac:dyDescent="0.2">
      <c r="J349"/>
    </row>
    <row r="350" spans="10:10" x14ac:dyDescent="0.2">
      <c r="J350"/>
    </row>
    <row r="351" spans="10:10" x14ac:dyDescent="0.2">
      <c r="J351"/>
    </row>
    <row r="352" spans="10:10" x14ac:dyDescent="0.2">
      <c r="J352"/>
    </row>
    <row r="353" spans="10:10" x14ac:dyDescent="0.2">
      <c r="J353"/>
    </row>
    <row r="354" spans="10:10" x14ac:dyDescent="0.2">
      <c r="J354"/>
    </row>
    <row r="355" spans="10:10" x14ac:dyDescent="0.2">
      <c r="J355"/>
    </row>
    <row r="356" spans="10:10" x14ac:dyDescent="0.2">
      <c r="J356"/>
    </row>
    <row r="357" spans="10:10" x14ac:dyDescent="0.2">
      <c r="J357"/>
    </row>
    <row r="358" spans="10:10" x14ac:dyDescent="0.2">
      <c r="J358"/>
    </row>
    <row r="359" spans="10:10" x14ac:dyDescent="0.2">
      <c r="J359"/>
    </row>
    <row r="360" spans="10:10" x14ac:dyDescent="0.2">
      <c r="J360"/>
    </row>
    <row r="361" spans="10:10" x14ac:dyDescent="0.2">
      <c r="J361"/>
    </row>
    <row r="362" spans="10:10" x14ac:dyDescent="0.2">
      <c r="J362"/>
    </row>
    <row r="363" spans="10:10" x14ac:dyDescent="0.2">
      <c r="J363"/>
    </row>
    <row r="364" spans="10:10" x14ac:dyDescent="0.2">
      <c r="J364"/>
    </row>
    <row r="365" spans="10:10" x14ac:dyDescent="0.2">
      <c r="J365"/>
    </row>
    <row r="366" spans="10:10" x14ac:dyDescent="0.2">
      <c r="J366"/>
    </row>
    <row r="367" spans="10:10" x14ac:dyDescent="0.2">
      <c r="J367"/>
    </row>
    <row r="368" spans="10:1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  <row r="659" spans="10:10" x14ac:dyDescent="0.2">
      <c r="J659"/>
    </row>
    <row r="660" spans="10:10" x14ac:dyDescent="0.2">
      <c r="J660"/>
    </row>
    <row r="661" spans="10:10" x14ac:dyDescent="0.2">
      <c r="J661"/>
    </row>
    <row r="662" spans="10:10" x14ac:dyDescent="0.2">
      <c r="J662"/>
    </row>
    <row r="663" spans="10:10" x14ac:dyDescent="0.2">
      <c r="J663"/>
    </row>
    <row r="664" spans="10:10" x14ac:dyDescent="0.2">
      <c r="J664"/>
    </row>
    <row r="665" spans="10:10" x14ac:dyDescent="0.2">
      <c r="J665"/>
    </row>
    <row r="666" spans="10:10" x14ac:dyDescent="0.2">
      <c r="J666"/>
    </row>
    <row r="667" spans="10:10" x14ac:dyDescent="0.2">
      <c r="J667"/>
    </row>
    <row r="668" spans="10:10" x14ac:dyDescent="0.2">
      <c r="J668"/>
    </row>
    <row r="669" spans="10:10" x14ac:dyDescent="0.2">
      <c r="J669"/>
    </row>
    <row r="670" spans="10:10" x14ac:dyDescent="0.2">
      <c r="J670"/>
    </row>
    <row r="671" spans="10:10" x14ac:dyDescent="0.2">
      <c r="J671"/>
    </row>
    <row r="672" spans="10:10" x14ac:dyDescent="0.2">
      <c r="J672"/>
    </row>
    <row r="673" spans="10:10" x14ac:dyDescent="0.2">
      <c r="J673"/>
    </row>
    <row r="674" spans="10:10" x14ac:dyDescent="0.2">
      <c r="J674"/>
    </row>
    <row r="675" spans="10:10" x14ac:dyDescent="0.2">
      <c r="J675"/>
    </row>
    <row r="676" spans="10:10" x14ac:dyDescent="0.2">
      <c r="J676"/>
    </row>
    <row r="677" spans="10:10" x14ac:dyDescent="0.2">
      <c r="J677"/>
    </row>
    <row r="678" spans="10:10" x14ac:dyDescent="0.2">
      <c r="J678"/>
    </row>
    <row r="679" spans="10:10" x14ac:dyDescent="0.2">
      <c r="J679"/>
    </row>
    <row r="680" spans="10:10" x14ac:dyDescent="0.2">
      <c r="J680"/>
    </row>
    <row r="681" spans="10:10" x14ac:dyDescent="0.2">
      <c r="J681"/>
    </row>
    <row r="682" spans="10:10" x14ac:dyDescent="0.2">
      <c r="J682"/>
    </row>
    <row r="683" spans="10:10" x14ac:dyDescent="0.2">
      <c r="J683"/>
    </row>
    <row r="684" spans="10:10" x14ac:dyDescent="0.2">
      <c r="J684"/>
    </row>
    <row r="685" spans="10:10" x14ac:dyDescent="0.2">
      <c r="J685"/>
    </row>
    <row r="686" spans="10:10" x14ac:dyDescent="0.2">
      <c r="J686"/>
    </row>
    <row r="687" spans="10:10" x14ac:dyDescent="0.2">
      <c r="J687"/>
    </row>
    <row r="688" spans="10:10" x14ac:dyDescent="0.2">
      <c r="J688"/>
    </row>
    <row r="689" spans="10:10" x14ac:dyDescent="0.2">
      <c r="J689"/>
    </row>
    <row r="690" spans="10:10" x14ac:dyDescent="0.2">
      <c r="J690"/>
    </row>
    <row r="691" spans="10:10" x14ac:dyDescent="0.2">
      <c r="J691"/>
    </row>
    <row r="692" spans="10:10" x14ac:dyDescent="0.2">
      <c r="J692"/>
    </row>
    <row r="693" spans="10:10" x14ac:dyDescent="0.2">
      <c r="J693"/>
    </row>
    <row r="694" spans="10:10" x14ac:dyDescent="0.2">
      <c r="J694"/>
    </row>
    <row r="695" spans="10:10" x14ac:dyDescent="0.2">
      <c r="J695"/>
    </row>
    <row r="696" spans="10:10" x14ac:dyDescent="0.2">
      <c r="J696"/>
    </row>
    <row r="697" spans="10:10" x14ac:dyDescent="0.2">
      <c r="J697"/>
    </row>
    <row r="698" spans="10:10" x14ac:dyDescent="0.2">
      <c r="J698"/>
    </row>
    <row r="699" spans="10:10" x14ac:dyDescent="0.2">
      <c r="J699"/>
    </row>
    <row r="700" spans="10:10" x14ac:dyDescent="0.2">
      <c r="J700"/>
    </row>
    <row r="701" spans="10:10" x14ac:dyDescent="0.2">
      <c r="J701"/>
    </row>
    <row r="702" spans="10:10" x14ac:dyDescent="0.2">
      <c r="J702"/>
    </row>
    <row r="703" spans="10:10" x14ac:dyDescent="0.2">
      <c r="J703"/>
    </row>
    <row r="704" spans="10:10" x14ac:dyDescent="0.2">
      <c r="J704"/>
    </row>
    <row r="705" spans="10:10" x14ac:dyDescent="0.2">
      <c r="J705"/>
    </row>
    <row r="706" spans="10:10" x14ac:dyDescent="0.2">
      <c r="J706"/>
    </row>
    <row r="707" spans="10:10" x14ac:dyDescent="0.2">
      <c r="J707"/>
    </row>
    <row r="708" spans="10:10" x14ac:dyDescent="0.2">
      <c r="J708"/>
    </row>
    <row r="709" spans="10:10" x14ac:dyDescent="0.2">
      <c r="J709"/>
    </row>
    <row r="710" spans="10:10" x14ac:dyDescent="0.2">
      <c r="J710"/>
    </row>
    <row r="711" spans="10:10" x14ac:dyDescent="0.2">
      <c r="J711"/>
    </row>
    <row r="712" spans="10:10" x14ac:dyDescent="0.2">
      <c r="J712"/>
    </row>
    <row r="713" spans="10:10" x14ac:dyDescent="0.2">
      <c r="J713"/>
    </row>
    <row r="714" spans="10:10" x14ac:dyDescent="0.2">
      <c r="J714"/>
    </row>
    <row r="715" spans="10:10" x14ac:dyDescent="0.2">
      <c r="J715"/>
    </row>
    <row r="716" spans="10:10" x14ac:dyDescent="0.2">
      <c r="J716"/>
    </row>
    <row r="717" spans="10:10" x14ac:dyDescent="0.2">
      <c r="J717"/>
    </row>
    <row r="718" spans="10:10" x14ac:dyDescent="0.2">
      <c r="J718"/>
    </row>
    <row r="719" spans="10:10" x14ac:dyDescent="0.2">
      <c r="J719"/>
    </row>
    <row r="720" spans="10:10" x14ac:dyDescent="0.2">
      <c r="J720"/>
    </row>
    <row r="721" spans="10:10" x14ac:dyDescent="0.2">
      <c r="J721"/>
    </row>
    <row r="722" spans="10:10" x14ac:dyDescent="0.2">
      <c r="J722"/>
    </row>
    <row r="723" spans="10:10" x14ac:dyDescent="0.2">
      <c r="J723"/>
    </row>
    <row r="724" spans="10:10" x14ac:dyDescent="0.2">
      <c r="J724"/>
    </row>
    <row r="725" spans="10:10" x14ac:dyDescent="0.2">
      <c r="J725"/>
    </row>
    <row r="726" spans="10:10" x14ac:dyDescent="0.2">
      <c r="J726"/>
    </row>
    <row r="727" spans="10:10" x14ac:dyDescent="0.2">
      <c r="J727"/>
    </row>
    <row r="728" spans="10:10" x14ac:dyDescent="0.2">
      <c r="J728"/>
    </row>
    <row r="729" spans="10:10" x14ac:dyDescent="0.2">
      <c r="J729"/>
    </row>
    <row r="730" spans="10:10" x14ac:dyDescent="0.2">
      <c r="J730"/>
    </row>
    <row r="731" spans="10:10" x14ac:dyDescent="0.2">
      <c r="J731"/>
    </row>
    <row r="732" spans="10:10" x14ac:dyDescent="0.2">
      <c r="J732"/>
    </row>
    <row r="733" spans="10:10" x14ac:dyDescent="0.2">
      <c r="J733"/>
    </row>
    <row r="734" spans="10:10" x14ac:dyDescent="0.2">
      <c r="J734"/>
    </row>
    <row r="735" spans="10:10" x14ac:dyDescent="0.2">
      <c r="J735"/>
    </row>
    <row r="736" spans="10:10" x14ac:dyDescent="0.2">
      <c r="J736"/>
    </row>
    <row r="737" spans="10:10" x14ac:dyDescent="0.2">
      <c r="J737"/>
    </row>
    <row r="738" spans="10:10" x14ac:dyDescent="0.2">
      <c r="J738"/>
    </row>
    <row r="739" spans="10:10" x14ac:dyDescent="0.2">
      <c r="J739"/>
    </row>
    <row r="740" spans="10:10" x14ac:dyDescent="0.2">
      <c r="J740"/>
    </row>
    <row r="741" spans="10:10" x14ac:dyDescent="0.2">
      <c r="J741"/>
    </row>
    <row r="742" spans="10:10" x14ac:dyDescent="0.2">
      <c r="J742"/>
    </row>
    <row r="743" spans="10:10" x14ac:dyDescent="0.2">
      <c r="J743"/>
    </row>
    <row r="744" spans="10:10" x14ac:dyDescent="0.2">
      <c r="J744"/>
    </row>
    <row r="745" spans="10:10" x14ac:dyDescent="0.2">
      <c r="J745"/>
    </row>
    <row r="746" spans="10:10" x14ac:dyDescent="0.2">
      <c r="J746"/>
    </row>
    <row r="747" spans="10:10" x14ac:dyDescent="0.2">
      <c r="J747"/>
    </row>
    <row r="748" spans="10:10" x14ac:dyDescent="0.2">
      <c r="J748"/>
    </row>
    <row r="749" spans="10:10" x14ac:dyDescent="0.2">
      <c r="J749"/>
    </row>
    <row r="750" spans="10:10" x14ac:dyDescent="0.2">
      <c r="J750"/>
    </row>
    <row r="751" spans="10:10" x14ac:dyDescent="0.2">
      <c r="J751"/>
    </row>
    <row r="752" spans="10:10" x14ac:dyDescent="0.2">
      <c r="J752"/>
    </row>
    <row r="753" spans="10:10" x14ac:dyDescent="0.2">
      <c r="J753"/>
    </row>
    <row r="754" spans="10:10" x14ac:dyDescent="0.2">
      <c r="J754"/>
    </row>
    <row r="755" spans="10:10" x14ac:dyDescent="0.2">
      <c r="J755"/>
    </row>
    <row r="756" spans="10:10" x14ac:dyDescent="0.2">
      <c r="J756"/>
    </row>
    <row r="757" spans="10:10" x14ac:dyDescent="0.2">
      <c r="J757"/>
    </row>
    <row r="758" spans="10:10" x14ac:dyDescent="0.2">
      <c r="J758"/>
    </row>
    <row r="759" spans="10:10" x14ac:dyDescent="0.2">
      <c r="J759"/>
    </row>
    <row r="760" spans="10:10" x14ac:dyDescent="0.2">
      <c r="J760"/>
    </row>
    <row r="761" spans="10:10" x14ac:dyDescent="0.2">
      <c r="J761"/>
    </row>
    <row r="762" spans="10:10" x14ac:dyDescent="0.2">
      <c r="J762"/>
    </row>
    <row r="763" spans="10:10" x14ac:dyDescent="0.2">
      <c r="J763"/>
    </row>
    <row r="764" spans="10:10" x14ac:dyDescent="0.2">
      <c r="J764"/>
    </row>
    <row r="765" spans="10:10" x14ac:dyDescent="0.2">
      <c r="J765"/>
    </row>
    <row r="766" spans="10:10" x14ac:dyDescent="0.2">
      <c r="J766"/>
    </row>
    <row r="767" spans="10:10" x14ac:dyDescent="0.2">
      <c r="J767"/>
    </row>
    <row r="768" spans="10:10" x14ac:dyDescent="0.2">
      <c r="J768"/>
    </row>
    <row r="769" spans="10:10" x14ac:dyDescent="0.2">
      <c r="J769"/>
    </row>
    <row r="770" spans="10:10" x14ac:dyDescent="0.2">
      <c r="J770"/>
    </row>
    <row r="771" spans="10:10" x14ac:dyDescent="0.2">
      <c r="J771"/>
    </row>
    <row r="772" spans="10:10" x14ac:dyDescent="0.2">
      <c r="J772"/>
    </row>
    <row r="773" spans="10:10" x14ac:dyDescent="0.2">
      <c r="J773"/>
    </row>
    <row r="774" spans="10:10" x14ac:dyDescent="0.2">
      <c r="J774"/>
    </row>
    <row r="775" spans="10:10" x14ac:dyDescent="0.2">
      <c r="J775"/>
    </row>
    <row r="776" spans="10:10" x14ac:dyDescent="0.2">
      <c r="J776"/>
    </row>
    <row r="777" spans="10:10" x14ac:dyDescent="0.2">
      <c r="J777"/>
    </row>
    <row r="778" spans="10:10" x14ac:dyDescent="0.2">
      <c r="J778"/>
    </row>
    <row r="779" spans="10:10" x14ac:dyDescent="0.2">
      <c r="J779"/>
    </row>
    <row r="780" spans="10:10" x14ac:dyDescent="0.2">
      <c r="J780"/>
    </row>
    <row r="781" spans="10:10" x14ac:dyDescent="0.2">
      <c r="J781"/>
    </row>
    <row r="782" spans="10:10" x14ac:dyDescent="0.2">
      <c r="J782"/>
    </row>
    <row r="783" spans="10:10" x14ac:dyDescent="0.2">
      <c r="J783"/>
    </row>
    <row r="784" spans="10:10" x14ac:dyDescent="0.2">
      <c r="J784"/>
    </row>
    <row r="785" spans="10:10" x14ac:dyDescent="0.2">
      <c r="J785"/>
    </row>
    <row r="786" spans="10:10" x14ac:dyDescent="0.2">
      <c r="J786"/>
    </row>
    <row r="787" spans="10:10" x14ac:dyDescent="0.2">
      <c r="J787"/>
    </row>
    <row r="788" spans="10:10" x14ac:dyDescent="0.2">
      <c r="J788"/>
    </row>
    <row r="789" spans="10:10" x14ac:dyDescent="0.2">
      <c r="J789"/>
    </row>
    <row r="790" spans="10:10" x14ac:dyDescent="0.2">
      <c r="J790"/>
    </row>
    <row r="791" spans="10:10" x14ac:dyDescent="0.2">
      <c r="J791"/>
    </row>
    <row r="792" spans="10:10" x14ac:dyDescent="0.2">
      <c r="J792"/>
    </row>
    <row r="793" spans="10:10" x14ac:dyDescent="0.2">
      <c r="J793"/>
    </row>
    <row r="794" spans="10:10" x14ac:dyDescent="0.2">
      <c r="J794"/>
    </row>
    <row r="795" spans="10:10" x14ac:dyDescent="0.2">
      <c r="J795"/>
    </row>
    <row r="796" spans="10:10" x14ac:dyDescent="0.2">
      <c r="J796"/>
    </row>
    <row r="797" spans="10:10" x14ac:dyDescent="0.2">
      <c r="J797"/>
    </row>
    <row r="798" spans="10:10" x14ac:dyDescent="0.2">
      <c r="J798"/>
    </row>
    <row r="799" spans="10:10" x14ac:dyDescent="0.2">
      <c r="J799"/>
    </row>
    <row r="800" spans="10:10" x14ac:dyDescent="0.2">
      <c r="J800"/>
    </row>
    <row r="801" spans="10:10" x14ac:dyDescent="0.2">
      <c r="J801"/>
    </row>
    <row r="802" spans="10:10" x14ac:dyDescent="0.2">
      <c r="J802"/>
    </row>
    <row r="803" spans="10:10" x14ac:dyDescent="0.2">
      <c r="J803"/>
    </row>
    <row r="804" spans="10:10" x14ac:dyDescent="0.2">
      <c r="J804"/>
    </row>
    <row r="805" spans="10:10" x14ac:dyDescent="0.2">
      <c r="J805"/>
    </row>
    <row r="806" spans="10:10" x14ac:dyDescent="0.2">
      <c r="J806"/>
    </row>
    <row r="807" spans="10:10" x14ac:dyDescent="0.2">
      <c r="J807"/>
    </row>
    <row r="808" spans="10:10" x14ac:dyDescent="0.2">
      <c r="J808"/>
    </row>
    <row r="809" spans="10:10" x14ac:dyDescent="0.2">
      <c r="J809"/>
    </row>
    <row r="810" spans="10:10" x14ac:dyDescent="0.2">
      <c r="J810"/>
    </row>
    <row r="811" spans="10:10" x14ac:dyDescent="0.2">
      <c r="J811"/>
    </row>
    <row r="812" spans="10:10" x14ac:dyDescent="0.2">
      <c r="J812"/>
    </row>
    <row r="813" spans="10:10" x14ac:dyDescent="0.2">
      <c r="J813"/>
    </row>
    <row r="814" spans="10:10" x14ac:dyDescent="0.2">
      <c r="J814"/>
    </row>
    <row r="815" spans="10:10" x14ac:dyDescent="0.2">
      <c r="J815"/>
    </row>
    <row r="816" spans="10:10" x14ac:dyDescent="0.2">
      <c r="J816"/>
    </row>
    <row r="817" spans="10:10" x14ac:dyDescent="0.2">
      <c r="J817"/>
    </row>
    <row r="818" spans="10:10" x14ac:dyDescent="0.2">
      <c r="J818"/>
    </row>
    <row r="819" spans="10:10" x14ac:dyDescent="0.2">
      <c r="J819"/>
    </row>
    <row r="820" spans="10:10" x14ac:dyDescent="0.2">
      <c r="J820"/>
    </row>
    <row r="821" spans="10:10" x14ac:dyDescent="0.2">
      <c r="J821"/>
    </row>
    <row r="822" spans="10:10" x14ac:dyDescent="0.2">
      <c r="J822"/>
    </row>
    <row r="823" spans="10:10" x14ac:dyDescent="0.2">
      <c r="J823"/>
    </row>
    <row r="824" spans="10:10" x14ac:dyDescent="0.2">
      <c r="J824"/>
    </row>
    <row r="825" spans="10:10" x14ac:dyDescent="0.2">
      <c r="J825"/>
    </row>
    <row r="826" spans="10:10" x14ac:dyDescent="0.2">
      <c r="J826"/>
    </row>
    <row r="827" spans="10:10" x14ac:dyDescent="0.2">
      <c r="J827"/>
    </row>
    <row r="828" spans="10:10" x14ac:dyDescent="0.2">
      <c r="J828"/>
    </row>
    <row r="829" spans="10:10" x14ac:dyDescent="0.2">
      <c r="J829"/>
    </row>
    <row r="830" spans="10:10" x14ac:dyDescent="0.2">
      <c r="J830"/>
    </row>
    <row r="831" spans="10:10" x14ac:dyDescent="0.2">
      <c r="J831"/>
    </row>
    <row r="832" spans="10:10" x14ac:dyDescent="0.2">
      <c r="J832"/>
    </row>
    <row r="833" spans="10:10" x14ac:dyDescent="0.2">
      <c r="J833"/>
    </row>
    <row r="834" spans="10:10" x14ac:dyDescent="0.2">
      <c r="J834"/>
    </row>
    <row r="835" spans="10:10" x14ac:dyDescent="0.2">
      <c r="J835"/>
    </row>
    <row r="836" spans="10:10" x14ac:dyDescent="0.2">
      <c r="J836"/>
    </row>
    <row r="837" spans="10:10" x14ac:dyDescent="0.2">
      <c r="J837"/>
    </row>
    <row r="838" spans="10:10" x14ac:dyDescent="0.2">
      <c r="J838"/>
    </row>
    <row r="839" spans="10:10" x14ac:dyDescent="0.2">
      <c r="J839"/>
    </row>
    <row r="840" spans="10:10" x14ac:dyDescent="0.2">
      <c r="J840"/>
    </row>
    <row r="841" spans="10:10" x14ac:dyDescent="0.2">
      <c r="J841"/>
    </row>
    <row r="842" spans="10:10" x14ac:dyDescent="0.2">
      <c r="J842"/>
    </row>
    <row r="843" spans="10:10" x14ac:dyDescent="0.2">
      <c r="J843"/>
    </row>
    <row r="844" spans="10:10" x14ac:dyDescent="0.2">
      <c r="J844"/>
    </row>
    <row r="845" spans="10:10" x14ac:dyDescent="0.2">
      <c r="J845"/>
    </row>
    <row r="846" spans="10:10" x14ac:dyDescent="0.2">
      <c r="J846"/>
    </row>
    <row r="847" spans="10:10" x14ac:dyDescent="0.2">
      <c r="J847"/>
    </row>
    <row r="848" spans="10:10" x14ac:dyDescent="0.2">
      <c r="J848"/>
    </row>
    <row r="849" spans="10:10" x14ac:dyDescent="0.2">
      <c r="J849"/>
    </row>
    <row r="850" spans="10:10" x14ac:dyDescent="0.2">
      <c r="J850"/>
    </row>
    <row r="851" spans="10:10" x14ac:dyDescent="0.2">
      <c r="J851"/>
    </row>
    <row r="852" spans="10:10" x14ac:dyDescent="0.2">
      <c r="J852"/>
    </row>
    <row r="853" spans="10:10" x14ac:dyDescent="0.2">
      <c r="J853"/>
    </row>
    <row r="854" spans="10:10" x14ac:dyDescent="0.2">
      <c r="J854"/>
    </row>
    <row r="855" spans="10:10" x14ac:dyDescent="0.2">
      <c r="J855"/>
    </row>
    <row r="856" spans="10:10" x14ac:dyDescent="0.2">
      <c r="J856"/>
    </row>
    <row r="857" spans="10:10" x14ac:dyDescent="0.2">
      <c r="J857"/>
    </row>
    <row r="858" spans="10:10" x14ac:dyDescent="0.2">
      <c r="J858"/>
    </row>
    <row r="859" spans="10:10" x14ac:dyDescent="0.2">
      <c r="J859"/>
    </row>
    <row r="860" spans="10:10" x14ac:dyDescent="0.2">
      <c r="J860"/>
    </row>
    <row r="861" spans="10:10" x14ac:dyDescent="0.2">
      <c r="J861"/>
    </row>
    <row r="862" spans="10:10" x14ac:dyDescent="0.2">
      <c r="J862"/>
    </row>
    <row r="863" spans="10:10" x14ac:dyDescent="0.2">
      <c r="J863"/>
    </row>
    <row r="864" spans="10:10" x14ac:dyDescent="0.2">
      <c r="J864"/>
    </row>
    <row r="865" spans="10:10" x14ac:dyDescent="0.2">
      <c r="J865"/>
    </row>
    <row r="866" spans="10:10" x14ac:dyDescent="0.2">
      <c r="J866"/>
    </row>
    <row r="867" spans="10:10" x14ac:dyDescent="0.2">
      <c r="J867"/>
    </row>
    <row r="868" spans="10:10" x14ac:dyDescent="0.2">
      <c r="J868"/>
    </row>
    <row r="869" spans="10:10" x14ac:dyDescent="0.2">
      <c r="J869"/>
    </row>
    <row r="870" spans="10:10" x14ac:dyDescent="0.2">
      <c r="J870"/>
    </row>
    <row r="871" spans="10:10" x14ac:dyDescent="0.2">
      <c r="J871"/>
    </row>
    <row r="872" spans="10:10" x14ac:dyDescent="0.2">
      <c r="J872"/>
    </row>
    <row r="873" spans="10:10" x14ac:dyDescent="0.2">
      <c r="J873"/>
    </row>
    <row r="874" spans="10:10" x14ac:dyDescent="0.2">
      <c r="J874"/>
    </row>
    <row r="875" spans="10:10" x14ac:dyDescent="0.2">
      <c r="J875"/>
    </row>
    <row r="876" spans="10:10" x14ac:dyDescent="0.2">
      <c r="J876"/>
    </row>
    <row r="877" spans="10:10" x14ac:dyDescent="0.2">
      <c r="J877"/>
    </row>
    <row r="878" spans="10:10" x14ac:dyDescent="0.2">
      <c r="J878"/>
    </row>
    <row r="879" spans="10:10" x14ac:dyDescent="0.2">
      <c r="J879"/>
    </row>
    <row r="880" spans="10:10" x14ac:dyDescent="0.2">
      <c r="J880"/>
    </row>
    <row r="881" spans="10:10" x14ac:dyDescent="0.2">
      <c r="J881"/>
    </row>
    <row r="882" spans="10:10" x14ac:dyDescent="0.2">
      <c r="J882"/>
    </row>
    <row r="883" spans="10:10" x14ac:dyDescent="0.2">
      <c r="J883"/>
    </row>
    <row r="884" spans="10:10" x14ac:dyDescent="0.2">
      <c r="J884"/>
    </row>
    <row r="885" spans="10:10" x14ac:dyDescent="0.2">
      <c r="J885"/>
    </row>
    <row r="886" spans="10:10" x14ac:dyDescent="0.2">
      <c r="J886"/>
    </row>
    <row r="887" spans="10:10" x14ac:dyDescent="0.2">
      <c r="J887"/>
    </row>
    <row r="888" spans="10:10" x14ac:dyDescent="0.2">
      <c r="J888"/>
    </row>
    <row r="889" spans="10:10" x14ac:dyDescent="0.2">
      <c r="J889"/>
    </row>
    <row r="890" spans="10:10" x14ac:dyDescent="0.2">
      <c r="J890"/>
    </row>
    <row r="891" spans="10:10" x14ac:dyDescent="0.2">
      <c r="J891"/>
    </row>
    <row r="892" spans="10:10" x14ac:dyDescent="0.2">
      <c r="J892"/>
    </row>
    <row r="893" spans="10:10" x14ac:dyDescent="0.2">
      <c r="J893"/>
    </row>
    <row r="894" spans="10:10" x14ac:dyDescent="0.2">
      <c r="J894"/>
    </row>
    <row r="895" spans="10:10" x14ac:dyDescent="0.2">
      <c r="J895"/>
    </row>
    <row r="896" spans="10:10" x14ac:dyDescent="0.2">
      <c r="J896"/>
    </row>
    <row r="897" spans="10:10" x14ac:dyDescent="0.2">
      <c r="J897"/>
    </row>
    <row r="898" spans="10:10" x14ac:dyDescent="0.2">
      <c r="J898"/>
    </row>
    <row r="899" spans="10:10" x14ac:dyDescent="0.2">
      <c r="J899"/>
    </row>
    <row r="900" spans="10:10" x14ac:dyDescent="0.2">
      <c r="J900"/>
    </row>
    <row r="901" spans="10:10" x14ac:dyDescent="0.2">
      <c r="J901"/>
    </row>
    <row r="902" spans="10:10" x14ac:dyDescent="0.2">
      <c r="J902"/>
    </row>
    <row r="903" spans="10:10" x14ac:dyDescent="0.2">
      <c r="J903"/>
    </row>
    <row r="904" spans="10:10" x14ac:dyDescent="0.2">
      <c r="J904"/>
    </row>
    <row r="905" spans="10:10" x14ac:dyDescent="0.2">
      <c r="J905"/>
    </row>
    <row r="906" spans="10:10" x14ac:dyDescent="0.2">
      <c r="J906"/>
    </row>
    <row r="907" spans="10:10" x14ac:dyDescent="0.2">
      <c r="J907"/>
    </row>
    <row r="908" spans="10:10" x14ac:dyDescent="0.2">
      <c r="J908"/>
    </row>
    <row r="909" spans="10:10" x14ac:dyDescent="0.2">
      <c r="J909"/>
    </row>
    <row r="910" spans="10:10" x14ac:dyDescent="0.2">
      <c r="J910"/>
    </row>
    <row r="911" spans="10:10" x14ac:dyDescent="0.2">
      <c r="J911"/>
    </row>
    <row r="912" spans="10:10" x14ac:dyDescent="0.2">
      <c r="J912"/>
    </row>
    <row r="913" spans="10:10" x14ac:dyDescent="0.2">
      <c r="J913"/>
    </row>
    <row r="914" spans="10:10" x14ac:dyDescent="0.2">
      <c r="J914"/>
    </row>
    <row r="915" spans="10:10" x14ac:dyDescent="0.2">
      <c r="J915"/>
    </row>
    <row r="916" spans="10:10" x14ac:dyDescent="0.2">
      <c r="J916"/>
    </row>
    <row r="917" spans="10:10" x14ac:dyDescent="0.2">
      <c r="J917"/>
    </row>
    <row r="918" spans="10:10" x14ac:dyDescent="0.2">
      <c r="J918"/>
    </row>
    <row r="919" spans="10:10" x14ac:dyDescent="0.2">
      <c r="J919"/>
    </row>
    <row r="920" spans="10:10" x14ac:dyDescent="0.2">
      <c r="J920"/>
    </row>
    <row r="921" spans="10:10" x14ac:dyDescent="0.2">
      <c r="J921"/>
    </row>
    <row r="922" spans="10:10" x14ac:dyDescent="0.2">
      <c r="J922"/>
    </row>
    <row r="923" spans="10:10" x14ac:dyDescent="0.2">
      <c r="J923"/>
    </row>
    <row r="924" spans="10:10" x14ac:dyDescent="0.2">
      <c r="J924"/>
    </row>
    <row r="925" spans="10:10" x14ac:dyDescent="0.2">
      <c r="J925"/>
    </row>
    <row r="926" spans="10:10" x14ac:dyDescent="0.2">
      <c r="J926"/>
    </row>
    <row r="927" spans="10:10" x14ac:dyDescent="0.2">
      <c r="J927"/>
    </row>
    <row r="928" spans="10:10" x14ac:dyDescent="0.2">
      <c r="J928"/>
    </row>
    <row r="929" spans="10:10" x14ac:dyDescent="0.2">
      <c r="J929"/>
    </row>
    <row r="930" spans="10:10" x14ac:dyDescent="0.2">
      <c r="J930"/>
    </row>
    <row r="931" spans="10:10" x14ac:dyDescent="0.2">
      <c r="J931"/>
    </row>
    <row r="932" spans="10:10" x14ac:dyDescent="0.2">
      <c r="J932"/>
    </row>
    <row r="933" spans="10:10" x14ac:dyDescent="0.2">
      <c r="J933"/>
    </row>
    <row r="934" spans="10:10" x14ac:dyDescent="0.2">
      <c r="J934"/>
    </row>
    <row r="935" spans="10:10" x14ac:dyDescent="0.2">
      <c r="J935"/>
    </row>
    <row r="936" spans="10:10" x14ac:dyDescent="0.2">
      <c r="J936"/>
    </row>
    <row r="937" spans="10:10" x14ac:dyDescent="0.2">
      <c r="J937"/>
    </row>
    <row r="938" spans="10:10" x14ac:dyDescent="0.2">
      <c r="J938"/>
    </row>
    <row r="939" spans="10:10" x14ac:dyDescent="0.2">
      <c r="J939"/>
    </row>
    <row r="940" spans="10:10" x14ac:dyDescent="0.2">
      <c r="J940"/>
    </row>
    <row r="941" spans="10:10" x14ac:dyDescent="0.2">
      <c r="J941"/>
    </row>
    <row r="942" spans="10:10" x14ac:dyDescent="0.2">
      <c r="J942"/>
    </row>
    <row r="943" spans="10:10" x14ac:dyDescent="0.2">
      <c r="J943"/>
    </row>
    <row r="944" spans="10:10" x14ac:dyDescent="0.2">
      <c r="J944"/>
    </row>
    <row r="945" spans="10:10" x14ac:dyDescent="0.2">
      <c r="J945"/>
    </row>
    <row r="946" spans="10:10" x14ac:dyDescent="0.2">
      <c r="J946"/>
    </row>
    <row r="947" spans="10:10" x14ac:dyDescent="0.2">
      <c r="J947"/>
    </row>
    <row r="948" spans="10:10" x14ac:dyDescent="0.2">
      <c r="J948"/>
    </row>
    <row r="949" spans="10:10" x14ac:dyDescent="0.2">
      <c r="J949"/>
    </row>
    <row r="950" spans="10:10" x14ac:dyDescent="0.2">
      <c r="J950"/>
    </row>
    <row r="951" spans="10:10" x14ac:dyDescent="0.2">
      <c r="J951"/>
    </row>
    <row r="952" spans="10:10" x14ac:dyDescent="0.2">
      <c r="J952"/>
    </row>
    <row r="953" spans="10:10" x14ac:dyDescent="0.2">
      <c r="J953"/>
    </row>
    <row r="954" spans="10:10" x14ac:dyDescent="0.2">
      <c r="J954"/>
    </row>
    <row r="955" spans="10:10" x14ac:dyDescent="0.2">
      <c r="J955"/>
    </row>
    <row r="956" spans="10:10" x14ac:dyDescent="0.2">
      <c r="J956"/>
    </row>
    <row r="957" spans="10:10" x14ac:dyDescent="0.2">
      <c r="J957"/>
    </row>
    <row r="958" spans="10:10" x14ac:dyDescent="0.2">
      <c r="J958"/>
    </row>
    <row r="959" spans="10:10" x14ac:dyDescent="0.2">
      <c r="J959"/>
    </row>
    <row r="960" spans="10:10" x14ac:dyDescent="0.2">
      <c r="J960"/>
    </row>
    <row r="961" spans="10:10" x14ac:dyDescent="0.2">
      <c r="J961"/>
    </row>
    <row r="962" spans="10:10" x14ac:dyDescent="0.2">
      <c r="J962"/>
    </row>
    <row r="963" spans="10:10" x14ac:dyDescent="0.2">
      <c r="J963"/>
    </row>
    <row r="964" spans="10:10" x14ac:dyDescent="0.2">
      <c r="J964"/>
    </row>
    <row r="965" spans="10:10" x14ac:dyDescent="0.2">
      <c r="J965"/>
    </row>
    <row r="966" spans="10:10" x14ac:dyDescent="0.2">
      <c r="J966"/>
    </row>
    <row r="967" spans="10:10" x14ac:dyDescent="0.2">
      <c r="J967"/>
    </row>
    <row r="968" spans="10:10" x14ac:dyDescent="0.2">
      <c r="J968"/>
    </row>
    <row r="969" spans="10:10" x14ac:dyDescent="0.2">
      <c r="J969"/>
    </row>
    <row r="970" spans="10:10" x14ac:dyDescent="0.2">
      <c r="J970"/>
    </row>
    <row r="971" spans="10:10" x14ac:dyDescent="0.2">
      <c r="J971"/>
    </row>
    <row r="972" spans="10:10" x14ac:dyDescent="0.2">
      <c r="J972"/>
    </row>
    <row r="973" spans="10:10" x14ac:dyDescent="0.2">
      <c r="J973"/>
    </row>
    <row r="974" spans="10:10" x14ac:dyDescent="0.2">
      <c r="J974"/>
    </row>
    <row r="975" spans="10:10" x14ac:dyDescent="0.2">
      <c r="J975"/>
    </row>
    <row r="976" spans="10:10" x14ac:dyDescent="0.2">
      <c r="J976"/>
    </row>
    <row r="977" spans="10:10" x14ac:dyDescent="0.2">
      <c r="J977"/>
    </row>
    <row r="978" spans="10:10" x14ac:dyDescent="0.2">
      <c r="J978"/>
    </row>
    <row r="979" spans="10:10" x14ac:dyDescent="0.2">
      <c r="J979"/>
    </row>
    <row r="980" spans="10:10" x14ac:dyDescent="0.2">
      <c r="J980"/>
    </row>
    <row r="981" spans="10:10" x14ac:dyDescent="0.2">
      <c r="J981"/>
    </row>
    <row r="982" spans="10:10" x14ac:dyDescent="0.2">
      <c r="J982"/>
    </row>
    <row r="983" spans="10:10" x14ac:dyDescent="0.2">
      <c r="J983"/>
    </row>
    <row r="984" spans="10:10" x14ac:dyDescent="0.2">
      <c r="J984"/>
    </row>
    <row r="985" spans="10:10" x14ac:dyDescent="0.2">
      <c r="J985"/>
    </row>
    <row r="986" spans="10:10" x14ac:dyDescent="0.2">
      <c r="J986"/>
    </row>
    <row r="987" spans="10:10" x14ac:dyDescent="0.2">
      <c r="J987"/>
    </row>
    <row r="988" spans="10:10" x14ac:dyDescent="0.2">
      <c r="J988"/>
    </row>
    <row r="989" spans="10:10" x14ac:dyDescent="0.2">
      <c r="J989"/>
    </row>
    <row r="990" spans="10:10" x14ac:dyDescent="0.2">
      <c r="J990"/>
    </row>
    <row r="991" spans="10:10" x14ac:dyDescent="0.2">
      <c r="J991"/>
    </row>
    <row r="992" spans="10:10" x14ac:dyDescent="0.2">
      <c r="J992"/>
    </row>
    <row r="993" spans="10:10" x14ac:dyDescent="0.2">
      <c r="J993"/>
    </row>
    <row r="994" spans="10:10" x14ac:dyDescent="0.2">
      <c r="J994"/>
    </row>
    <row r="995" spans="10:10" x14ac:dyDescent="0.2">
      <c r="J995"/>
    </row>
    <row r="996" spans="10:10" x14ac:dyDescent="0.2">
      <c r="J996"/>
    </row>
    <row r="997" spans="10:10" x14ac:dyDescent="0.2">
      <c r="J997"/>
    </row>
    <row r="998" spans="10:10" x14ac:dyDescent="0.2">
      <c r="J998"/>
    </row>
    <row r="999" spans="10:10" x14ac:dyDescent="0.2">
      <c r="J999"/>
    </row>
    <row r="1000" spans="10:10" x14ac:dyDescent="0.2">
      <c r="J1000"/>
    </row>
    <row r="1001" spans="10:10" x14ac:dyDescent="0.2">
      <c r="J1001"/>
    </row>
    <row r="1002" spans="10:10" x14ac:dyDescent="0.2">
      <c r="J1002"/>
    </row>
    <row r="1003" spans="10:10" x14ac:dyDescent="0.2">
      <c r="J1003"/>
    </row>
    <row r="1004" spans="10:10" x14ac:dyDescent="0.2">
      <c r="J1004"/>
    </row>
    <row r="1005" spans="10:10" x14ac:dyDescent="0.2">
      <c r="J1005"/>
    </row>
    <row r="1006" spans="10:10" x14ac:dyDescent="0.2">
      <c r="J1006"/>
    </row>
    <row r="1007" spans="10:10" x14ac:dyDescent="0.2">
      <c r="J1007"/>
    </row>
    <row r="1008" spans="10:10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</sheetData>
  <mergeCells count="5">
    <mergeCell ref="L23:O23"/>
    <mergeCell ref="E2:F2"/>
    <mergeCell ref="E1:F1"/>
    <mergeCell ref="A23:B23"/>
    <mergeCell ref="A22:C22"/>
  </mergeCells>
  <phoneticPr fontId="0" type="noConversion"/>
  <pageMargins left="0.27" right="0.2" top="0.39" bottom="0.43" header="0.27" footer="0.22"/>
  <pageSetup scale="65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Z1051"/>
  <sheetViews>
    <sheetView topLeftCell="A63" zoomScaleNormal="100" workbookViewId="0">
      <selection activeCell="A68" sqref="A68"/>
    </sheetView>
  </sheetViews>
  <sheetFormatPr defaultRowHeight="12.75" x14ac:dyDescent="0.2"/>
  <cols>
    <col min="1" max="1" width="14.140625" customWidth="1"/>
    <col min="2" max="2" width="15" bestFit="1" customWidth="1"/>
    <col min="3" max="4" width="15" customWidth="1"/>
    <col min="5" max="5" width="12.7109375" customWidth="1"/>
    <col min="6" max="6" width="15" customWidth="1"/>
    <col min="7" max="7" width="13.28515625" customWidth="1"/>
    <col min="8" max="8" width="13.5703125" customWidth="1"/>
    <col min="9" max="9" width="14.85546875" customWidth="1"/>
    <col min="10" max="10" width="12.5703125" customWidth="1"/>
    <col min="11" max="11" width="14" bestFit="1" customWidth="1"/>
    <col min="12" max="12" width="14.28515625" style="155" customWidth="1"/>
    <col min="13" max="13" width="14.42578125" bestFit="1" customWidth="1"/>
    <col min="14" max="14" width="11.28515625" customWidth="1"/>
    <col min="15" max="15" width="13.28515625" customWidth="1"/>
    <col min="16" max="16" width="14.140625" customWidth="1"/>
    <col min="17" max="17" width="13.140625" customWidth="1"/>
    <col min="18" max="18" width="12.85546875" bestFit="1" customWidth="1"/>
    <col min="19" max="19" width="12.85546875" customWidth="1"/>
    <col min="20" max="20" width="15" customWidth="1"/>
    <col min="21" max="21" width="13.28515625" customWidth="1"/>
    <col min="22" max="24" width="12.85546875" bestFit="1" customWidth="1"/>
    <col min="25" max="25" width="11.28515625" bestFit="1" customWidth="1"/>
    <col min="26" max="26" width="12.85546875" bestFit="1" customWidth="1"/>
  </cols>
  <sheetData>
    <row r="1" spans="1:22" ht="37.5" hidden="1" customHeight="1" x14ac:dyDescent="0.2">
      <c r="A1" s="194" t="s">
        <v>410</v>
      </c>
      <c r="B1" s="148"/>
      <c r="C1" s="148"/>
      <c r="D1" s="149"/>
      <c r="E1" s="214" t="s">
        <v>641</v>
      </c>
      <c r="F1" s="214"/>
      <c r="G1" s="142"/>
      <c r="H1" s="142"/>
      <c r="I1" s="142"/>
      <c r="L1" s="150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25.5" hidden="1" customHeight="1" x14ac:dyDescent="0.2">
      <c r="A2" s="155" t="s">
        <v>651</v>
      </c>
      <c r="C2" s="156">
        <v>1957802.76</v>
      </c>
      <c r="E2" s="213" t="s">
        <v>411</v>
      </c>
      <c r="F2" s="213"/>
      <c r="G2" s="159">
        <f>IF(C4&lt;0,0,IF(C4&lt;C2,B3,0))</f>
        <v>0</v>
      </c>
      <c r="L2"/>
    </row>
    <row r="3" spans="1:22" ht="25.5" hidden="1" x14ac:dyDescent="0.2">
      <c r="A3" s="155" t="s">
        <v>652</v>
      </c>
      <c r="B3" s="156">
        <f>'s3,s3b, s3d'!$I$9</f>
        <v>2067785.7</v>
      </c>
      <c r="E3" s="160" t="s">
        <v>397</v>
      </c>
      <c r="F3" s="161" t="s">
        <v>398</v>
      </c>
      <c r="G3" s="161" t="s">
        <v>643</v>
      </c>
      <c r="H3" s="161" t="s">
        <v>399</v>
      </c>
      <c r="I3" s="161" t="s">
        <v>400</v>
      </c>
      <c r="L3"/>
    </row>
    <row r="4" spans="1:22" ht="25.5" hidden="1" x14ac:dyDescent="0.2">
      <c r="A4" s="157" t="s">
        <v>396</v>
      </c>
      <c r="B4" s="151">
        <f>'s3,s3b, s3d'!E85</f>
        <v>12464.63</v>
      </c>
      <c r="C4" s="158">
        <f>B3-B4</f>
        <v>2055321.07</v>
      </c>
      <c r="E4" s="155" t="s">
        <v>21</v>
      </c>
      <c r="F4" s="153">
        <v>1.67E-2</v>
      </c>
      <c r="G4" s="162">
        <f t="shared" ref="G4:G20" si="0">$G$2*F4</f>
        <v>0</v>
      </c>
      <c r="H4" s="151">
        <f>'s3,s3b, s3d'!E68</f>
        <v>261.76</v>
      </c>
      <c r="I4" s="162">
        <f t="shared" ref="I4:I20" si="1">G4-H4</f>
        <v>-261.76</v>
      </c>
      <c r="L4"/>
    </row>
    <row r="5" spans="1:22" hidden="1" x14ac:dyDescent="0.2">
      <c r="E5" s="155" t="s">
        <v>22</v>
      </c>
      <c r="F5" s="153">
        <v>2.7699999999999999E-2</v>
      </c>
      <c r="G5" s="162">
        <f t="shared" si="0"/>
        <v>0</v>
      </c>
      <c r="H5" s="151">
        <f>'s3,s3b, s3d'!E69</f>
        <v>211.9</v>
      </c>
      <c r="I5" s="162">
        <f t="shared" si="1"/>
        <v>-211.9</v>
      </c>
      <c r="L5"/>
    </row>
    <row r="6" spans="1:22" hidden="1" x14ac:dyDescent="0.2">
      <c r="E6" s="155" t="s">
        <v>23</v>
      </c>
      <c r="F6" s="153">
        <v>0.43830000000000002</v>
      </c>
      <c r="G6" s="162">
        <f t="shared" si="0"/>
        <v>0</v>
      </c>
      <c r="H6" s="151">
        <f>'s3,s3b, s3d'!E70</f>
        <v>6843.08</v>
      </c>
      <c r="I6" s="162">
        <f>(G6-H6)+J21</f>
        <v>-6843.08</v>
      </c>
      <c r="L6"/>
    </row>
    <row r="7" spans="1:22" hidden="1" x14ac:dyDescent="0.2">
      <c r="E7" s="155" t="s">
        <v>24</v>
      </c>
      <c r="F7" s="153">
        <v>1.55E-2</v>
      </c>
      <c r="G7" s="162">
        <f t="shared" si="0"/>
        <v>0</v>
      </c>
      <c r="H7" s="151">
        <f>'s3,s3b, s3d'!E71</f>
        <v>211.9</v>
      </c>
      <c r="I7" s="162">
        <f t="shared" si="1"/>
        <v>-211.9</v>
      </c>
      <c r="L7"/>
    </row>
    <row r="8" spans="1:22" hidden="1" x14ac:dyDescent="0.2">
      <c r="E8" s="155" t="s">
        <v>25</v>
      </c>
      <c r="F8" s="153">
        <v>6.5299999999999997E-2</v>
      </c>
      <c r="G8" s="162">
        <f t="shared" si="0"/>
        <v>0</v>
      </c>
      <c r="H8" s="151">
        <f>'s3,s3b, s3d'!E72</f>
        <v>411.33</v>
      </c>
      <c r="I8" s="162">
        <f t="shared" si="1"/>
        <v>-411.33</v>
      </c>
      <c r="L8"/>
    </row>
    <row r="9" spans="1:22" hidden="1" x14ac:dyDescent="0.2">
      <c r="E9" s="155" t="s">
        <v>26</v>
      </c>
      <c r="F9" s="153">
        <v>1.52E-2</v>
      </c>
      <c r="G9" s="162">
        <f t="shared" si="0"/>
        <v>0</v>
      </c>
      <c r="H9" s="151">
        <f>'s3,s3b, s3d'!E73</f>
        <v>99.72</v>
      </c>
      <c r="I9" s="162">
        <f t="shared" si="1"/>
        <v>-99.72</v>
      </c>
      <c r="L9"/>
    </row>
    <row r="10" spans="1:22" hidden="1" x14ac:dyDescent="0.2">
      <c r="E10" s="155" t="s">
        <v>27</v>
      </c>
      <c r="F10" s="153">
        <v>1.9400000000000001E-2</v>
      </c>
      <c r="G10" s="162">
        <f t="shared" si="0"/>
        <v>0</v>
      </c>
      <c r="H10" s="151">
        <f>'s3,s3b, s3d'!E74</f>
        <v>199.43</v>
      </c>
      <c r="I10" s="162">
        <f t="shared" si="1"/>
        <v>-199.43</v>
      </c>
      <c r="L10"/>
    </row>
    <row r="11" spans="1:22" hidden="1" x14ac:dyDescent="0.2">
      <c r="E11" s="155" t="s">
        <v>28</v>
      </c>
      <c r="F11" s="153">
        <v>3.9199999999999999E-2</v>
      </c>
      <c r="G11" s="162">
        <f t="shared" si="0"/>
        <v>0</v>
      </c>
      <c r="H11" s="151">
        <f>'s3,s3b, s3d'!E75</f>
        <v>261.76</v>
      </c>
      <c r="I11" s="162">
        <f t="shared" si="1"/>
        <v>-261.76</v>
      </c>
      <c r="L11"/>
    </row>
    <row r="12" spans="1:22" hidden="1" x14ac:dyDescent="0.2">
      <c r="E12" s="155" t="s">
        <v>29</v>
      </c>
      <c r="F12" s="153">
        <v>2.4799999999999999E-2</v>
      </c>
      <c r="G12" s="162">
        <f t="shared" si="0"/>
        <v>0</v>
      </c>
      <c r="H12" s="151">
        <f>'s3,s3b, s3d'!E76</f>
        <v>249.29</v>
      </c>
      <c r="I12" s="162">
        <f t="shared" si="1"/>
        <v>-249.29</v>
      </c>
      <c r="L12"/>
    </row>
    <row r="13" spans="1:22" hidden="1" x14ac:dyDescent="0.2">
      <c r="E13" s="155" t="s">
        <v>30</v>
      </c>
      <c r="F13" s="153">
        <v>4.3200000000000002E-2</v>
      </c>
      <c r="G13" s="162">
        <f t="shared" si="0"/>
        <v>0</v>
      </c>
      <c r="H13" s="151">
        <f>'s3,s3b, s3d'!E77</f>
        <v>398.87</v>
      </c>
      <c r="I13" s="162">
        <f t="shared" si="1"/>
        <v>-398.87</v>
      </c>
      <c r="L13"/>
    </row>
    <row r="14" spans="1:22" hidden="1" x14ac:dyDescent="0.2">
      <c r="E14" s="155" t="s">
        <v>31</v>
      </c>
      <c r="F14" s="153">
        <v>1.89E-2</v>
      </c>
      <c r="G14" s="162">
        <f t="shared" si="0"/>
        <v>0</v>
      </c>
      <c r="H14" s="151">
        <f>'s3,s3b, s3d'!E78</f>
        <v>261.76</v>
      </c>
      <c r="I14" s="162">
        <f t="shared" si="1"/>
        <v>-261.76</v>
      </c>
      <c r="L14"/>
    </row>
    <row r="15" spans="1:22" hidden="1" x14ac:dyDescent="0.2">
      <c r="E15" s="155" t="s">
        <v>401</v>
      </c>
      <c r="F15" s="153">
        <v>1.4E-2</v>
      </c>
      <c r="G15" s="162">
        <f t="shared" si="0"/>
        <v>0</v>
      </c>
      <c r="H15" s="151">
        <f>'s3,s3b, s3d'!E79</f>
        <v>87.25</v>
      </c>
      <c r="I15" s="162">
        <f t="shared" si="1"/>
        <v>-87.25</v>
      </c>
      <c r="L15"/>
    </row>
    <row r="16" spans="1:22" hidden="1" x14ac:dyDescent="0.2">
      <c r="E16" s="155" t="s">
        <v>33</v>
      </c>
      <c r="F16" s="153">
        <v>6.7699999999999996E-2</v>
      </c>
      <c r="G16" s="162">
        <f t="shared" si="0"/>
        <v>0</v>
      </c>
      <c r="H16" s="151">
        <f>'s3,s3b, s3d'!E80</f>
        <v>548.44000000000005</v>
      </c>
      <c r="I16" s="162">
        <f t="shared" si="1"/>
        <v>-548.44000000000005</v>
      </c>
      <c r="L16"/>
    </row>
    <row r="17" spans="1:24" hidden="1" x14ac:dyDescent="0.2">
      <c r="E17" s="155" t="s">
        <v>34</v>
      </c>
      <c r="F17" s="153">
        <v>2.8400000000000002E-2</v>
      </c>
      <c r="G17" s="162">
        <f t="shared" si="0"/>
        <v>0</v>
      </c>
      <c r="H17" s="151">
        <f>'s3,s3b, s3d'!E81</f>
        <v>411.33</v>
      </c>
      <c r="I17" s="162">
        <f t="shared" si="1"/>
        <v>-411.33</v>
      </c>
      <c r="L17"/>
    </row>
    <row r="18" spans="1:24" hidden="1" x14ac:dyDescent="0.2">
      <c r="E18" s="155" t="s">
        <v>35</v>
      </c>
      <c r="F18" s="153">
        <v>2.2000000000000001E-3</v>
      </c>
      <c r="G18" s="162">
        <f t="shared" si="0"/>
        <v>0</v>
      </c>
      <c r="H18" s="151">
        <f>'s3,s3b, s3d'!E82</f>
        <v>24.93</v>
      </c>
      <c r="I18" s="162">
        <f t="shared" si="1"/>
        <v>-24.93</v>
      </c>
      <c r="L18"/>
    </row>
    <row r="19" spans="1:24" hidden="1" x14ac:dyDescent="0.2">
      <c r="E19" s="155" t="s">
        <v>36</v>
      </c>
      <c r="F19" s="153">
        <v>0.1232</v>
      </c>
      <c r="G19" s="162">
        <f t="shared" si="0"/>
        <v>0</v>
      </c>
      <c r="H19" s="151">
        <f>'s3,s3b, s3d'!E83</f>
        <v>1720.12</v>
      </c>
      <c r="I19" s="162">
        <f t="shared" si="1"/>
        <v>-1720.12</v>
      </c>
      <c r="L19"/>
    </row>
    <row r="20" spans="1:24" hidden="1" x14ac:dyDescent="0.2">
      <c r="E20" s="155" t="s">
        <v>37</v>
      </c>
      <c r="F20" s="153">
        <v>4.0300000000000002E-2</v>
      </c>
      <c r="G20" s="162">
        <f t="shared" si="0"/>
        <v>0</v>
      </c>
      <c r="H20" s="151">
        <f>'s3,s3b, s3d'!E84</f>
        <v>261.76</v>
      </c>
      <c r="I20" s="162">
        <f t="shared" si="1"/>
        <v>-261.76</v>
      </c>
      <c r="L20"/>
    </row>
    <row r="21" spans="1:24" ht="13.5" hidden="1" thickBot="1" x14ac:dyDescent="0.25">
      <c r="E21" s="150" t="s">
        <v>243</v>
      </c>
      <c r="F21" s="163">
        <f>SUM(F4:F20)</f>
        <v>1</v>
      </c>
      <c r="G21" s="164">
        <f>SUM(G4:G20)</f>
        <v>0</v>
      </c>
      <c r="H21" s="165">
        <f>SUM(H4:H20)</f>
        <v>12464.63</v>
      </c>
      <c r="I21" s="164">
        <f>SUM(I4:I20)</f>
        <v>-12464.63</v>
      </c>
      <c r="J21" s="162">
        <f>G2-G21</f>
        <v>0</v>
      </c>
      <c r="L21"/>
    </row>
    <row r="22" spans="1:24" ht="28.5" hidden="1" customHeight="1" thickTop="1" thickBot="1" x14ac:dyDescent="0.25">
      <c r="A22" s="403" t="s">
        <v>653</v>
      </c>
      <c r="B22" s="403"/>
      <c r="C22" s="403"/>
      <c r="D22" s="403"/>
      <c r="E22" s="403"/>
      <c r="G22" s="150"/>
      <c r="H22" s="166"/>
      <c r="I22" s="195"/>
      <c r="J22" s="196"/>
      <c r="K22" s="195"/>
      <c r="L22"/>
    </row>
    <row r="23" spans="1:24" ht="40.5" hidden="1" customHeight="1" thickBot="1" x14ac:dyDescent="0.25">
      <c r="A23" s="401" t="s">
        <v>412</v>
      </c>
      <c r="B23" s="401"/>
      <c r="C23" s="151">
        <f>IF(C4&gt;C2,B3,0)</f>
        <v>2067785.7</v>
      </c>
      <c r="D23" s="151"/>
      <c r="E23" s="151"/>
      <c r="F23" s="151"/>
      <c r="L23"/>
      <c r="N23" s="398" t="s">
        <v>675</v>
      </c>
      <c r="O23" s="399"/>
      <c r="P23" s="399"/>
      <c r="Q23" s="400"/>
      <c r="R23" s="150" t="s">
        <v>650</v>
      </c>
    </row>
    <row r="24" spans="1:24" ht="89.25" hidden="1" x14ac:dyDescent="0.2">
      <c r="A24" s="167" t="s">
        <v>402</v>
      </c>
      <c r="B24" s="167" t="s">
        <v>403</v>
      </c>
      <c r="C24" s="167" t="s">
        <v>404</v>
      </c>
      <c r="D24" s="167" t="s">
        <v>654</v>
      </c>
      <c r="E24" s="167" t="s">
        <v>655</v>
      </c>
      <c r="F24" s="167" t="s">
        <v>405</v>
      </c>
      <c r="G24" s="167" t="s">
        <v>406</v>
      </c>
      <c r="H24" s="167" t="s">
        <v>645</v>
      </c>
      <c r="I24" s="168" t="s">
        <v>646</v>
      </c>
      <c r="J24" s="167" t="s">
        <v>407</v>
      </c>
      <c r="K24" s="167" t="s">
        <v>408</v>
      </c>
      <c r="L24" s="167" t="s">
        <v>647</v>
      </c>
      <c r="M24" s="324" t="s">
        <v>648</v>
      </c>
      <c r="N24" s="323" t="s">
        <v>676</v>
      </c>
      <c r="O24" s="323" t="s">
        <v>677</v>
      </c>
      <c r="P24" s="323" t="s">
        <v>678</v>
      </c>
      <c r="Q24" s="323" t="s">
        <v>679</v>
      </c>
      <c r="R24" s="167" t="s">
        <v>649</v>
      </c>
      <c r="S24" s="168" t="s">
        <v>413</v>
      </c>
      <c r="T24" s="169">
        <f>IF(C4-C2&gt;0,C4-C2,0)</f>
        <v>97518.31</v>
      </c>
      <c r="U24" s="167" t="s">
        <v>110</v>
      </c>
      <c r="V24" s="333" t="s">
        <v>680</v>
      </c>
      <c r="W24" s="334" t="s">
        <v>681</v>
      </c>
    </row>
    <row r="25" spans="1:24" hidden="1" x14ac:dyDescent="0.2">
      <c r="A25" s="155" t="s">
        <v>21</v>
      </c>
      <c r="B25" s="170">
        <v>54844</v>
      </c>
      <c r="C25" s="144">
        <f>B25/$B$60</f>
        <v>2.4861000000000001E-2</v>
      </c>
      <c r="D25" s="300">
        <v>54844</v>
      </c>
      <c r="E25" s="298">
        <f>D25/$B$25</f>
        <v>1</v>
      </c>
      <c r="F25" s="170">
        <v>248</v>
      </c>
      <c r="G25" s="144">
        <f>F25/$F$60</f>
        <v>1.2185E-2</v>
      </c>
      <c r="H25" s="144">
        <f>(C25*2/3)+(G25/3)</f>
        <v>2.0636000000000002E-2</v>
      </c>
      <c r="I25" s="162">
        <f>$C$23*H25</f>
        <v>42670.83</v>
      </c>
      <c r="J25" s="162">
        <f>H4</f>
        <v>261.76</v>
      </c>
      <c r="K25" s="162">
        <f>I25-J25</f>
        <v>42409.07</v>
      </c>
      <c r="L25" s="153">
        <f>F4</f>
        <v>1.67E-2</v>
      </c>
      <c r="M25" s="162">
        <f>$C$2*L25</f>
        <v>32695.31</v>
      </c>
      <c r="N25" s="325">
        <f>IF(K25&gt;M25, K25-M25,0)</f>
        <v>9713.76</v>
      </c>
      <c r="O25" s="326">
        <f>IF(N25&gt;0,ROUND((N25/$N$60),7),0)</f>
        <v>2.8219999999999999E-2</v>
      </c>
      <c r="P25" s="327">
        <f>IF(M25&gt;K25, M25-K25,0)</f>
        <v>0</v>
      </c>
      <c r="Q25" s="328">
        <f>O25*$Q$60</f>
        <v>2751.97</v>
      </c>
      <c r="R25" s="144">
        <f>IF(K25-M25&lt;=0,0,H25)</f>
        <v>2.0636000000000002E-2</v>
      </c>
      <c r="S25" s="144">
        <f>IF(R25=0,0,R25/$R$60)</f>
        <v>2.6522E-2</v>
      </c>
      <c r="T25" s="162">
        <f>S25*$T$24</f>
        <v>2586.38</v>
      </c>
      <c r="U25" s="162">
        <f>M25+T25</f>
        <v>35281.69</v>
      </c>
      <c r="V25" s="335">
        <f>M25+Q25</f>
        <v>35447.279999999999</v>
      </c>
      <c r="W25" s="339">
        <f>+U25-V25</f>
        <v>-165.59</v>
      </c>
      <c r="X25" s="162">
        <f>M25+T25</f>
        <v>35281.69</v>
      </c>
    </row>
    <row r="26" spans="1:24" hidden="1" x14ac:dyDescent="0.2">
      <c r="A26" s="155" t="s">
        <v>22</v>
      </c>
      <c r="B26" s="170">
        <v>25116</v>
      </c>
      <c r="C26" s="144">
        <f>B26/$B$60</f>
        <v>1.1384999999999999E-2</v>
      </c>
      <c r="D26" s="300">
        <v>16938</v>
      </c>
      <c r="E26" s="298">
        <f>+D26/$B$26</f>
        <v>0.67439099999999996</v>
      </c>
      <c r="F26" s="170">
        <v>595</v>
      </c>
      <c r="G26" s="144">
        <f>F26/$F$60</f>
        <v>2.9234E-2</v>
      </c>
      <c r="H26" s="144">
        <f>(C26*2/3)+(G26/3)</f>
        <v>1.7335E-2</v>
      </c>
      <c r="I26" s="162">
        <f>$C$23*H26</f>
        <v>35845.07</v>
      </c>
      <c r="J26" s="162">
        <f>H5</f>
        <v>211.9</v>
      </c>
      <c r="K26" s="162">
        <f>I26-J26</f>
        <v>35633.17</v>
      </c>
      <c r="L26" s="153">
        <f>F5</f>
        <v>2.7699999999999999E-2</v>
      </c>
      <c r="M26" s="162">
        <f>$C$2*L26</f>
        <v>54231.14</v>
      </c>
      <c r="N26" s="325">
        <f>IF(K26&gt;M26, K26-M26,0)</f>
        <v>0</v>
      </c>
      <c r="O26" s="326">
        <f>IF(N26&gt;0,ROUND((N26/$N$60),7),0)</f>
        <v>0</v>
      </c>
      <c r="P26" s="327">
        <f>IF(M26&gt;K26, M26-K26,0)</f>
        <v>18597.97</v>
      </c>
      <c r="Q26" s="328">
        <f>O26*$Q$60</f>
        <v>0</v>
      </c>
      <c r="R26" s="144">
        <f>IF(K26-M26&lt;=0,0,H26)</f>
        <v>0</v>
      </c>
      <c r="S26" s="144">
        <f>IF(R26=0,0,R26/$R$60)</f>
        <v>0</v>
      </c>
      <c r="T26" s="162">
        <f>S26*$T$24</f>
        <v>0</v>
      </c>
      <c r="U26" s="162">
        <f>M26+T26</f>
        <v>54231.14</v>
      </c>
      <c r="V26" s="335">
        <f>M26+Q26</f>
        <v>54231.14</v>
      </c>
      <c r="W26" s="339">
        <f t="shared" ref="W26:W60" si="2">+U26-V26</f>
        <v>0</v>
      </c>
      <c r="X26" s="162">
        <f>M26+T26</f>
        <v>54231.14</v>
      </c>
    </row>
    <row r="27" spans="1:24" hidden="1" x14ac:dyDescent="0.2">
      <c r="A27" s="302" t="s">
        <v>372</v>
      </c>
      <c r="B27" s="170"/>
      <c r="C27" s="144"/>
      <c r="D27" s="300">
        <v>8178</v>
      </c>
      <c r="E27" s="298">
        <f>+D27/$B$26</f>
        <v>0.32560899999999998</v>
      </c>
      <c r="F27" s="170"/>
      <c r="G27" s="144"/>
      <c r="H27" s="144"/>
      <c r="I27" s="162"/>
      <c r="J27" s="162"/>
      <c r="K27" s="162"/>
      <c r="L27" s="153"/>
      <c r="M27" s="162"/>
      <c r="N27" s="325" t="s">
        <v>81</v>
      </c>
      <c r="O27" s="326" t="s">
        <v>81</v>
      </c>
      <c r="P27" s="327"/>
      <c r="Q27" s="328"/>
      <c r="R27" s="144"/>
      <c r="S27" s="144"/>
      <c r="T27" s="162"/>
      <c r="U27" s="162"/>
      <c r="V27" s="335"/>
      <c r="W27" s="339">
        <f t="shared" si="2"/>
        <v>0</v>
      </c>
      <c r="X27" s="162"/>
    </row>
    <row r="28" spans="1:24" hidden="1" x14ac:dyDescent="0.2">
      <c r="A28" s="155" t="s">
        <v>23</v>
      </c>
      <c r="B28" s="170">
        <v>1549657</v>
      </c>
      <c r="C28" s="144">
        <f>B28/$B$60</f>
        <v>0.70246699999999995</v>
      </c>
      <c r="D28" s="300">
        <v>661506</v>
      </c>
      <c r="E28" s="298">
        <f t="shared" ref="E28:E33" si="3">+D28/$B$28</f>
        <v>0.426873</v>
      </c>
      <c r="F28" s="170">
        <v>4863</v>
      </c>
      <c r="G28" s="144">
        <f>F28/$F$60</f>
        <v>0.23893300000000001</v>
      </c>
      <c r="H28" s="144">
        <f>(C28*2/3)+(G28/3)</f>
        <v>0.547956</v>
      </c>
      <c r="I28" s="162">
        <f>$C$23*H28</f>
        <v>1133055.58</v>
      </c>
      <c r="J28" s="162">
        <f>H6</f>
        <v>6843.08</v>
      </c>
      <c r="K28" s="162">
        <f>I28-J28</f>
        <v>1126212.5</v>
      </c>
      <c r="L28" s="153">
        <f>F6</f>
        <v>0.43830000000000002</v>
      </c>
      <c r="M28" s="162">
        <f>$C$2*L28</f>
        <v>858104.95</v>
      </c>
      <c r="N28" s="325">
        <f>IF(K28&gt;M28, K28-M28,0)</f>
        <v>268107.55</v>
      </c>
      <c r="O28" s="326">
        <f>IF(N28&gt;0,ROUND((N28/$N$60),7),0)</f>
        <v>0.77888299999999999</v>
      </c>
      <c r="P28" s="327">
        <f>IF(M28&gt;K28, M28-K28,0)</f>
        <v>0</v>
      </c>
      <c r="Q28" s="328">
        <f>O28*$Q$60</f>
        <v>75955.350000000006</v>
      </c>
      <c r="R28" s="144">
        <f>IF(K28-M28&lt;=0,0,H28)</f>
        <v>0.547956</v>
      </c>
      <c r="S28" s="144">
        <f>IF(R28=0,0,R28/$R$60)</f>
        <v>0.70425000000000004</v>
      </c>
      <c r="T28" s="162">
        <f>S28*$T$24</f>
        <v>68677.27</v>
      </c>
      <c r="U28" s="162">
        <f>M28+T28-Z60</f>
        <v>926782.21</v>
      </c>
      <c r="V28" s="335">
        <f>M28+Q28</f>
        <v>934060.3</v>
      </c>
      <c r="W28" s="339">
        <f t="shared" si="2"/>
        <v>-7278.09</v>
      </c>
      <c r="X28" s="162">
        <f>M28+T28</f>
        <v>926782.22</v>
      </c>
    </row>
    <row r="29" spans="1:24" hidden="1" x14ac:dyDescent="0.2">
      <c r="A29" s="302" t="s">
        <v>373</v>
      </c>
      <c r="B29" s="170"/>
      <c r="C29" s="144"/>
      <c r="D29" s="300">
        <v>14842</v>
      </c>
      <c r="E29" s="298">
        <f t="shared" si="3"/>
        <v>9.5779999999999997E-3</v>
      </c>
      <c r="F29" s="170"/>
      <c r="G29" s="144"/>
      <c r="H29" s="144"/>
      <c r="I29" s="162"/>
      <c r="J29" s="162"/>
      <c r="K29" s="162"/>
      <c r="L29" s="153"/>
      <c r="M29" s="162"/>
      <c r="N29" s="325"/>
      <c r="O29" s="326"/>
      <c r="P29" s="327"/>
      <c r="Q29" s="328"/>
      <c r="R29" s="144"/>
      <c r="S29" s="144"/>
      <c r="T29" s="162"/>
      <c r="U29" s="162"/>
      <c r="V29" s="335"/>
      <c r="W29" s="339">
        <f t="shared" si="2"/>
        <v>0</v>
      </c>
      <c r="X29" s="162"/>
    </row>
    <row r="30" spans="1:24" hidden="1" x14ac:dyDescent="0.2">
      <c r="A30" s="302" t="s">
        <v>374</v>
      </c>
      <c r="B30" s="170"/>
      <c r="C30" s="144"/>
      <c r="D30" s="300">
        <v>209486</v>
      </c>
      <c r="E30" s="298">
        <f t="shared" si="3"/>
        <v>0.135182</v>
      </c>
      <c r="F30" s="170"/>
      <c r="G30" s="144"/>
      <c r="H30" s="144"/>
      <c r="I30" s="162"/>
      <c r="J30" s="162"/>
      <c r="K30" s="162"/>
      <c r="L30" s="153"/>
      <c r="M30" s="162"/>
      <c r="N30" s="325"/>
      <c r="O30" s="326"/>
      <c r="P30" s="327"/>
      <c r="Q30" s="328"/>
      <c r="R30" s="144"/>
      <c r="S30" s="144"/>
      <c r="T30" s="162"/>
      <c r="U30" s="162"/>
      <c r="V30" s="335"/>
      <c r="W30" s="339">
        <f t="shared" si="2"/>
        <v>0</v>
      </c>
      <c r="X30" s="162"/>
    </row>
    <row r="31" spans="1:24" hidden="1" x14ac:dyDescent="0.2">
      <c r="A31" s="302" t="s">
        <v>375</v>
      </c>
      <c r="B31" s="170"/>
      <c r="C31" s="144"/>
      <c r="D31" s="300">
        <v>514640</v>
      </c>
      <c r="E31" s="298">
        <f t="shared" si="3"/>
        <v>0.33209899999999998</v>
      </c>
      <c r="F31" s="170"/>
      <c r="G31" s="144"/>
      <c r="H31" s="144"/>
      <c r="I31" s="162"/>
      <c r="J31" s="162"/>
      <c r="K31" s="162"/>
      <c r="L31" s="153"/>
      <c r="M31" s="162"/>
      <c r="N31" s="325"/>
      <c r="O31" s="326"/>
      <c r="P31" s="327"/>
      <c r="Q31" s="328"/>
      <c r="R31" s="144"/>
      <c r="S31" s="144"/>
      <c r="T31" s="162"/>
      <c r="U31" s="162"/>
      <c r="V31" s="335"/>
      <c r="W31" s="339">
        <f t="shared" si="2"/>
        <v>0</v>
      </c>
      <c r="X31" s="162"/>
    </row>
    <row r="32" spans="1:24" hidden="1" x14ac:dyDescent="0.2">
      <c r="A32" s="302" t="s">
        <v>376</v>
      </c>
      <c r="B32" s="170"/>
      <c r="C32" s="144"/>
      <c r="D32" s="300">
        <v>13216</v>
      </c>
      <c r="E32" s="298">
        <f t="shared" si="3"/>
        <v>8.5280000000000009E-3</v>
      </c>
      <c r="F32" s="170"/>
      <c r="G32" s="144"/>
      <c r="H32" s="144"/>
      <c r="I32" s="162"/>
      <c r="J32" s="162"/>
      <c r="K32" s="162"/>
      <c r="L32" s="153"/>
      <c r="M32" s="162"/>
      <c r="N32" s="325"/>
      <c r="O32" s="326"/>
      <c r="P32" s="327"/>
      <c r="Q32" s="328"/>
      <c r="R32" s="144"/>
      <c r="S32" s="144"/>
      <c r="T32" s="162"/>
      <c r="U32" s="162"/>
      <c r="V32" s="335"/>
      <c r="W32" s="339">
        <f t="shared" si="2"/>
        <v>0</v>
      </c>
      <c r="X32" s="162"/>
    </row>
    <row r="33" spans="1:24" hidden="1" x14ac:dyDescent="0.2">
      <c r="A33" s="302" t="s">
        <v>656</v>
      </c>
      <c r="B33" s="170"/>
      <c r="C33" s="144"/>
      <c r="D33" s="300">
        <v>135967</v>
      </c>
      <c r="E33" s="298">
        <f t="shared" si="3"/>
        <v>8.7739999999999999E-2</v>
      </c>
      <c r="F33" s="170"/>
      <c r="G33" s="144"/>
      <c r="H33" s="144"/>
      <c r="I33" s="162"/>
      <c r="J33" s="162"/>
      <c r="K33" s="162"/>
      <c r="L33" s="153"/>
      <c r="M33" s="162"/>
      <c r="N33" s="325"/>
      <c r="O33" s="326"/>
      <c r="P33" s="327"/>
      <c r="Q33" s="328"/>
      <c r="R33" s="144"/>
      <c r="S33" s="144"/>
      <c r="T33" s="162"/>
      <c r="U33" s="162"/>
      <c r="V33" s="335"/>
      <c r="W33" s="339">
        <f t="shared" si="2"/>
        <v>0</v>
      </c>
      <c r="X33" s="162"/>
    </row>
    <row r="34" spans="1:24" hidden="1" x14ac:dyDescent="0.2">
      <c r="A34" s="155" t="s">
        <v>24</v>
      </c>
      <c r="B34" s="170">
        <v>44212</v>
      </c>
      <c r="C34" s="144">
        <f>B34/$B$60</f>
        <v>2.0042000000000001E-2</v>
      </c>
      <c r="D34" s="300">
        <v>44212</v>
      </c>
      <c r="E34" s="298">
        <f>D34/$B$34</f>
        <v>1</v>
      </c>
      <c r="F34" s="170">
        <v>210</v>
      </c>
      <c r="G34" s="144">
        <f>F34/$F$60</f>
        <v>1.0318000000000001E-2</v>
      </c>
      <c r="H34" s="144">
        <f>(C34*2/3)+(G34/3)</f>
        <v>1.6801E-2</v>
      </c>
      <c r="I34" s="162">
        <f>$C$23*H34</f>
        <v>34740.870000000003</v>
      </c>
      <c r="J34" s="162">
        <f>H7</f>
        <v>211.9</v>
      </c>
      <c r="K34" s="162">
        <f>I34-J34</f>
        <v>34528.97</v>
      </c>
      <c r="L34" s="153">
        <f>F7</f>
        <v>1.55E-2</v>
      </c>
      <c r="M34" s="162">
        <f>$C$2*L34</f>
        <v>30345.94</v>
      </c>
      <c r="N34" s="325">
        <f>IF(K34&gt;M34, K34-M34,0)</f>
        <v>4183.03</v>
      </c>
      <c r="O34" s="326">
        <f>IF(N34&gt;0,ROUND((N34/$N$60),7),0)</f>
        <v>1.2152E-2</v>
      </c>
      <c r="P34" s="327">
        <f>IF(M34&gt;K34, M34-K34,0)</f>
        <v>0</v>
      </c>
      <c r="Q34" s="328">
        <f>O34*$Q$60</f>
        <v>1185.04</v>
      </c>
      <c r="R34" s="144">
        <f>IF(K34-M34&lt;=0,0,H34)</f>
        <v>1.6801E-2</v>
      </c>
      <c r="S34" s="144">
        <f>IF(R34=0,0,R34/$R$60)</f>
        <v>2.1593000000000001E-2</v>
      </c>
      <c r="T34" s="162">
        <f>S34*$T$24</f>
        <v>2105.71</v>
      </c>
      <c r="U34" s="162">
        <f>M34+T34</f>
        <v>32451.65</v>
      </c>
      <c r="V34" s="335">
        <f>M34+Q34</f>
        <v>31530.98</v>
      </c>
      <c r="W34" s="339">
        <f t="shared" si="2"/>
        <v>920.67</v>
      </c>
      <c r="X34" s="162">
        <f>M34+T34</f>
        <v>32451.65</v>
      </c>
    </row>
    <row r="35" spans="1:24" hidden="1" x14ac:dyDescent="0.2">
      <c r="A35" s="155" t="s">
        <v>25</v>
      </c>
      <c r="B35" s="170">
        <v>46577</v>
      </c>
      <c r="C35" s="144">
        <f>B35/$B$60</f>
        <v>2.1114000000000001E-2</v>
      </c>
      <c r="D35" s="300">
        <v>21763</v>
      </c>
      <c r="E35" s="298">
        <f>D35/$B$35</f>
        <v>0.467248</v>
      </c>
      <c r="F35" s="170">
        <v>1174</v>
      </c>
      <c r="G35" s="144">
        <f>F35/$F$60</f>
        <v>5.7681999999999997E-2</v>
      </c>
      <c r="H35" s="144">
        <f>(C35*2/3)+(G35/3)</f>
        <v>3.3302999999999999E-2</v>
      </c>
      <c r="I35" s="162">
        <f>$C$23*H35</f>
        <v>68863.47</v>
      </c>
      <c r="J35" s="162">
        <f>H8</f>
        <v>411.33</v>
      </c>
      <c r="K35" s="162">
        <f>I35-J35</f>
        <v>68452.14</v>
      </c>
      <c r="L35" s="153">
        <f>F8</f>
        <v>6.5299999999999997E-2</v>
      </c>
      <c r="M35" s="162">
        <f>$C$2*L35</f>
        <v>127844.52</v>
      </c>
      <c r="N35" s="325">
        <f>IF(K35&gt;M35, K35-M35,0)</f>
        <v>0</v>
      </c>
      <c r="O35" s="326">
        <f>IF(N35&gt;0,ROUND((N35/$N$60),7),0)</f>
        <v>0</v>
      </c>
      <c r="P35" s="327">
        <f>IF(M35&gt;K35, M35-K35,0)</f>
        <v>59392.38</v>
      </c>
      <c r="Q35" s="328">
        <f>O35*$Q$60</f>
        <v>0</v>
      </c>
      <c r="R35" s="144">
        <f>IF(K35-M35&lt;=0,0,H35)</f>
        <v>0</v>
      </c>
      <c r="S35" s="144">
        <f>IF(R35=0,0,R35/$R$60)</f>
        <v>0</v>
      </c>
      <c r="T35" s="162">
        <f>S35*$T$24</f>
        <v>0</v>
      </c>
      <c r="U35" s="162">
        <f>M35+T35</f>
        <v>127844.52</v>
      </c>
      <c r="V35" s="335">
        <f>M35+Q35</f>
        <v>127844.52</v>
      </c>
      <c r="W35" s="339">
        <f t="shared" si="2"/>
        <v>0</v>
      </c>
      <c r="X35" s="162">
        <f>M35+T35</f>
        <v>127844.52</v>
      </c>
    </row>
    <row r="36" spans="1:24" hidden="1" x14ac:dyDescent="0.2">
      <c r="A36" s="302" t="s">
        <v>378</v>
      </c>
      <c r="B36" s="170"/>
      <c r="C36" s="144"/>
      <c r="D36" s="300">
        <v>2074</v>
      </c>
      <c r="E36" s="298">
        <f>D36/$B$35</f>
        <v>4.4527999999999998E-2</v>
      </c>
      <c r="F36" s="170"/>
      <c r="G36" s="144"/>
      <c r="H36" s="144"/>
      <c r="I36" s="162"/>
      <c r="J36" s="162"/>
      <c r="K36" s="162"/>
      <c r="L36" s="153"/>
      <c r="M36" s="162"/>
      <c r="N36" s="325"/>
      <c r="O36" s="326"/>
      <c r="P36" s="327"/>
      <c r="Q36" s="328"/>
      <c r="R36" s="144"/>
      <c r="S36" s="144"/>
      <c r="T36" s="162"/>
      <c r="U36" s="162"/>
      <c r="V36" s="335"/>
      <c r="W36" s="339">
        <f t="shared" si="2"/>
        <v>0</v>
      </c>
      <c r="X36" s="162"/>
    </row>
    <row r="37" spans="1:24" hidden="1" x14ac:dyDescent="0.2">
      <c r="A37" s="302" t="s">
        <v>133</v>
      </c>
      <c r="B37" s="170"/>
      <c r="C37" s="144"/>
      <c r="D37" s="300">
        <v>16690</v>
      </c>
      <c r="E37" s="298">
        <f>D37/$B$35</f>
        <v>0.35833100000000001</v>
      </c>
      <c r="F37" s="170"/>
      <c r="G37" s="144"/>
      <c r="H37" s="144"/>
      <c r="I37" s="162"/>
      <c r="J37" s="162"/>
      <c r="K37" s="162"/>
      <c r="L37" s="153"/>
      <c r="M37" s="162"/>
      <c r="N37" s="325"/>
      <c r="O37" s="326"/>
      <c r="P37" s="327"/>
      <c r="Q37" s="328"/>
      <c r="R37" s="144"/>
      <c r="S37" s="144"/>
      <c r="T37" s="162"/>
      <c r="U37" s="162"/>
      <c r="V37" s="335"/>
      <c r="W37" s="339">
        <f t="shared" si="2"/>
        <v>0</v>
      </c>
      <c r="X37" s="162"/>
    </row>
    <row r="38" spans="1:24" hidden="1" x14ac:dyDescent="0.2">
      <c r="A38" s="302" t="s">
        <v>379</v>
      </c>
      <c r="B38" s="170"/>
      <c r="C38" s="144"/>
      <c r="D38" s="300">
        <v>1389</v>
      </c>
      <c r="E38" s="298">
        <f>D38/$B$35</f>
        <v>2.9822000000000001E-2</v>
      </c>
      <c r="F38" s="170"/>
      <c r="G38" s="144"/>
      <c r="H38" s="144"/>
      <c r="I38" s="162"/>
      <c r="J38" s="162"/>
      <c r="K38" s="162"/>
      <c r="L38" s="153"/>
      <c r="M38" s="162"/>
      <c r="N38" s="325"/>
      <c r="O38" s="326"/>
      <c r="P38" s="327"/>
      <c r="Q38" s="328"/>
      <c r="R38" s="144"/>
      <c r="S38" s="144"/>
      <c r="T38" s="162"/>
      <c r="U38" s="162"/>
      <c r="V38" s="335"/>
      <c r="W38" s="339">
        <f t="shared" si="2"/>
        <v>0</v>
      </c>
      <c r="X38" s="162"/>
    </row>
    <row r="39" spans="1:24" hidden="1" x14ac:dyDescent="0.2">
      <c r="A39" s="302" t="s">
        <v>657</v>
      </c>
      <c r="B39" s="170"/>
      <c r="C39" s="144"/>
      <c r="D39" s="300">
        <v>4661</v>
      </c>
      <c r="E39" s="298">
        <f>D39/$B$35</f>
        <v>0.10007099999999999</v>
      </c>
      <c r="F39" s="170"/>
      <c r="G39" s="144"/>
      <c r="H39" s="144"/>
      <c r="I39" s="162"/>
      <c r="J39" s="162"/>
      <c r="K39" s="162"/>
      <c r="L39" s="153"/>
      <c r="M39" s="162"/>
      <c r="N39" s="325"/>
      <c r="O39" s="326"/>
      <c r="P39" s="327"/>
      <c r="Q39" s="328"/>
      <c r="R39" s="144"/>
      <c r="S39" s="144"/>
      <c r="T39" s="162"/>
      <c r="U39" s="162"/>
      <c r="V39" s="335"/>
      <c r="W39" s="339">
        <f t="shared" si="2"/>
        <v>0</v>
      </c>
      <c r="X39" s="162"/>
    </row>
    <row r="40" spans="1:24" hidden="1" x14ac:dyDescent="0.2">
      <c r="A40" s="155" t="s">
        <v>26</v>
      </c>
      <c r="B40" s="170">
        <v>1125</v>
      </c>
      <c r="C40" s="144">
        <f>B40/$B$60</f>
        <v>5.1000000000000004E-4</v>
      </c>
      <c r="D40" s="300">
        <v>1125</v>
      </c>
      <c r="E40" s="298">
        <f>D40/$B$40</f>
        <v>1</v>
      </c>
      <c r="F40" s="170">
        <v>469</v>
      </c>
      <c r="G40" s="144">
        <f>F40/$F$60</f>
        <v>2.3043000000000001E-2</v>
      </c>
      <c r="H40" s="144">
        <f>(C40*2/3)+(G40/3)</f>
        <v>8.0210000000000004E-3</v>
      </c>
      <c r="I40" s="162">
        <f>$C$23*H40</f>
        <v>16585.71</v>
      </c>
      <c r="J40" s="162">
        <f>H9</f>
        <v>99.72</v>
      </c>
      <c r="K40" s="162">
        <f>I40-J40</f>
        <v>16485.990000000002</v>
      </c>
      <c r="L40" s="153">
        <f>F9</f>
        <v>1.52E-2</v>
      </c>
      <c r="M40" s="162">
        <f>$C$2*L40</f>
        <v>29758.6</v>
      </c>
      <c r="N40" s="325">
        <f>IF(K40&gt;M40, K40-M40,0)</f>
        <v>0</v>
      </c>
      <c r="O40" s="326">
        <f>IF(N40&gt;0,ROUND((N40/$N$60),7),0)</f>
        <v>0</v>
      </c>
      <c r="P40" s="327">
        <f>IF(M40&gt;K40, M40-K40,0)</f>
        <v>13272.61</v>
      </c>
      <c r="Q40" s="328">
        <f>O40*$Q$60</f>
        <v>0</v>
      </c>
      <c r="R40" s="144">
        <f>IF(K40-M40&lt;=0,0,H40)</f>
        <v>0</v>
      </c>
      <c r="S40" s="144">
        <f>IF(R40=0,0,R40/$R$60)</f>
        <v>0</v>
      </c>
      <c r="T40" s="162">
        <f>S40*$T$24</f>
        <v>0</v>
      </c>
      <c r="U40" s="162">
        <f>M40+T40</f>
        <v>29758.6</v>
      </c>
      <c r="V40" s="335">
        <f>M40+Q40</f>
        <v>29758.6</v>
      </c>
      <c r="W40" s="339">
        <f t="shared" si="2"/>
        <v>0</v>
      </c>
      <c r="X40" s="162">
        <f>M40+T40</f>
        <v>29758.6</v>
      </c>
    </row>
    <row r="41" spans="1:24" hidden="1" x14ac:dyDescent="0.2">
      <c r="A41" s="155" t="s">
        <v>27</v>
      </c>
      <c r="B41" s="170">
        <v>1384</v>
      </c>
      <c r="C41" s="144">
        <f>B41/$B$60</f>
        <v>6.2699999999999995E-4</v>
      </c>
      <c r="D41" s="300">
        <v>1384</v>
      </c>
      <c r="E41" s="298">
        <f>D41/$B$41</f>
        <v>1</v>
      </c>
      <c r="F41" s="170">
        <v>960</v>
      </c>
      <c r="G41" s="144">
        <f>F41/$F$60</f>
        <v>4.7167000000000001E-2</v>
      </c>
      <c r="H41" s="144">
        <f>(C41*2/3)+(G41/3)</f>
        <v>1.6140000000000002E-2</v>
      </c>
      <c r="I41" s="162">
        <f>$C$23*H41</f>
        <v>33374.06</v>
      </c>
      <c r="J41" s="162">
        <f>H10</f>
        <v>199.43</v>
      </c>
      <c r="K41" s="162">
        <f>I41-J41</f>
        <v>33174.629999999997</v>
      </c>
      <c r="L41" s="153">
        <f>F10</f>
        <v>1.9400000000000001E-2</v>
      </c>
      <c r="M41" s="162">
        <f>$C$2*L41</f>
        <v>37981.370000000003</v>
      </c>
      <c r="N41" s="325">
        <f>IF(K41&gt;M41, K41-M41,0)</f>
        <v>0</v>
      </c>
      <c r="O41" s="326">
        <f>IF(N41&gt;0,ROUND((N41/$N$60),7),0)</f>
        <v>0</v>
      </c>
      <c r="P41" s="327">
        <f>IF(M41&gt;K41, M41-K41,0)</f>
        <v>4806.74</v>
      </c>
      <c r="Q41" s="328">
        <f>O41*$Q$60</f>
        <v>0</v>
      </c>
      <c r="R41" s="144">
        <f>IF(K41-M41&lt;=0,0,H41)</f>
        <v>0</v>
      </c>
      <c r="S41" s="144">
        <f>IF(R41=0,0,R41/$R$60)</f>
        <v>0</v>
      </c>
      <c r="T41" s="162">
        <f>S41*$T$24</f>
        <v>0</v>
      </c>
      <c r="U41" s="162">
        <f>M41+T41</f>
        <v>37981.370000000003</v>
      </c>
      <c r="V41" s="335">
        <f>M41+Q41</f>
        <v>37981.370000000003</v>
      </c>
      <c r="W41" s="339">
        <f t="shared" si="2"/>
        <v>0</v>
      </c>
      <c r="X41" s="162">
        <f>M41+T41</f>
        <v>37981.370000000003</v>
      </c>
    </row>
    <row r="42" spans="1:24" hidden="1" x14ac:dyDescent="0.2">
      <c r="A42" s="155" t="s">
        <v>28</v>
      </c>
      <c r="B42" s="170">
        <v>16308</v>
      </c>
      <c r="C42" s="144">
        <f>B42/$B$60</f>
        <v>7.3920000000000001E-3</v>
      </c>
      <c r="D42" s="300">
        <v>9074</v>
      </c>
      <c r="E42" s="298">
        <f>D42/$B$42</f>
        <v>0.55641399999999996</v>
      </c>
      <c r="F42" s="170">
        <v>996</v>
      </c>
      <c r="G42" s="144">
        <f>F42/$F$60</f>
        <v>4.8936E-2</v>
      </c>
      <c r="H42" s="144">
        <f>(C42*2/3)+(G42/3)</f>
        <v>2.1239999999999998E-2</v>
      </c>
      <c r="I42" s="162">
        <f>$C$23*H42</f>
        <v>43919.77</v>
      </c>
      <c r="J42" s="162">
        <f>H11</f>
        <v>261.76</v>
      </c>
      <c r="K42" s="162">
        <f>I42-J42</f>
        <v>43658.01</v>
      </c>
      <c r="L42" s="153">
        <f>F11</f>
        <v>3.9199999999999999E-2</v>
      </c>
      <c r="M42" s="162">
        <f>$C$2*L42</f>
        <v>76745.87</v>
      </c>
      <c r="N42" s="325">
        <f>IF(K42&gt;M42, K42-M42,0)</f>
        <v>0</v>
      </c>
      <c r="O42" s="326">
        <f>IF(N42&gt;0,ROUND((N42/$N$60),7),0)</f>
        <v>0</v>
      </c>
      <c r="P42" s="327">
        <f>IF(M42&gt;K42, M42-K42,0)</f>
        <v>33087.86</v>
      </c>
      <c r="Q42" s="328">
        <f>O42*$Q$60</f>
        <v>0</v>
      </c>
      <c r="R42" s="144">
        <f>IF(K42-M42&lt;=0,0,H42)</f>
        <v>0</v>
      </c>
      <c r="S42" s="144">
        <f>IF(R42=0,0,R42/$R$60)</f>
        <v>0</v>
      </c>
      <c r="T42" s="162">
        <f>S42*$T$24</f>
        <v>0</v>
      </c>
      <c r="U42" s="162">
        <f>M42+T42</f>
        <v>76745.87</v>
      </c>
      <c r="V42" s="335">
        <f>M42+Q42</f>
        <v>76745.87</v>
      </c>
      <c r="W42" s="339">
        <f t="shared" si="2"/>
        <v>0</v>
      </c>
      <c r="X42" s="162">
        <f>M42+T42</f>
        <v>76745.87</v>
      </c>
    </row>
    <row r="43" spans="1:24" hidden="1" x14ac:dyDescent="0.2">
      <c r="A43" s="302" t="s">
        <v>381</v>
      </c>
      <c r="B43" s="170"/>
      <c r="C43" s="144"/>
      <c r="D43" s="300">
        <v>7234</v>
      </c>
      <c r="E43" s="298">
        <f>D43/$B$42</f>
        <v>0.44358599999999998</v>
      </c>
      <c r="F43" s="170"/>
      <c r="G43" s="144"/>
      <c r="H43" s="144"/>
      <c r="I43" s="162"/>
      <c r="J43" s="162"/>
      <c r="K43" s="162"/>
      <c r="L43" s="153"/>
      <c r="M43" s="162"/>
      <c r="N43" s="325"/>
      <c r="O43" s="326"/>
      <c r="P43" s="327"/>
      <c r="Q43" s="328"/>
      <c r="R43" s="144"/>
      <c r="S43" s="144"/>
      <c r="T43" s="162"/>
      <c r="U43" s="162"/>
      <c r="V43" s="335"/>
      <c r="W43" s="339">
        <f t="shared" si="2"/>
        <v>0</v>
      </c>
      <c r="X43" s="162"/>
    </row>
    <row r="44" spans="1:24" hidden="1" x14ac:dyDescent="0.2">
      <c r="A44" s="155" t="s">
        <v>29</v>
      </c>
      <c r="B44" s="170">
        <v>5547</v>
      </c>
      <c r="C44" s="144">
        <f>B44/$B$60</f>
        <v>2.5140000000000002E-3</v>
      </c>
      <c r="D44" s="300">
        <v>5547</v>
      </c>
      <c r="E44" s="298">
        <f>D44/$B$44</f>
        <v>1</v>
      </c>
      <c r="F44" s="170">
        <v>1149</v>
      </c>
      <c r="G44" s="144">
        <f>F44/$F$60</f>
        <v>5.6453999999999997E-2</v>
      </c>
      <c r="H44" s="144">
        <f>(C44*2/3)+(G44/3)</f>
        <v>2.0493999999999998E-2</v>
      </c>
      <c r="I44" s="162">
        <f>$C$23*H44</f>
        <v>42377.2</v>
      </c>
      <c r="J44" s="162">
        <f>H12</f>
        <v>249.29</v>
      </c>
      <c r="K44" s="162">
        <f>I44-J44</f>
        <v>42127.91</v>
      </c>
      <c r="L44" s="153">
        <f>F12</f>
        <v>2.4799999999999999E-2</v>
      </c>
      <c r="M44" s="162">
        <f>$C$2*L44</f>
        <v>48553.51</v>
      </c>
      <c r="N44" s="325">
        <f>IF(K44&gt;M44, K44-M44,0)</f>
        <v>0</v>
      </c>
      <c r="O44" s="326">
        <f>IF(N44&gt;0,ROUND((N44/$N$60),7),0)</f>
        <v>0</v>
      </c>
      <c r="P44" s="327">
        <f>IF(M44&gt;K44, M44-K44,0)</f>
        <v>6425.6</v>
      </c>
      <c r="Q44" s="328">
        <f>O44*$Q$60</f>
        <v>0</v>
      </c>
      <c r="R44" s="144">
        <f>IF(K44-M44&lt;=0,0,H44)</f>
        <v>0</v>
      </c>
      <c r="S44" s="144">
        <f>IF(R44=0,0,R44/$R$60)</f>
        <v>0</v>
      </c>
      <c r="T44" s="162">
        <f>S44*$T$24</f>
        <v>0</v>
      </c>
      <c r="U44" s="162">
        <f>M44+T44</f>
        <v>48553.51</v>
      </c>
      <c r="V44" s="335">
        <f>M44+Q44</f>
        <v>48553.51</v>
      </c>
      <c r="W44" s="339">
        <f t="shared" si="2"/>
        <v>0</v>
      </c>
      <c r="X44" s="162">
        <f>M44+T44</f>
        <v>48553.51</v>
      </c>
    </row>
    <row r="45" spans="1:24" hidden="1" x14ac:dyDescent="0.2">
      <c r="A45" s="155" t="s">
        <v>30</v>
      </c>
      <c r="B45" s="170">
        <v>3879</v>
      </c>
      <c r="C45" s="144">
        <f>B45/$B$60</f>
        <v>1.758E-3</v>
      </c>
      <c r="D45" s="300">
        <v>2821</v>
      </c>
      <c r="E45" s="298">
        <f>D45/$B$45</f>
        <v>0.72724900000000003</v>
      </c>
      <c r="F45" s="170">
        <v>1876</v>
      </c>
      <c r="G45" s="144">
        <f>F45/$F$60</f>
        <v>9.2173000000000005E-2</v>
      </c>
      <c r="H45" s="144">
        <f>(C45*2/3)+(G45/3)</f>
        <v>3.1896000000000001E-2</v>
      </c>
      <c r="I45" s="162">
        <f>$C$23*H45</f>
        <v>65954.09</v>
      </c>
      <c r="J45" s="162">
        <f>H13</f>
        <v>398.87</v>
      </c>
      <c r="K45" s="162">
        <f>I45-J45</f>
        <v>65555.22</v>
      </c>
      <c r="L45" s="153">
        <f>F13</f>
        <v>4.3200000000000002E-2</v>
      </c>
      <c r="M45" s="162">
        <f>$C$2*L45</f>
        <v>84577.08</v>
      </c>
      <c r="N45" s="325">
        <f>IF(K45&gt;M45, K45-M45,0)</f>
        <v>0</v>
      </c>
      <c r="O45" s="326">
        <f>IF(N45&gt;0,ROUND((N45/$N$60),7),0)</f>
        <v>0</v>
      </c>
      <c r="P45" s="327">
        <f>IF(M45&gt;K45, M45-K45,0)</f>
        <v>19021.86</v>
      </c>
      <c r="Q45" s="328">
        <f>O45*$Q$60</f>
        <v>0</v>
      </c>
      <c r="R45" s="144">
        <f>IF(K45-M45&lt;=0,0,H45)</f>
        <v>0</v>
      </c>
      <c r="S45" s="144">
        <f>IF(R45=0,0,R45/$R$60)</f>
        <v>0</v>
      </c>
      <c r="T45" s="162">
        <f>S45*$T$24</f>
        <v>0</v>
      </c>
      <c r="U45" s="162">
        <f>M45+T45</f>
        <v>84577.08</v>
      </c>
      <c r="V45" s="335">
        <f>M45+Q45</f>
        <v>84577.08</v>
      </c>
      <c r="W45" s="339">
        <f t="shared" si="2"/>
        <v>0</v>
      </c>
      <c r="X45" s="162">
        <f>M45+T45</f>
        <v>84577.08</v>
      </c>
    </row>
    <row r="46" spans="1:24" hidden="1" x14ac:dyDescent="0.2">
      <c r="A46" s="302" t="s">
        <v>383</v>
      </c>
      <c r="B46" s="170"/>
      <c r="C46" s="144"/>
      <c r="D46" s="300">
        <v>1058</v>
      </c>
      <c r="E46" s="298">
        <f>D46/$B$45</f>
        <v>0.27275100000000002</v>
      </c>
      <c r="F46" s="170"/>
      <c r="G46" s="144"/>
      <c r="H46" s="144"/>
      <c r="I46" s="162"/>
      <c r="J46" s="162"/>
      <c r="K46" s="162"/>
      <c r="L46" s="153"/>
      <c r="M46" s="162"/>
      <c r="N46" s="325"/>
      <c r="O46" s="326"/>
      <c r="P46" s="327"/>
      <c r="Q46" s="328"/>
      <c r="R46" s="144"/>
      <c r="S46" s="144"/>
      <c r="T46" s="162"/>
      <c r="U46" s="162"/>
      <c r="V46" s="335"/>
      <c r="W46" s="339">
        <f t="shared" si="2"/>
        <v>0</v>
      </c>
      <c r="X46" s="162"/>
    </row>
    <row r="47" spans="1:24" hidden="1" x14ac:dyDescent="0.2">
      <c r="A47" s="155" t="s">
        <v>31</v>
      </c>
      <c r="B47" s="170">
        <v>38777</v>
      </c>
      <c r="C47" s="144">
        <f>B47/$B$60</f>
        <v>1.7578E-2</v>
      </c>
      <c r="D47" s="300">
        <v>25478</v>
      </c>
      <c r="E47" s="298">
        <f>D47/$B$47</f>
        <v>0.65703900000000004</v>
      </c>
      <c r="F47" s="170">
        <v>587</v>
      </c>
      <c r="G47" s="144">
        <f>F47/$F$60</f>
        <v>2.8840999999999999E-2</v>
      </c>
      <c r="H47" s="144">
        <f>(C47*2/3)+(G47/3)</f>
        <v>2.1332E-2</v>
      </c>
      <c r="I47" s="162">
        <f>$C$23*H47</f>
        <v>44110</v>
      </c>
      <c r="J47" s="162">
        <f>H14</f>
        <v>261.76</v>
      </c>
      <c r="K47" s="162">
        <f>I47-J47</f>
        <v>43848.24</v>
      </c>
      <c r="L47" s="153">
        <f>F14</f>
        <v>1.89E-2</v>
      </c>
      <c r="M47" s="162">
        <f>$C$2*L47</f>
        <v>37002.47</v>
      </c>
      <c r="N47" s="325">
        <f>IF(K47&gt;M47, K47-M47,0)</f>
        <v>6845.77</v>
      </c>
      <c r="O47" s="326">
        <f>IF(N47&gt;0,ROUND((N47/$N$60),7),0)</f>
        <v>1.9887999999999999E-2</v>
      </c>
      <c r="P47" s="327">
        <f>IF(M47&gt;K47, M47-K47,0)</f>
        <v>0</v>
      </c>
      <c r="Q47" s="328">
        <f>O47*$Q$60</f>
        <v>1939.44</v>
      </c>
      <c r="R47" s="144">
        <f>IF(K47-M47&lt;=0,0,H47)</f>
        <v>2.1332E-2</v>
      </c>
      <c r="S47" s="144">
        <f>IF(R47=0,0,R47/$R$60)</f>
        <v>2.7417E-2</v>
      </c>
      <c r="T47" s="162">
        <f>S47*$T$24</f>
        <v>2673.66</v>
      </c>
      <c r="U47" s="162">
        <f>M47+T47</f>
        <v>39676.129999999997</v>
      </c>
      <c r="V47" s="335">
        <f>M47+Q47</f>
        <v>38941.910000000003</v>
      </c>
      <c r="W47" s="339">
        <f t="shared" si="2"/>
        <v>734.22</v>
      </c>
      <c r="X47" s="162">
        <f>M47+T47</f>
        <v>39676.129999999997</v>
      </c>
    </row>
    <row r="48" spans="1:24" hidden="1" x14ac:dyDescent="0.2">
      <c r="A48" s="302" t="s">
        <v>385</v>
      </c>
      <c r="B48" s="170"/>
      <c r="C48" s="144"/>
      <c r="D48" s="300">
        <v>10440</v>
      </c>
      <c r="E48" s="298">
        <f>D48/$B$47</f>
        <v>0.26923200000000003</v>
      </c>
      <c r="F48" s="170"/>
      <c r="G48" s="144"/>
      <c r="H48" s="144"/>
      <c r="I48" s="162"/>
      <c r="J48" s="162"/>
      <c r="K48" s="162"/>
      <c r="L48" s="153"/>
      <c r="M48" s="162"/>
      <c r="N48" s="325"/>
      <c r="O48" s="326"/>
      <c r="P48" s="327"/>
      <c r="Q48" s="328"/>
      <c r="R48" s="144"/>
      <c r="S48" s="144"/>
      <c r="T48" s="162"/>
      <c r="U48" s="162"/>
      <c r="V48" s="335"/>
      <c r="W48" s="339">
        <f t="shared" si="2"/>
        <v>0</v>
      </c>
      <c r="X48" s="162"/>
    </row>
    <row r="49" spans="1:26" hidden="1" x14ac:dyDescent="0.2">
      <c r="A49" s="302" t="s">
        <v>384</v>
      </c>
      <c r="B49" s="170"/>
      <c r="C49" s="144"/>
      <c r="D49" s="300">
        <v>2859</v>
      </c>
      <c r="E49" s="298">
        <f>D49/$B$47</f>
        <v>7.3729000000000003E-2</v>
      </c>
      <c r="F49" s="170"/>
      <c r="G49" s="144"/>
      <c r="H49" s="144"/>
      <c r="I49" s="162"/>
      <c r="J49" s="162"/>
      <c r="K49" s="162"/>
      <c r="L49" s="153"/>
      <c r="M49" s="162"/>
      <c r="N49" s="325"/>
      <c r="O49" s="326"/>
      <c r="P49" s="327"/>
      <c r="Q49" s="328"/>
      <c r="R49" s="144"/>
      <c r="S49" s="144"/>
      <c r="T49" s="162"/>
      <c r="U49" s="162"/>
      <c r="V49" s="335"/>
      <c r="W49" s="339">
        <f t="shared" si="2"/>
        <v>0</v>
      </c>
      <c r="X49" s="162"/>
    </row>
    <row r="50" spans="1:26" hidden="1" x14ac:dyDescent="0.2">
      <c r="A50" s="155" t="s">
        <v>401</v>
      </c>
      <c r="B50" s="170">
        <v>4695</v>
      </c>
      <c r="C50" s="144">
        <f>B50/$B$60</f>
        <v>2.1280000000000001E-3</v>
      </c>
      <c r="D50" s="300">
        <v>4695</v>
      </c>
      <c r="E50" s="298">
        <f>D50/$B$50</f>
        <v>1</v>
      </c>
      <c r="F50" s="170">
        <v>324</v>
      </c>
      <c r="G50" s="144">
        <f>F50/$F$60</f>
        <v>1.5918999999999999E-2</v>
      </c>
      <c r="H50" s="144">
        <f>(C50*2/3)+(G50/3)</f>
        <v>6.7250000000000001E-3</v>
      </c>
      <c r="I50" s="162">
        <f>$C$23*H50</f>
        <v>13905.86</v>
      </c>
      <c r="J50" s="162">
        <f>H15</f>
        <v>87.25</v>
      </c>
      <c r="K50" s="162">
        <f>I50-J50</f>
        <v>13818.61</v>
      </c>
      <c r="L50" s="153">
        <f>F15</f>
        <v>1.4E-2</v>
      </c>
      <c r="M50" s="162">
        <f>$C$2*L50</f>
        <v>27409.24</v>
      </c>
      <c r="N50" s="325">
        <f>IF(K50&gt;M50, K50-M50,0)</f>
        <v>0</v>
      </c>
      <c r="O50" s="326">
        <f>IF(N50&gt;0,ROUND((N50/$N$60),7),0)</f>
        <v>0</v>
      </c>
      <c r="P50" s="327">
        <f>IF(M50&gt;K50, M50-K50,0)</f>
        <v>13590.63</v>
      </c>
      <c r="Q50" s="328">
        <f>O50*$Q$60</f>
        <v>0</v>
      </c>
      <c r="R50" s="144">
        <f>IF(K50-M50&lt;=0,0,H50)</f>
        <v>0</v>
      </c>
      <c r="S50" s="144">
        <f>IF(R50=0,0,R50/$R$60)</f>
        <v>0</v>
      </c>
      <c r="T50" s="162">
        <f>S50*$T$24</f>
        <v>0</v>
      </c>
      <c r="U50" s="162">
        <f>M50+T50</f>
        <v>27409.24</v>
      </c>
      <c r="V50" s="335">
        <f>M50+Q50</f>
        <v>27409.24</v>
      </c>
      <c r="W50" s="339">
        <f t="shared" si="2"/>
        <v>0</v>
      </c>
      <c r="X50" s="162">
        <f>M50+T50</f>
        <v>27409.24</v>
      </c>
    </row>
    <row r="51" spans="1:26" hidden="1" x14ac:dyDescent="0.2">
      <c r="A51" s="155" t="s">
        <v>33</v>
      </c>
      <c r="B51" s="170">
        <v>35039</v>
      </c>
      <c r="C51" s="144">
        <f>B51/$B$60</f>
        <v>1.5883000000000001E-2</v>
      </c>
      <c r="D51" s="300">
        <v>35039</v>
      </c>
      <c r="E51" s="298">
        <f>D51/$B$51</f>
        <v>1</v>
      </c>
      <c r="F51" s="170">
        <v>2027</v>
      </c>
      <c r="G51" s="144">
        <f>F51/$F$60</f>
        <v>9.9592E-2</v>
      </c>
      <c r="H51" s="144">
        <f>(C51*2/3)+(G51/3)</f>
        <v>4.3785999999999999E-2</v>
      </c>
      <c r="I51" s="162">
        <f>$C$23*H51</f>
        <v>90540.06</v>
      </c>
      <c r="J51" s="162">
        <f>H16</f>
        <v>548.44000000000005</v>
      </c>
      <c r="K51" s="162">
        <f>I51-J51</f>
        <v>89991.62</v>
      </c>
      <c r="L51" s="153">
        <f>F16</f>
        <v>6.7699999999999996E-2</v>
      </c>
      <c r="M51" s="162">
        <f>$C$2*L51</f>
        <v>132543.25</v>
      </c>
      <c r="N51" s="325">
        <f>IF(K51&gt;M51, K51-M51,0)</f>
        <v>0</v>
      </c>
      <c r="O51" s="326">
        <f>IF(N51&gt;0,ROUND((N51/$N$60),7),0)</f>
        <v>0</v>
      </c>
      <c r="P51" s="327">
        <f>IF(M51&gt;K51, M51-K51,0)</f>
        <v>42551.63</v>
      </c>
      <c r="Q51" s="328">
        <f>O51*$Q$60</f>
        <v>0</v>
      </c>
      <c r="R51" s="144">
        <f>IF(K51-M51&lt;=0,0,H51)</f>
        <v>0</v>
      </c>
      <c r="S51" s="144">
        <f>IF(R51=0,0,R51/$R$60)</f>
        <v>0</v>
      </c>
      <c r="T51" s="162">
        <f>S51*$T$24</f>
        <v>0</v>
      </c>
      <c r="U51" s="162">
        <f>M51+T51</f>
        <v>132543.25</v>
      </c>
      <c r="V51" s="335">
        <f>M51+Q51</f>
        <v>132543.25</v>
      </c>
      <c r="W51" s="339">
        <f t="shared" si="2"/>
        <v>0</v>
      </c>
      <c r="X51" s="162">
        <f>M51+T51</f>
        <v>132543.25</v>
      </c>
    </row>
    <row r="52" spans="1:26" hidden="1" x14ac:dyDescent="0.2">
      <c r="A52" s="155" t="s">
        <v>34</v>
      </c>
      <c r="B52" s="170">
        <v>6937</v>
      </c>
      <c r="C52" s="144">
        <f>B52/$B$60</f>
        <v>3.1449999999999998E-3</v>
      </c>
      <c r="D52" s="300">
        <v>4670</v>
      </c>
      <c r="E52" s="298">
        <f>D52/$B$52</f>
        <v>0.67320199999999997</v>
      </c>
      <c r="F52" s="170">
        <v>1887</v>
      </c>
      <c r="G52" s="144">
        <f>F52/$F$60</f>
        <v>9.2714000000000005E-2</v>
      </c>
      <c r="H52" s="144">
        <f>(C52*2/3)+(G52/3)</f>
        <v>3.3001000000000003E-2</v>
      </c>
      <c r="I52" s="162">
        <f>$C$23*H52</f>
        <v>68239</v>
      </c>
      <c r="J52" s="162">
        <f>H17</f>
        <v>411.33</v>
      </c>
      <c r="K52" s="162">
        <f>I52-J52</f>
        <v>67827.67</v>
      </c>
      <c r="L52" s="153">
        <f>F17</f>
        <v>2.8400000000000002E-2</v>
      </c>
      <c r="M52" s="162">
        <f>$C$2*L52</f>
        <v>55601.599999999999</v>
      </c>
      <c r="N52" s="325">
        <f>IF(K52&gt;M52, K52-M52,0)</f>
        <v>12226.07</v>
      </c>
      <c r="O52" s="326">
        <f>IF(N52&gt;0,ROUND((N52/$N$60),7),0)</f>
        <v>3.5518000000000001E-2</v>
      </c>
      <c r="P52" s="327">
        <f>IF(M52&gt;K52, M52-K52,0)</f>
        <v>0</v>
      </c>
      <c r="Q52" s="328">
        <f>O52*$Q$60</f>
        <v>3463.66</v>
      </c>
      <c r="R52" s="144">
        <f>IF(K52-M52&lt;=0,0,H52)</f>
        <v>3.3001000000000003E-2</v>
      </c>
      <c r="S52" s="144">
        <f>IF(R52=0,0,R52/$R$60)</f>
        <v>4.2414E-2</v>
      </c>
      <c r="T52" s="162">
        <f>S52*$T$24</f>
        <v>4136.1400000000003</v>
      </c>
      <c r="U52" s="162">
        <f>M52+T52</f>
        <v>59737.74</v>
      </c>
      <c r="V52" s="335">
        <f>M52+Q52</f>
        <v>59065.26</v>
      </c>
      <c r="W52" s="339">
        <f t="shared" si="2"/>
        <v>672.48</v>
      </c>
      <c r="X52" s="162">
        <f>M52+T52</f>
        <v>59737.74</v>
      </c>
    </row>
    <row r="53" spans="1:26" hidden="1" x14ac:dyDescent="0.2">
      <c r="A53" s="302" t="s">
        <v>389</v>
      </c>
      <c r="B53" s="170"/>
      <c r="C53" s="144"/>
      <c r="D53" s="300">
        <v>2267</v>
      </c>
      <c r="E53" s="298">
        <f>D53/$B$52</f>
        <v>0.32679799999999998</v>
      </c>
      <c r="F53" s="170"/>
      <c r="G53" s="144"/>
      <c r="H53" s="144"/>
      <c r="I53" s="162"/>
      <c r="J53" s="162"/>
      <c r="K53" s="162"/>
      <c r="L53" s="153"/>
      <c r="M53" s="162"/>
      <c r="N53" s="325"/>
      <c r="O53" s="326"/>
      <c r="P53" s="327"/>
      <c r="Q53" s="328"/>
      <c r="R53" s="144"/>
      <c r="S53" s="144"/>
      <c r="T53" s="162"/>
      <c r="U53" s="162"/>
      <c r="V53" s="335"/>
      <c r="W53" s="339">
        <f t="shared" si="2"/>
        <v>0</v>
      </c>
      <c r="X53" s="162"/>
    </row>
    <row r="54" spans="1:26" hidden="1" x14ac:dyDescent="0.2">
      <c r="A54" s="155" t="s">
        <v>35</v>
      </c>
      <c r="B54" s="170">
        <v>3639</v>
      </c>
      <c r="C54" s="144">
        <f>B54/$B$60</f>
        <v>1.65E-3</v>
      </c>
      <c r="D54" s="300">
        <v>3639</v>
      </c>
      <c r="E54" s="298">
        <f>D54/$B$54</f>
        <v>1</v>
      </c>
      <c r="F54" s="170">
        <v>49</v>
      </c>
      <c r="G54" s="144">
        <f>F54/$F$60</f>
        <v>2.408E-3</v>
      </c>
      <c r="H54" s="144">
        <f>(C54*2/3)+(G54/3)</f>
        <v>1.903E-3</v>
      </c>
      <c r="I54" s="162">
        <f>$C$23*H54</f>
        <v>3935</v>
      </c>
      <c r="J54" s="162">
        <f>H18</f>
        <v>24.93</v>
      </c>
      <c r="K54" s="162">
        <f>I54-J54</f>
        <v>3910.07</v>
      </c>
      <c r="L54" s="153">
        <f>F18</f>
        <v>2.2000000000000001E-3</v>
      </c>
      <c r="M54" s="162">
        <f>$C$2*L54</f>
        <v>4307.17</v>
      </c>
      <c r="N54" s="325">
        <f>IF(K54&gt;M54, K54-M54,0)</f>
        <v>0</v>
      </c>
      <c r="O54" s="326">
        <f>IF(N54&gt;0,ROUND((N54/$N$60),7),0)</f>
        <v>0</v>
      </c>
      <c r="P54" s="327">
        <f>IF(M54&gt;K54, M54-K54,0)</f>
        <v>397.1</v>
      </c>
      <c r="Q54" s="328">
        <f>O54*$Q$60</f>
        <v>0</v>
      </c>
      <c r="R54" s="144">
        <f>IF(K54-M54&lt;=0,0,H54)</f>
        <v>0</v>
      </c>
      <c r="S54" s="144">
        <f>IF(R54=0,0,R54/$R$60)</f>
        <v>0</v>
      </c>
      <c r="T54" s="162">
        <f>S54*$T$24</f>
        <v>0</v>
      </c>
      <c r="U54" s="162">
        <f>M54+T54</f>
        <v>4307.17</v>
      </c>
      <c r="V54" s="335">
        <f>M54+Q54</f>
        <v>4307.17</v>
      </c>
      <c r="W54" s="339">
        <f t="shared" si="2"/>
        <v>0</v>
      </c>
      <c r="X54" s="162">
        <f>M54+T54</f>
        <v>4307.17</v>
      </c>
    </row>
    <row r="55" spans="1:26" hidden="1" x14ac:dyDescent="0.2">
      <c r="A55" s="155" t="s">
        <v>36</v>
      </c>
      <c r="B55" s="170">
        <v>359423</v>
      </c>
      <c r="C55" s="144">
        <f>B55/$B$60</f>
        <v>0.16292799999999999</v>
      </c>
      <c r="D55" s="300">
        <v>96334</v>
      </c>
      <c r="E55" s="298">
        <f>D55/$B$55</f>
        <v>0.26802399999999998</v>
      </c>
      <c r="F55" s="170">
        <v>1815</v>
      </c>
      <c r="G55" s="144">
        <f>F55/$F$60</f>
        <v>8.9176000000000005E-2</v>
      </c>
      <c r="H55" s="144">
        <f>(C55*2/3)+(G55/3)</f>
        <v>0.13834399999999999</v>
      </c>
      <c r="I55" s="162">
        <f>$C$23*H55</f>
        <v>286065.74</v>
      </c>
      <c r="J55" s="162">
        <f>H19</f>
        <v>1720.12</v>
      </c>
      <c r="K55" s="162">
        <f>I55-J55</f>
        <v>284345.62</v>
      </c>
      <c r="L55" s="153">
        <f>F19</f>
        <v>0.1232</v>
      </c>
      <c r="M55" s="162">
        <f>$C$2*L55</f>
        <v>241201.3</v>
      </c>
      <c r="N55" s="325">
        <f>IF(K55&gt;M55, K55-M55,0)</f>
        <v>43144.32</v>
      </c>
      <c r="O55" s="326">
        <f>IF(N55&gt;0,ROUND((N55/$N$60),7),0)</f>
        <v>0.12533900000000001</v>
      </c>
      <c r="P55" s="327">
        <f>IF(M55&gt;K55, M55-K55,0)</f>
        <v>0</v>
      </c>
      <c r="Q55" s="328">
        <f>O55*$Q$60</f>
        <v>12222.85</v>
      </c>
      <c r="R55" s="144">
        <f>IF(K55-M55&lt;=0,0,H55)</f>
        <v>0.13834399999999999</v>
      </c>
      <c r="S55" s="144">
        <f>IF(R55=0,0,R55/$R$60)</f>
        <v>0.17780399999999999</v>
      </c>
      <c r="T55" s="162">
        <f>S55*$T$24</f>
        <v>17339.150000000001</v>
      </c>
      <c r="U55" s="162">
        <f>M55+T55</f>
        <v>258540.45</v>
      </c>
      <c r="V55" s="335">
        <f>M55+Q55</f>
        <v>253424.15</v>
      </c>
      <c r="W55" s="339">
        <f t="shared" si="2"/>
        <v>5116.3</v>
      </c>
      <c r="X55" s="162">
        <f>M55+T55</f>
        <v>258540.45</v>
      </c>
    </row>
    <row r="56" spans="1:26" hidden="1" x14ac:dyDescent="0.2">
      <c r="A56" s="302" t="s">
        <v>390</v>
      </c>
      <c r="B56" s="170"/>
      <c r="C56" s="144"/>
      <c r="D56" s="300">
        <v>187834</v>
      </c>
      <c r="E56" s="298">
        <f>D56/$B$55</f>
        <v>0.52259900000000004</v>
      </c>
      <c r="F56" s="170"/>
      <c r="G56" s="144"/>
      <c r="H56" s="144"/>
      <c r="I56" s="162"/>
      <c r="J56" s="162"/>
      <c r="K56" s="162"/>
      <c r="L56" s="153"/>
      <c r="M56" s="162"/>
      <c r="N56" s="325"/>
      <c r="O56" s="326"/>
      <c r="P56" s="327"/>
      <c r="Q56" s="328"/>
      <c r="R56" s="144"/>
      <c r="S56" s="144"/>
      <c r="T56" s="162"/>
      <c r="U56" s="162"/>
      <c r="V56" s="335"/>
      <c r="W56" s="339">
        <f t="shared" si="2"/>
        <v>0</v>
      </c>
      <c r="X56" s="162"/>
    </row>
    <row r="57" spans="1:26" hidden="1" x14ac:dyDescent="0.2">
      <c r="A57" s="302" t="s">
        <v>391</v>
      </c>
      <c r="B57" s="170"/>
      <c r="C57" s="144"/>
      <c r="D57" s="300">
        <v>75255</v>
      </c>
      <c r="E57" s="298">
        <f>D57/$B$55</f>
        <v>0.20937700000000001</v>
      </c>
      <c r="F57" s="170"/>
      <c r="G57" s="144"/>
      <c r="H57" s="144"/>
      <c r="I57" s="162"/>
      <c r="J57" s="162"/>
      <c r="K57" s="162"/>
      <c r="L57" s="153"/>
      <c r="M57" s="162"/>
      <c r="N57" s="325"/>
      <c r="O57" s="326"/>
      <c r="P57" s="327"/>
      <c r="Q57" s="328"/>
      <c r="R57" s="144"/>
      <c r="S57" s="144"/>
      <c r="T57" s="162"/>
      <c r="U57" s="162"/>
      <c r="V57" s="335"/>
      <c r="W57" s="339">
        <f t="shared" si="2"/>
        <v>0</v>
      </c>
      <c r="X57" s="162"/>
    </row>
    <row r="58" spans="1:26" hidden="1" x14ac:dyDescent="0.2">
      <c r="A58" s="155" t="s">
        <v>37</v>
      </c>
      <c r="B58" s="170">
        <v>8863</v>
      </c>
      <c r="C58" s="144">
        <f>B58/$B$60</f>
        <v>4.0179999999999999E-3</v>
      </c>
      <c r="D58" s="300">
        <v>4977</v>
      </c>
      <c r="E58" s="298">
        <f>D58/$B$58</f>
        <v>0.56154800000000005</v>
      </c>
      <c r="F58" s="170">
        <v>1124</v>
      </c>
      <c r="G58" s="144">
        <f>F58/$F$60</f>
        <v>5.5225000000000003E-2</v>
      </c>
      <c r="H58" s="144">
        <f>(C58*2/3)+(G58/3)</f>
        <v>2.1087000000000002E-2</v>
      </c>
      <c r="I58" s="151">
        <f>$C$23*H58</f>
        <v>43603.4</v>
      </c>
      <c r="J58" s="162">
        <f>H20</f>
        <v>261.76</v>
      </c>
      <c r="K58" s="162">
        <f>I58-J58</f>
        <v>43341.64</v>
      </c>
      <c r="L58" s="171">
        <f>F20</f>
        <v>4.0300000000000002E-2</v>
      </c>
      <c r="M58" s="151">
        <f>$C$2*L58</f>
        <v>78899.45</v>
      </c>
      <c r="N58" s="325">
        <f>IF(K58&gt;M58, K58-M58,0)</f>
        <v>0</v>
      </c>
      <c r="O58" s="326">
        <f>IF(N58&gt;0,ROUND((N58/$N$60),7),0)</f>
        <v>0</v>
      </c>
      <c r="P58" s="327">
        <f>IF(M58&gt;K58, M58-K58,0)</f>
        <v>35557.81</v>
      </c>
      <c r="Q58" s="328">
        <f>O58*$Q$60</f>
        <v>0</v>
      </c>
      <c r="R58" s="144">
        <f>IF(K58-M58&lt;=0,0,H58)</f>
        <v>0</v>
      </c>
      <c r="S58" s="144">
        <f>IF(R58=0,0,R58/$R$60)</f>
        <v>0</v>
      </c>
      <c r="T58" s="151">
        <f>S58*$T$24</f>
        <v>0</v>
      </c>
      <c r="U58" s="151">
        <f>M58+T58</f>
        <v>78899.45</v>
      </c>
      <c r="V58" s="336">
        <f>M58+Q58</f>
        <v>78899.45</v>
      </c>
      <c r="W58" s="339">
        <f t="shared" si="2"/>
        <v>0</v>
      </c>
      <c r="X58" s="162">
        <f>M58+T58</f>
        <v>78899.45</v>
      </c>
      <c r="Y58" s="151"/>
      <c r="Z58" s="172"/>
    </row>
    <row r="59" spans="1:26" hidden="1" x14ac:dyDescent="0.2">
      <c r="A59" s="302" t="s">
        <v>392</v>
      </c>
      <c r="D59" s="300">
        <v>3886</v>
      </c>
      <c r="E59" s="298">
        <f>D59/$B$58</f>
        <v>0.43845200000000001</v>
      </c>
      <c r="N59" s="325"/>
      <c r="O59" s="326"/>
      <c r="P59" s="327"/>
      <c r="Q59" s="328"/>
      <c r="V59" s="337"/>
      <c r="W59" s="339">
        <f t="shared" si="2"/>
        <v>0</v>
      </c>
    </row>
    <row r="60" spans="1:26" ht="13.5" hidden="1" thickBot="1" x14ac:dyDescent="0.25">
      <c r="A60" s="150" t="s">
        <v>400</v>
      </c>
      <c r="B60" s="173">
        <f>SUM(B25:B58)</f>
        <v>2206022</v>
      </c>
      <c r="C60" s="174">
        <f>SUM(C25:C58)</f>
        <v>1</v>
      </c>
      <c r="D60" s="301">
        <f>SUM(D25:D59)</f>
        <v>2206022</v>
      </c>
      <c r="E60" s="299" t="s">
        <v>81</v>
      </c>
      <c r="F60" s="173">
        <f t="shared" ref="F60:P60" si="4">SUM(F25:F58)</f>
        <v>20353</v>
      </c>
      <c r="G60" s="175">
        <f t="shared" si="4"/>
        <v>1</v>
      </c>
      <c r="H60" s="175">
        <f t="shared" si="4"/>
        <v>1</v>
      </c>
      <c r="I60" s="164">
        <f t="shared" si="4"/>
        <v>2067785.71</v>
      </c>
      <c r="J60" s="176">
        <f t="shared" si="4"/>
        <v>12464.63</v>
      </c>
      <c r="K60" s="177">
        <f t="shared" si="4"/>
        <v>2055321.08</v>
      </c>
      <c r="L60" s="178">
        <f t="shared" si="4"/>
        <v>1</v>
      </c>
      <c r="M60" s="164">
        <f t="shared" si="4"/>
        <v>1957802.77</v>
      </c>
      <c r="N60" s="329">
        <f t="shared" si="4"/>
        <v>344220.5</v>
      </c>
      <c r="O60" s="330">
        <f t="shared" si="4"/>
        <v>1</v>
      </c>
      <c r="P60" s="331">
        <f t="shared" si="4"/>
        <v>246702.19</v>
      </c>
      <c r="Q60" s="332">
        <f>N60-P60</f>
        <v>97518.31</v>
      </c>
      <c r="R60" s="179">
        <f>SUM(R25:R58)</f>
        <v>0.77807000000000004</v>
      </c>
      <c r="S60" s="179">
        <f>SUM(S25:S58)</f>
        <v>1</v>
      </c>
      <c r="T60" s="164">
        <f>SUM(T25:T58)</f>
        <v>97518.31</v>
      </c>
      <c r="U60" s="164">
        <f>SUM(U25:U58)</f>
        <v>2055321.07</v>
      </c>
      <c r="V60" s="338">
        <f>SUM(V25:V58)</f>
        <v>2055321.08</v>
      </c>
      <c r="W60" s="340">
        <f t="shared" si="2"/>
        <v>-0.01</v>
      </c>
      <c r="X60" s="162">
        <f>M60+T60</f>
        <v>2055321.08</v>
      </c>
      <c r="Y60" s="182">
        <f>C4</f>
        <v>2055321.07</v>
      </c>
      <c r="Z60" s="183">
        <f>X60-Y60</f>
        <v>0.01</v>
      </c>
    </row>
    <row r="61" spans="1:26" ht="13.5" hidden="1" thickTop="1" x14ac:dyDescent="0.2">
      <c r="G61" s="154"/>
      <c r="H61" s="180"/>
      <c r="I61" s="154"/>
      <c r="J61" s="152"/>
      <c r="K61" s="152"/>
      <c r="L61" s="181"/>
      <c r="M61" s="151"/>
      <c r="P61" t="s">
        <v>104</v>
      </c>
      <c r="Q61" s="162">
        <f>SUM(Q25:Q59)</f>
        <v>97518.31</v>
      </c>
      <c r="R61" s="151"/>
      <c r="S61" s="151"/>
      <c r="T61" s="151"/>
      <c r="U61" s="151"/>
      <c r="V61" s="154"/>
    </row>
    <row r="62" spans="1:26" hidden="1" x14ac:dyDescent="0.2">
      <c r="L62"/>
      <c r="P62" t="s">
        <v>697</v>
      </c>
      <c r="Q62" s="162">
        <f>+Q60-Q61</f>
        <v>0</v>
      </c>
    </row>
    <row r="63" spans="1:26" x14ac:dyDescent="0.2">
      <c r="A63" s="235" t="s">
        <v>424</v>
      </c>
      <c r="B63" s="20"/>
    </row>
    <row r="64" spans="1:26" x14ac:dyDescent="0.2">
      <c r="A64" s="236" t="str">
        <f>ReportMonth</f>
        <v>JUNE 2004</v>
      </c>
      <c r="B64" s="20"/>
    </row>
    <row r="65" spans="1:22" x14ac:dyDescent="0.2">
      <c r="A65" s="237" t="s">
        <v>106</v>
      </c>
      <c r="B65" s="20"/>
    </row>
    <row r="66" spans="1:22" x14ac:dyDescent="0.2">
      <c r="H66" s="303" t="s">
        <v>81</v>
      </c>
    </row>
    <row r="67" spans="1:22" x14ac:dyDescent="0.2">
      <c r="A67" s="404" t="s">
        <v>420</v>
      </c>
      <c r="B67" s="404"/>
      <c r="C67" s="404"/>
      <c r="D67" s="404"/>
      <c r="E67" s="404"/>
      <c r="F67" s="404"/>
      <c r="G67" s="404"/>
      <c r="H67" s="405" t="s">
        <v>658</v>
      </c>
      <c r="I67" s="405"/>
    </row>
    <row r="68" spans="1:22" x14ac:dyDescent="0.2">
      <c r="A68" s="234"/>
      <c r="B68" s="234"/>
      <c r="C68" s="234"/>
      <c r="D68" s="234"/>
      <c r="E68" s="234"/>
      <c r="F68" s="234"/>
      <c r="G68" s="234"/>
      <c r="H68" s="405"/>
      <c r="I68" s="405"/>
    </row>
    <row r="69" spans="1:22" x14ac:dyDescent="0.2">
      <c r="A69" s="234"/>
      <c r="B69" s="234"/>
      <c r="C69" s="234"/>
      <c r="D69" s="234"/>
      <c r="E69" s="234"/>
      <c r="F69" s="234"/>
      <c r="G69" s="234"/>
      <c r="H69" s="284"/>
    </row>
    <row r="70" spans="1:22" ht="41.25" customHeight="1" thickBot="1" x14ac:dyDescent="0.25">
      <c r="A70" s="145" t="s">
        <v>367</v>
      </c>
      <c r="B70" s="145" t="s">
        <v>368</v>
      </c>
      <c r="C70" s="216" t="s">
        <v>422</v>
      </c>
      <c r="D70" s="145" t="s">
        <v>421</v>
      </c>
      <c r="E70" s="190" t="s">
        <v>370</v>
      </c>
      <c r="F70" s="191" t="s">
        <v>371</v>
      </c>
      <c r="G70" s="146" t="s">
        <v>12</v>
      </c>
      <c r="H70" s="304" t="s">
        <v>659</v>
      </c>
      <c r="I70" s="305" t="s">
        <v>660</v>
      </c>
      <c r="J70" s="89"/>
      <c r="L70" s="89"/>
    </row>
    <row r="71" spans="1:22" ht="13.5" thickBot="1" x14ac:dyDescent="0.25">
      <c r="A71" t="s">
        <v>21</v>
      </c>
      <c r="C71" s="162">
        <f>D71+E71</f>
        <v>32321.68</v>
      </c>
      <c r="D71" s="162">
        <f>H4</f>
        <v>261.76</v>
      </c>
      <c r="E71" s="232">
        <f>IF($C$4&gt;$C$2,V25,I4)+'s3,s3b, s3d'!F68</f>
        <v>32059.919999999998</v>
      </c>
      <c r="F71" s="186">
        <v>1</v>
      </c>
      <c r="G71" s="187">
        <f>$E$71*F71</f>
        <v>32059.919999999998</v>
      </c>
      <c r="H71" s="306">
        <f>+NETCAG1</f>
        <v>32881.01</v>
      </c>
      <c r="I71" s="307">
        <v>1</v>
      </c>
      <c r="L71"/>
    </row>
    <row r="72" spans="1:22" ht="13.5" thickTop="1" x14ac:dyDescent="0.2">
      <c r="A72" t="s">
        <v>22</v>
      </c>
      <c r="C72" s="162">
        <f>D72+E72</f>
        <v>57487.34</v>
      </c>
      <c r="D72" s="162">
        <f>H5</f>
        <v>211.9</v>
      </c>
      <c r="E72" s="232">
        <f>IF($C$4&gt;$C$2,V26,I5)+'s3,s3b, s3d'!F69</f>
        <v>57275.44</v>
      </c>
      <c r="F72" s="147">
        <v>0.87431999999999999</v>
      </c>
      <c r="G72" s="151">
        <f>$E$72*F72+V74</f>
        <v>50077.06</v>
      </c>
      <c r="H72" s="284">
        <f>+NETCHG1*I72</f>
        <v>5684.19</v>
      </c>
      <c r="I72" s="298">
        <v>0.67439099999999996</v>
      </c>
      <c r="L72"/>
      <c r="T72" s="151">
        <f>$E$72*F72</f>
        <v>50077.06</v>
      </c>
    </row>
    <row r="73" spans="1:22" x14ac:dyDescent="0.2">
      <c r="A73" s="89"/>
      <c r="B73" s="89" t="s">
        <v>372</v>
      </c>
      <c r="C73" s="89"/>
      <c r="D73" s="89"/>
      <c r="E73" s="232"/>
      <c r="F73" s="184">
        <v>0.12567999999999999</v>
      </c>
      <c r="G73" s="151">
        <f>$E$72*F73</f>
        <v>7198.38</v>
      </c>
      <c r="H73" s="284">
        <f>+NETCHG1*I73</f>
        <v>2744.44</v>
      </c>
      <c r="I73" s="298">
        <v>0.32560899999999998</v>
      </c>
      <c r="J73" s="89"/>
      <c r="K73" s="89"/>
      <c r="L73" s="89"/>
      <c r="T73" s="151">
        <f>$E$72*F73</f>
        <v>7198.38</v>
      </c>
    </row>
    <row r="74" spans="1:22" ht="13.5" thickBot="1" x14ac:dyDescent="0.25">
      <c r="E74" s="232"/>
      <c r="F74" s="185">
        <f>SUM(F72:F73)</f>
        <v>1</v>
      </c>
      <c r="G74" s="165">
        <f>SUM(G72:G73)</f>
        <v>57275.44</v>
      </c>
      <c r="H74" s="308">
        <f>SUM(H72:H73)</f>
        <v>8428.6299999999992</v>
      </c>
      <c r="I74" s="185">
        <f>SUM(I72:I73)</f>
        <v>1</v>
      </c>
      <c r="L74"/>
      <c r="T74" s="192">
        <f>SUM(T72:T73)</f>
        <v>57275.44</v>
      </c>
      <c r="U74" s="192">
        <f>E72</f>
        <v>57275.44</v>
      </c>
      <c r="V74" s="192">
        <f>U74-T74</f>
        <v>0</v>
      </c>
    </row>
    <row r="75" spans="1:22" ht="13.5" thickTop="1" x14ac:dyDescent="0.2">
      <c r="A75" t="s">
        <v>23</v>
      </c>
      <c r="C75" s="162">
        <f>D75+E75</f>
        <v>830704.12</v>
      </c>
      <c r="D75" s="162">
        <f>H6</f>
        <v>6843.08</v>
      </c>
      <c r="E75" s="232">
        <f>IF($C$4&gt;$C$2,V28,I6)+'s3,s3b, s3d'!F70</f>
        <v>823861.04</v>
      </c>
      <c r="F75" s="144">
        <v>0.61951999999999996</v>
      </c>
      <c r="G75" s="151">
        <f>$E$75*F75+V81</f>
        <v>510398.39</v>
      </c>
      <c r="H75" s="284">
        <f t="shared" ref="H75:H80" si="5">+NETCLG1*I75</f>
        <v>251031.3</v>
      </c>
      <c r="I75" s="298">
        <v>0.426873</v>
      </c>
      <c r="S75" s="162"/>
      <c r="T75" s="162">
        <f t="shared" ref="T75:T80" si="6">$E$75*F75</f>
        <v>510398.39</v>
      </c>
    </row>
    <row r="76" spans="1:22" x14ac:dyDescent="0.2">
      <c r="B76" t="s">
        <v>373</v>
      </c>
      <c r="E76" s="223"/>
      <c r="F76" s="144">
        <v>1.3520000000000001E-2</v>
      </c>
      <c r="G76" s="151">
        <f>$E$75*F76</f>
        <v>11138.6</v>
      </c>
      <c r="H76" s="284">
        <f t="shared" si="5"/>
        <v>5632.54</v>
      </c>
      <c r="I76" s="298">
        <v>9.5779999999999997E-3</v>
      </c>
      <c r="S76" s="162"/>
      <c r="T76" s="162">
        <f t="shared" si="6"/>
        <v>11138.6</v>
      </c>
    </row>
    <row r="77" spans="1:22" x14ac:dyDescent="0.2">
      <c r="B77" t="s">
        <v>374</v>
      </c>
      <c r="E77" s="223"/>
      <c r="F77" s="144">
        <v>8.8929999999999995E-2</v>
      </c>
      <c r="G77" s="151">
        <f>$E$75*F77</f>
        <v>73265.960000000006</v>
      </c>
      <c r="H77" s="284">
        <f t="shared" si="5"/>
        <v>79496.509999999995</v>
      </c>
      <c r="I77" s="298">
        <v>0.135182</v>
      </c>
      <c r="S77" s="162"/>
      <c r="T77" s="162">
        <f t="shared" si="6"/>
        <v>73265.960000000006</v>
      </c>
    </row>
    <row r="78" spans="1:22" x14ac:dyDescent="0.2">
      <c r="B78" t="s">
        <v>375</v>
      </c>
      <c r="E78" s="223"/>
      <c r="F78" s="144">
        <v>0.21024000000000001</v>
      </c>
      <c r="G78" s="151">
        <f>$E$75*F78</f>
        <v>173208.55</v>
      </c>
      <c r="H78" s="284">
        <f t="shared" si="5"/>
        <v>195297.53</v>
      </c>
      <c r="I78" s="298">
        <v>0.33209899999999998</v>
      </c>
      <c r="S78" s="162"/>
      <c r="T78" s="162">
        <f t="shared" si="6"/>
        <v>173208.55</v>
      </c>
    </row>
    <row r="79" spans="1:22" x14ac:dyDescent="0.2">
      <c r="B79" t="s">
        <v>376</v>
      </c>
      <c r="E79" s="223"/>
      <c r="F79" s="144">
        <v>5.6100000000000004E-3</v>
      </c>
      <c r="G79" s="151">
        <f>$E$75*F79</f>
        <v>4621.8599999999997</v>
      </c>
      <c r="H79" s="284">
        <f t="shared" si="5"/>
        <v>5015.0600000000004</v>
      </c>
      <c r="I79" s="298">
        <v>8.5280000000000009E-3</v>
      </c>
      <c r="S79" s="162"/>
      <c r="T79" s="162">
        <f t="shared" si="6"/>
        <v>4621.8599999999997</v>
      </c>
    </row>
    <row r="80" spans="1:22" x14ac:dyDescent="0.2">
      <c r="B80" t="s">
        <v>377</v>
      </c>
      <c r="E80" s="223"/>
      <c r="F80" s="144">
        <v>6.2179999999999999E-2</v>
      </c>
      <c r="G80" s="151">
        <f>$E$75*F80</f>
        <v>51227.68</v>
      </c>
      <c r="H80" s="284">
        <f t="shared" si="5"/>
        <v>51597.279999999999</v>
      </c>
      <c r="I80" s="298">
        <v>8.7739999999999999E-2</v>
      </c>
      <c r="S80" s="162"/>
      <c r="T80" s="162">
        <f t="shared" si="6"/>
        <v>51227.68</v>
      </c>
    </row>
    <row r="81" spans="1:22" ht="13.5" thickBot="1" x14ac:dyDescent="0.25">
      <c r="E81" s="223"/>
      <c r="F81" s="185">
        <f>SUM(F75:F80)</f>
        <v>1</v>
      </c>
      <c r="G81" s="165">
        <f>SUM(G75:G80)</f>
        <v>823861.04</v>
      </c>
      <c r="H81" s="308">
        <f>SUM(H75:H80)</f>
        <v>588070.22</v>
      </c>
      <c r="I81" s="185">
        <f>SUM(I75:I80)</f>
        <v>1</v>
      </c>
      <c r="S81" s="162"/>
      <c r="T81" s="192">
        <f>SUM(T75:T80)</f>
        <v>823861.04</v>
      </c>
      <c r="U81" s="165">
        <f>E75</f>
        <v>823861.04</v>
      </c>
      <c r="V81" s="165">
        <f>U81-T81</f>
        <v>0</v>
      </c>
    </row>
    <row r="82" spans="1:22" ht="14.25" thickTop="1" thickBot="1" x14ac:dyDescent="0.25">
      <c r="A82" t="s">
        <v>24</v>
      </c>
      <c r="C82" s="162">
        <f>D82+E82</f>
        <v>39441.599999999999</v>
      </c>
      <c r="D82" s="162">
        <f>H7</f>
        <v>211.9</v>
      </c>
      <c r="E82" s="232">
        <f>IF($C$4&gt;$C$2,V34,I7)+'s3,s3b, s3d'!F71</f>
        <v>39229.699999999997</v>
      </c>
      <c r="F82" s="188">
        <v>1</v>
      </c>
      <c r="G82" s="233">
        <f>$E$82*F82</f>
        <v>39229.699999999997</v>
      </c>
      <c r="H82" s="306">
        <f>+NETDOG1</f>
        <v>21741.35</v>
      </c>
      <c r="I82" s="188">
        <v>1</v>
      </c>
      <c r="L82"/>
    </row>
    <row r="83" spans="1:22" ht="13.5" thickTop="1" x14ac:dyDescent="0.2">
      <c r="A83" t="s">
        <v>25</v>
      </c>
      <c r="C83" s="162">
        <f>D83+E83</f>
        <v>138069.07</v>
      </c>
      <c r="D83" s="162">
        <f>H8</f>
        <v>411.33</v>
      </c>
      <c r="E83" s="232">
        <f>IF($C$4&gt;$C$2,V35,I8)+'s3,s3b, s3d'!F72</f>
        <v>137657.74</v>
      </c>
      <c r="F83" s="144">
        <v>0.77627999999999997</v>
      </c>
      <c r="G83" s="151">
        <f>$E$83*F83+V88</f>
        <v>106860.96</v>
      </c>
      <c r="H83" s="284">
        <f>+NETELG1*I83</f>
        <v>10691.15</v>
      </c>
      <c r="I83" s="298">
        <v>0.467248</v>
      </c>
      <c r="L83"/>
      <c r="T83" s="162">
        <f>$E$83*F83</f>
        <v>106860.95</v>
      </c>
    </row>
    <row r="84" spans="1:22" x14ac:dyDescent="0.2">
      <c r="B84" t="s">
        <v>378</v>
      </c>
      <c r="E84" s="223"/>
      <c r="F84" s="144">
        <v>1.7930000000000001E-2</v>
      </c>
      <c r="G84" s="151">
        <f>$E$83*F84</f>
        <v>2468.1999999999998</v>
      </c>
      <c r="H84" s="284">
        <f>+NETELG1*I84</f>
        <v>1018.85</v>
      </c>
      <c r="I84" s="298">
        <v>4.4527999999999998E-2</v>
      </c>
      <c r="L84"/>
      <c r="T84" s="162">
        <f>$E$83*F84</f>
        <v>2468.1999999999998</v>
      </c>
    </row>
    <row r="85" spans="1:22" x14ac:dyDescent="0.2">
      <c r="B85" t="s">
        <v>133</v>
      </c>
      <c r="E85" s="223"/>
      <c r="F85" s="144">
        <v>0.15975</v>
      </c>
      <c r="G85" s="151">
        <f>$E$83*F85</f>
        <v>21990.82</v>
      </c>
      <c r="H85" s="284">
        <f>+NETELG1*I85</f>
        <v>8199.01</v>
      </c>
      <c r="I85" s="298">
        <v>0.35833100000000001</v>
      </c>
      <c r="L85"/>
      <c r="T85" s="162">
        <f>$E$83*F85</f>
        <v>21990.82</v>
      </c>
    </row>
    <row r="86" spans="1:22" x14ac:dyDescent="0.2">
      <c r="B86" t="s">
        <v>379</v>
      </c>
      <c r="E86" s="223"/>
      <c r="F86" s="144">
        <v>1.5049999999999999E-2</v>
      </c>
      <c r="G86" s="151">
        <f>$E$83*F86</f>
        <v>2071.75</v>
      </c>
      <c r="H86" s="284">
        <f>+NETELG1*I86</f>
        <v>682.36</v>
      </c>
      <c r="I86" s="298">
        <v>2.9822000000000001E-2</v>
      </c>
      <c r="L86"/>
      <c r="T86" s="162">
        <f>$E$83*F86</f>
        <v>2071.75</v>
      </c>
    </row>
    <row r="87" spans="1:22" x14ac:dyDescent="0.2">
      <c r="B87" t="s">
        <v>380</v>
      </c>
      <c r="E87" s="223"/>
      <c r="F87" s="144">
        <v>3.099E-2</v>
      </c>
      <c r="G87" s="151">
        <f>$E$83*F87</f>
        <v>4266.01</v>
      </c>
      <c r="H87" s="284">
        <f>+NETELG1*I87</f>
        <v>2289.7399999999998</v>
      </c>
      <c r="I87" s="298">
        <v>0.10007099999999999</v>
      </c>
      <c r="L87"/>
      <c r="T87" s="162">
        <f>$E$83*F87</f>
        <v>4266.01</v>
      </c>
    </row>
    <row r="88" spans="1:22" ht="13.5" thickBot="1" x14ac:dyDescent="0.25">
      <c r="E88" s="223"/>
      <c r="F88" s="185">
        <f>SUM(F83:F87)</f>
        <v>1</v>
      </c>
      <c r="G88" s="165">
        <f>SUM(G83:G87)</f>
        <v>137657.74</v>
      </c>
      <c r="H88" s="308">
        <f>SUM(H83:H87)</f>
        <v>22881.11</v>
      </c>
      <c r="I88" s="185">
        <f>SUM(I83:I87)</f>
        <v>1</v>
      </c>
      <c r="L88"/>
      <c r="T88" s="192">
        <f>SUM(T82:T87)</f>
        <v>137657.73000000001</v>
      </c>
      <c r="U88" s="165">
        <f>E83</f>
        <v>137657.74</v>
      </c>
      <c r="V88" s="165">
        <f>U88-T88</f>
        <v>0.01</v>
      </c>
    </row>
    <row r="89" spans="1:22" ht="14.25" thickTop="1" thickBot="1" x14ac:dyDescent="0.25">
      <c r="A89" t="s">
        <v>26</v>
      </c>
      <c r="C89" s="162">
        <f>D89+E89</f>
        <v>33241.86</v>
      </c>
      <c r="D89" s="162">
        <f>H9</f>
        <v>99.72</v>
      </c>
      <c r="E89" s="232">
        <f>IF($C$4&gt;$C$2,V40,I9)+'s3,s3b, s3d'!F73</f>
        <v>33142.14</v>
      </c>
      <c r="F89" s="188">
        <v>1</v>
      </c>
      <c r="G89" s="233">
        <f>$E$89*F89</f>
        <v>33142.14</v>
      </c>
      <c r="H89" s="306">
        <f>+NETESG1</f>
        <v>449.1</v>
      </c>
      <c r="I89" s="312">
        <v>1</v>
      </c>
      <c r="L89"/>
    </row>
    <row r="90" spans="1:22" ht="14.25" thickTop="1" thickBot="1" x14ac:dyDescent="0.25">
      <c r="A90" t="s">
        <v>27</v>
      </c>
      <c r="C90" s="162">
        <f>D90+E90</f>
        <v>40976.910000000003</v>
      </c>
      <c r="D90" s="162">
        <f>H10</f>
        <v>199.43</v>
      </c>
      <c r="E90" s="232">
        <f>IF($C$4&gt;$C$2,V41,I10)+'s3,s3b, s3d'!F74</f>
        <v>40777.480000000003</v>
      </c>
      <c r="F90" s="188">
        <v>1</v>
      </c>
      <c r="G90" s="233">
        <f>$E$90*F90</f>
        <v>40777.480000000003</v>
      </c>
      <c r="H90" s="306">
        <f>+NETEUG1</f>
        <v>1043.27</v>
      </c>
      <c r="I90" s="185">
        <v>1</v>
      </c>
      <c r="L90"/>
    </row>
    <row r="91" spans="1:22" ht="13.5" thickTop="1" x14ac:dyDescent="0.2">
      <c r="A91" t="s">
        <v>28</v>
      </c>
      <c r="C91" s="162">
        <f>D91+E91</f>
        <v>83365.64</v>
      </c>
      <c r="D91" s="162">
        <f>H11</f>
        <v>261.76</v>
      </c>
      <c r="E91" s="232">
        <f>IF($C$4&gt;$C$2,V42,I11)+'s3,s3b, s3d'!F75</f>
        <v>83103.88</v>
      </c>
      <c r="F91" s="147">
        <v>0.84313000000000005</v>
      </c>
      <c r="G91" s="151">
        <f>$E$91*F91+V93</f>
        <v>70067.37</v>
      </c>
      <c r="H91" s="284">
        <f>+NETHUG1*I91</f>
        <v>6506.27</v>
      </c>
      <c r="I91" s="298">
        <v>0.55641399999999996</v>
      </c>
      <c r="L91"/>
      <c r="T91" s="162">
        <f>$E$91*F91</f>
        <v>70067.37</v>
      </c>
    </row>
    <row r="92" spans="1:22" x14ac:dyDescent="0.2">
      <c r="B92" t="s">
        <v>381</v>
      </c>
      <c r="E92" s="223"/>
      <c r="F92" s="189">
        <v>0.15687000000000001</v>
      </c>
      <c r="G92" s="151">
        <f>$E$91*F92</f>
        <v>13036.51</v>
      </c>
      <c r="H92" s="284">
        <f>+NETHUG1*I92</f>
        <v>5186.95</v>
      </c>
      <c r="I92" s="298">
        <v>0.44358599999999998</v>
      </c>
      <c r="L92"/>
      <c r="T92" s="162">
        <f>$E$91*F92</f>
        <v>13036.51</v>
      </c>
    </row>
    <row r="93" spans="1:22" ht="13.5" thickBot="1" x14ac:dyDescent="0.25">
      <c r="E93" s="223"/>
      <c r="F93" s="185">
        <f>SUM(F91:F92)</f>
        <v>1</v>
      </c>
      <c r="G93" s="165">
        <f>SUM(G91:G92)</f>
        <v>83103.88</v>
      </c>
      <c r="H93" s="308">
        <f>SUM(H91:H92)</f>
        <v>11693.22</v>
      </c>
      <c r="I93" s="185">
        <f>SUM(I91:I92)</f>
        <v>1</v>
      </c>
      <c r="L93"/>
      <c r="T93" s="192">
        <f>SUM(T91:T92)</f>
        <v>83103.88</v>
      </c>
      <c r="U93" s="165">
        <f>E91</f>
        <v>83103.88</v>
      </c>
      <c r="V93" s="165">
        <f>U93-T93</f>
        <v>0</v>
      </c>
    </row>
    <row r="94" spans="1:22" ht="14.25" thickTop="1" thickBot="1" x14ac:dyDescent="0.25">
      <c r="A94" t="s">
        <v>29</v>
      </c>
      <c r="C94" s="162">
        <f>D94+E94</f>
        <v>52924.24</v>
      </c>
      <c r="D94" s="162">
        <f>H12</f>
        <v>249.29</v>
      </c>
      <c r="E94" s="232">
        <f>IF($C$4&gt;$C$2,V44,I12)+'s3,s3b, s3d'!F76</f>
        <v>52674.95</v>
      </c>
      <c r="F94" s="188">
        <v>1</v>
      </c>
      <c r="G94" s="233">
        <f>$E$94*F94</f>
        <v>52674.95</v>
      </c>
      <c r="H94" s="309">
        <f>+NETLAG1</f>
        <v>3366.06</v>
      </c>
      <c r="I94" s="185">
        <v>1</v>
      </c>
      <c r="L94"/>
    </row>
    <row r="95" spans="1:22" ht="13.5" thickTop="1" x14ac:dyDescent="0.2">
      <c r="A95" t="s">
        <v>30</v>
      </c>
      <c r="C95" s="162">
        <f>D95+E95</f>
        <v>91285.8</v>
      </c>
      <c r="D95" s="162">
        <f>H13</f>
        <v>398.87</v>
      </c>
      <c r="E95" s="232">
        <f>IF($C$4&gt;$C$2,V45,I13)+'s3,s3b, s3d'!F77</f>
        <v>90886.93</v>
      </c>
      <c r="F95" s="144">
        <v>0.92620999999999998</v>
      </c>
      <c r="G95" s="151">
        <f>$E$95*F95+V97</f>
        <v>84180.38</v>
      </c>
      <c r="H95" s="284">
        <f>+NETLIG1*I95</f>
        <v>1000.39</v>
      </c>
      <c r="I95" s="298">
        <v>0.72724900000000003</v>
      </c>
      <c r="L95"/>
      <c r="T95" s="162">
        <f>$E$95*F95</f>
        <v>84180.38</v>
      </c>
    </row>
    <row r="96" spans="1:22" x14ac:dyDescent="0.2">
      <c r="B96" t="s">
        <v>383</v>
      </c>
      <c r="E96" s="223"/>
      <c r="F96" s="144">
        <v>7.3789999999999994E-2</v>
      </c>
      <c r="G96" s="151">
        <f>$E$95*F96</f>
        <v>6706.55</v>
      </c>
      <c r="H96" s="284">
        <f>+NETLIG1*I96</f>
        <v>375.19</v>
      </c>
      <c r="I96" s="298">
        <v>0.27275100000000002</v>
      </c>
      <c r="L96"/>
      <c r="T96" s="162">
        <f>$E$95*F96</f>
        <v>6706.55</v>
      </c>
    </row>
    <row r="97" spans="1:22" ht="13.5" thickBot="1" x14ac:dyDescent="0.25">
      <c r="E97" s="223"/>
      <c r="F97" s="185">
        <f>SUM(F95:F96)</f>
        <v>1</v>
      </c>
      <c r="G97" s="165">
        <f>SUM(G95:G96)</f>
        <v>90886.93</v>
      </c>
      <c r="H97" s="308">
        <f>SUM(H95:H96)</f>
        <v>1375.58</v>
      </c>
      <c r="I97" s="185">
        <f>SUM(I95:I96)</f>
        <v>1</v>
      </c>
      <c r="L97"/>
      <c r="T97" s="192">
        <f>SUM(T95:T96)</f>
        <v>90886.93</v>
      </c>
      <c r="U97" s="165">
        <f>E95</f>
        <v>90886.93</v>
      </c>
      <c r="V97" s="165">
        <f>U97-T97</f>
        <v>0</v>
      </c>
    </row>
    <row r="98" spans="1:22" ht="13.5" thickTop="1" x14ac:dyDescent="0.2">
      <c r="A98" t="s">
        <v>31</v>
      </c>
      <c r="C98" s="162">
        <f>D98+E98</f>
        <v>46403.07</v>
      </c>
      <c r="D98" s="162">
        <f>H14</f>
        <v>261.76</v>
      </c>
      <c r="E98" s="232">
        <f>IF($C$4&gt;$C$2,V47,I14)+'s3,s3b, s3d'!F78</f>
        <v>46141.31</v>
      </c>
      <c r="F98" s="144">
        <v>0.83233000000000001</v>
      </c>
      <c r="G98" s="151">
        <f>$E$98*F98+V101</f>
        <v>38404.800000000003</v>
      </c>
      <c r="H98" s="284">
        <f>+NETLYG1*I98</f>
        <v>11710.68</v>
      </c>
      <c r="I98" s="298">
        <v>0.65703900000000004</v>
      </c>
      <c r="L98"/>
      <c r="T98" s="162">
        <f>$E$98*F98</f>
        <v>38404.800000000003</v>
      </c>
    </row>
    <row r="99" spans="1:22" x14ac:dyDescent="0.2">
      <c r="B99" t="s">
        <v>385</v>
      </c>
      <c r="E99" s="147" t="s">
        <v>81</v>
      </c>
      <c r="F99" s="184">
        <v>0.13405</v>
      </c>
      <c r="G99" s="151">
        <f>$E$98*F99</f>
        <v>6185.24</v>
      </c>
      <c r="H99" s="284">
        <f>+NETLYG1*I99</f>
        <v>4798.6400000000003</v>
      </c>
      <c r="I99" s="298">
        <v>0.26923200000000003</v>
      </c>
      <c r="L99"/>
      <c r="T99" s="162">
        <f>$E$98*F99</f>
        <v>6185.24</v>
      </c>
    </row>
    <row r="100" spans="1:22" x14ac:dyDescent="0.2">
      <c r="B100" t="s">
        <v>384</v>
      </c>
      <c r="E100" s="223"/>
      <c r="F100" s="144">
        <v>3.3619999999999997E-2</v>
      </c>
      <c r="G100" s="151">
        <f>$E$98*F100</f>
        <v>1551.27</v>
      </c>
      <c r="H100" s="284">
        <f>+NETLYG1*I100</f>
        <v>1314.1</v>
      </c>
      <c r="I100" s="298">
        <v>7.3729000000000003E-2</v>
      </c>
      <c r="L100"/>
      <c r="T100" s="162">
        <f>$E$98*F100</f>
        <v>1551.27</v>
      </c>
    </row>
    <row r="101" spans="1:22" ht="13.5" thickBot="1" x14ac:dyDescent="0.25">
      <c r="E101" s="223"/>
      <c r="F101" s="185">
        <v>1</v>
      </c>
      <c r="G101" s="165">
        <f>SUM(G98:G100)</f>
        <v>46141.31</v>
      </c>
      <c r="H101" s="308">
        <f>SUM(H98:H100)</f>
        <v>17823.419999999998</v>
      </c>
      <c r="I101" s="185">
        <f>SUM(I98:I100)</f>
        <v>1</v>
      </c>
      <c r="L101"/>
      <c r="T101" s="192">
        <f>SUM(T98:T100)</f>
        <v>46141.31</v>
      </c>
      <c r="U101" s="165">
        <f>E98</f>
        <v>46141.31</v>
      </c>
      <c r="V101" s="165">
        <f>U101-T101</f>
        <v>0</v>
      </c>
    </row>
    <row r="102" spans="1:22" ht="14.25" thickTop="1" thickBot="1" x14ac:dyDescent="0.25">
      <c r="A102" t="s">
        <v>32</v>
      </c>
      <c r="C102" s="162">
        <f>D102+E102</f>
        <v>28656.48</v>
      </c>
      <c r="D102" s="162">
        <f>H15</f>
        <v>87.25</v>
      </c>
      <c r="E102" s="232">
        <f>IF($C$4&gt;$C$2,V50,I15)+'s3,s3b, s3d'!F79</f>
        <v>28569.23</v>
      </c>
      <c r="F102" s="188">
        <v>1</v>
      </c>
      <c r="G102" s="233">
        <f>E102*F102</f>
        <v>28569.23</v>
      </c>
      <c r="H102" s="310">
        <f>+NETMIG1</f>
        <v>1774.08</v>
      </c>
      <c r="I102" s="185">
        <v>1</v>
      </c>
      <c r="L102"/>
    </row>
    <row r="103" spans="1:22" ht="14.25" thickTop="1" thickBot="1" x14ac:dyDescent="0.25">
      <c r="A103" t="s">
        <v>33</v>
      </c>
      <c r="C103" s="162">
        <f>D103+E103</f>
        <v>143578.23999999999</v>
      </c>
      <c r="D103" s="162">
        <f>H16</f>
        <v>548.44000000000005</v>
      </c>
      <c r="E103" s="232">
        <f>IF($C$4&gt;$C$2,V51,I16)+'s3,s3b, s3d'!F80</f>
        <v>143029.79999999999</v>
      </c>
      <c r="F103" s="188">
        <v>1</v>
      </c>
      <c r="G103" s="233">
        <f>E103*F103</f>
        <v>143029.79999999999</v>
      </c>
      <c r="H103" s="306">
        <f>+NETNYG1</f>
        <v>18519.54</v>
      </c>
      <c r="I103" s="185">
        <v>1</v>
      </c>
      <c r="L103"/>
    </row>
    <row r="104" spans="1:22" ht="13.5" thickTop="1" x14ac:dyDescent="0.2">
      <c r="A104" t="s">
        <v>34</v>
      </c>
      <c r="C104" s="162">
        <f>D104+E104</f>
        <v>65083.8</v>
      </c>
      <c r="D104" s="162">
        <f>H17</f>
        <v>411.33</v>
      </c>
      <c r="E104" s="232">
        <f>IF($C$4&gt;$C$2,V52,I17)+'s3,s3b, s3d'!F81</f>
        <v>64672.47</v>
      </c>
      <c r="F104" s="144">
        <v>0.90059999999999996</v>
      </c>
      <c r="G104" s="151">
        <f>E104*F104+V104</f>
        <v>58244.03</v>
      </c>
      <c r="H104" s="284">
        <f>+NETPEG1*I104</f>
        <v>1934.3</v>
      </c>
      <c r="I104" s="298">
        <v>0.67320199999999997</v>
      </c>
      <c r="L104"/>
      <c r="T104" s="162">
        <f>$E$104*F104</f>
        <v>58244.03</v>
      </c>
    </row>
    <row r="105" spans="1:22" x14ac:dyDescent="0.2">
      <c r="B105" t="s">
        <v>389</v>
      </c>
      <c r="E105" s="223"/>
      <c r="F105" s="144">
        <v>9.9400000000000002E-2</v>
      </c>
      <c r="G105" s="151">
        <f>E104*F105</f>
        <v>6428.44</v>
      </c>
      <c r="H105" s="284">
        <f>+NETPEG1*I105</f>
        <v>938.98</v>
      </c>
      <c r="I105" s="298">
        <v>0.32679799999999998</v>
      </c>
      <c r="L105"/>
      <c r="T105" s="162">
        <f>$E$104*F105</f>
        <v>6428.44</v>
      </c>
    </row>
    <row r="106" spans="1:22" ht="13.5" thickBot="1" x14ac:dyDescent="0.25">
      <c r="E106" s="223"/>
      <c r="F106" s="185">
        <f>SUM(F104:F105)</f>
        <v>1</v>
      </c>
      <c r="G106" s="165">
        <f>SUM(G104:G105)</f>
        <v>64672.47</v>
      </c>
      <c r="H106" s="308">
        <f>SUM(H104:H105)</f>
        <v>2873.28</v>
      </c>
      <c r="I106" s="185">
        <f>SUM(I104:I105)</f>
        <v>1</v>
      </c>
      <c r="L106"/>
      <c r="T106" s="192">
        <f>SUM(T104:T105)</f>
        <v>64672.47</v>
      </c>
      <c r="U106" s="165">
        <f>E104</f>
        <v>64672.47</v>
      </c>
      <c r="V106" s="165">
        <f>U106-T106</f>
        <v>0</v>
      </c>
    </row>
    <row r="107" spans="1:22" ht="14.25" thickTop="1" thickBot="1" x14ac:dyDescent="0.25">
      <c r="A107" t="s">
        <v>35</v>
      </c>
      <c r="C107" s="162">
        <f>D107+E107</f>
        <v>4335.9799999999996</v>
      </c>
      <c r="D107" s="162">
        <f>H18</f>
        <v>24.93</v>
      </c>
      <c r="E107" s="232">
        <f>IF($C$4&gt;$C$2,V54,I18)+'s3,s3b, s3d'!F82</f>
        <v>4311.05</v>
      </c>
      <c r="F107" s="188">
        <v>1</v>
      </c>
      <c r="G107" s="233">
        <f>$E$107*F107</f>
        <v>4311.05</v>
      </c>
      <c r="H107" s="309">
        <f>+NETSTG1</f>
        <v>357.99</v>
      </c>
      <c r="I107" s="185">
        <v>1</v>
      </c>
      <c r="L107"/>
    </row>
    <row r="108" spans="1:22" ht="13.5" thickTop="1" x14ac:dyDescent="0.2">
      <c r="A108" t="s">
        <v>36</v>
      </c>
      <c r="C108" s="162">
        <f>D108+E108</f>
        <v>294210.96000000002</v>
      </c>
      <c r="D108" s="162">
        <f>H19</f>
        <v>1720.12</v>
      </c>
      <c r="E108" s="232">
        <f>IF($C$4&gt;$C$2,V55,I19)+'s3,s3b, s3d'!F83</f>
        <v>292490.84000000003</v>
      </c>
      <c r="F108" s="144">
        <v>0.57206999999999997</v>
      </c>
      <c r="G108" s="151">
        <f>$E$108*F108+V111</f>
        <v>167325.23000000001</v>
      </c>
      <c r="H108" s="284">
        <f>+NETWAG1*I108</f>
        <v>40158.43</v>
      </c>
      <c r="I108" s="298">
        <v>0.26802399999999998</v>
      </c>
      <c r="L108"/>
      <c r="T108" s="162">
        <f>$E$108*F108</f>
        <v>167325.23000000001</v>
      </c>
    </row>
    <row r="109" spans="1:22" x14ac:dyDescent="0.2">
      <c r="B109" t="s">
        <v>390</v>
      </c>
      <c r="E109" s="223"/>
      <c r="F109" s="144">
        <v>0.30831999999999998</v>
      </c>
      <c r="G109" s="151">
        <f>$E$108*F109</f>
        <v>90180.78</v>
      </c>
      <c r="H109" s="284">
        <f>+NETWAG1*I109</f>
        <v>78301.78</v>
      </c>
      <c r="I109" s="298">
        <v>0.52259900000000004</v>
      </c>
      <c r="L109"/>
      <c r="T109" s="162">
        <f>$E$108*F109</f>
        <v>90180.78</v>
      </c>
    </row>
    <row r="110" spans="1:22" x14ac:dyDescent="0.2">
      <c r="B110" t="s">
        <v>391</v>
      </c>
      <c r="E110" s="223"/>
      <c r="F110" s="184">
        <v>0.11960999999999999</v>
      </c>
      <c r="G110" s="151">
        <f>$E$108*F110</f>
        <v>34984.83</v>
      </c>
      <c r="H110" s="284">
        <f>+NETWAG1*I110</f>
        <v>31371.27</v>
      </c>
      <c r="I110" s="298">
        <v>0.20937700000000001</v>
      </c>
      <c r="L110"/>
      <c r="T110" s="162">
        <f>$E$108*F110</f>
        <v>34984.83</v>
      </c>
    </row>
    <row r="111" spans="1:22" ht="13.5" thickBot="1" x14ac:dyDescent="0.25">
      <c r="E111" s="223"/>
      <c r="F111" s="185">
        <f>SUM(F108:F110)</f>
        <v>1</v>
      </c>
      <c r="G111" s="165">
        <f>SUM(G108:G110)</f>
        <v>292490.84000000003</v>
      </c>
      <c r="H111" s="308">
        <f>SUM(H108:H110)</f>
        <v>149831.48000000001</v>
      </c>
      <c r="I111" s="185">
        <f>SUM(I108:I110)</f>
        <v>1</v>
      </c>
      <c r="L111"/>
      <c r="T111" s="192">
        <f>SUM(T108:T110)</f>
        <v>292490.84000000003</v>
      </c>
      <c r="U111" s="165">
        <f>E108</f>
        <v>292490.84000000003</v>
      </c>
      <c r="V111" s="165">
        <f>U111-T111</f>
        <v>0</v>
      </c>
    </row>
    <row r="112" spans="1:22" ht="13.5" thickTop="1" x14ac:dyDescent="0.2">
      <c r="A112" t="s">
        <v>37</v>
      </c>
      <c r="C112" s="162">
        <f>D112+E112</f>
        <v>85698.92</v>
      </c>
      <c r="D112" s="162">
        <f>H20</f>
        <v>261.76</v>
      </c>
      <c r="E112" s="232">
        <f>IF($C$4&gt;$C$2,V58,I20)+'s3,s3b, s3d'!F84</f>
        <v>85437.16</v>
      </c>
      <c r="F112" s="144">
        <v>0.87383999999999995</v>
      </c>
      <c r="G112" s="151">
        <f>$E$112*F112+V114</f>
        <v>74658.41</v>
      </c>
      <c r="H112" s="284">
        <f>+NETWHG1*I112</f>
        <v>3364.26</v>
      </c>
      <c r="I112" s="298">
        <v>0.56154800000000005</v>
      </c>
      <c r="L112"/>
      <c r="T112" s="162">
        <f>$E$112*F112</f>
        <v>74658.41</v>
      </c>
    </row>
    <row r="113" spans="1:22" x14ac:dyDescent="0.2">
      <c r="B113" t="s">
        <v>392</v>
      </c>
      <c r="E113" s="223"/>
      <c r="F113" s="144">
        <v>0.12615999999999999</v>
      </c>
      <c r="G113" s="151">
        <f>$E$112*F113</f>
        <v>10778.75</v>
      </c>
      <c r="H113" s="284">
        <f>+NETWHG1*I113</f>
        <v>2626.78</v>
      </c>
      <c r="I113" s="298">
        <v>0.43845200000000001</v>
      </c>
      <c r="L113"/>
      <c r="T113" s="162">
        <f>$E$112*F113</f>
        <v>10778.75</v>
      </c>
    </row>
    <row r="114" spans="1:22" ht="13.5" thickBot="1" x14ac:dyDescent="0.25">
      <c r="E114" s="223"/>
      <c r="F114" s="185">
        <f>+F112+F113</f>
        <v>1</v>
      </c>
      <c r="I114" s="185">
        <f>SUM(I112:I113)</f>
        <v>1</v>
      </c>
      <c r="L114"/>
      <c r="T114" s="192">
        <f>SUM(T112:T113)</f>
        <v>85437.16</v>
      </c>
      <c r="U114" s="165">
        <f>E112</f>
        <v>85437.16</v>
      </c>
      <c r="V114" s="165">
        <f>U114-T114</f>
        <v>0</v>
      </c>
    </row>
    <row r="115" spans="1:22" ht="14.25" thickTop="1" thickBot="1" x14ac:dyDescent="0.25">
      <c r="A115" s="238" t="s">
        <v>243</v>
      </c>
      <c r="B115" s="238"/>
      <c r="C115" s="176">
        <f>SUM(C71:C114)</f>
        <v>2067785.71</v>
      </c>
      <c r="D115" s="176">
        <f>SUM(D71:D114)</f>
        <v>12464.63</v>
      </c>
      <c r="E115" s="176">
        <f>SUM(E71:E114)</f>
        <v>2055321.08</v>
      </c>
      <c r="F115" s="311" t="s">
        <v>81</v>
      </c>
      <c r="G115" s="165">
        <f>SUM(G112:G113)</f>
        <v>85437.16</v>
      </c>
      <c r="H115" s="308">
        <f>SUM(H112:H113)</f>
        <v>5991.04</v>
      </c>
      <c r="I115" s="311" t="s">
        <v>81</v>
      </c>
      <c r="L115"/>
    </row>
    <row r="116" spans="1:22" ht="13.5" hidden="1" thickTop="1" x14ac:dyDescent="0.2">
      <c r="C116" s="11">
        <f>'s3,s3b, s3d'!I9</f>
        <v>2067785.7</v>
      </c>
      <c r="G116" s="162">
        <f>G115+G111+G107+G106+G103+G102+G101+G97+G94+G93+G90+G89+G88+G82+G81+G74+G71</f>
        <v>2055321.08</v>
      </c>
      <c r="H116" s="162">
        <f>H115+H111+H107+H106+H103+H102+H101+H97+H94+H93+H90+H89+H88+H82+H81+H74+H71</f>
        <v>889100.38</v>
      </c>
      <c r="L116"/>
    </row>
    <row r="117" spans="1:22" ht="13.5" thickTop="1" x14ac:dyDescent="0.2">
      <c r="H117" s="151"/>
      <c r="L117"/>
    </row>
    <row r="118" spans="1:22" x14ac:dyDescent="0.2">
      <c r="H118" s="151"/>
      <c r="L118"/>
    </row>
    <row r="119" spans="1:22" x14ac:dyDescent="0.2">
      <c r="H119" s="151"/>
      <c r="L119"/>
    </row>
    <row r="120" spans="1:22" x14ac:dyDescent="0.2">
      <c r="H120" s="151"/>
      <c r="L120"/>
    </row>
    <row r="121" spans="1:22" x14ac:dyDescent="0.2">
      <c r="H121" s="151"/>
      <c r="L121"/>
    </row>
    <row r="122" spans="1:22" x14ac:dyDescent="0.2">
      <c r="H122" s="151"/>
      <c r="L122"/>
    </row>
    <row r="123" spans="1:22" x14ac:dyDescent="0.2">
      <c r="H123" s="151"/>
      <c r="L123"/>
    </row>
    <row r="124" spans="1:22" x14ac:dyDescent="0.2">
      <c r="H124" s="151"/>
      <c r="L124"/>
    </row>
    <row r="125" spans="1:22" x14ac:dyDescent="0.2">
      <c r="H125" s="151"/>
      <c r="L125"/>
    </row>
    <row r="126" spans="1:22" x14ac:dyDescent="0.2">
      <c r="H126" s="151"/>
      <c r="L126"/>
    </row>
    <row r="127" spans="1:22" x14ac:dyDescent="0.2">
      <c r="H127" s="151"/>
      <c r="L127"/>
    </row>
    <row r="128" spans="1:22" x14ac:dyDescent="0.2">
      <c r="H128" s="151"/>
      <c r="L128"/>
    </row>
    <row r="129" spans="8:12" x14ac:dyDescent="0.2">
      <c r="H129" s="151"/>
      <c r="L129"/>
    </row>
    <row r="130" spans="8:12" x14ac:dyDescent="0.2">
      <c r="H130" s="151"/>
      <c r="L130"/>
    </row>
    <row r="131" spans="8:12" x14ac:dyDescent="0.2">
      <c r="L131"/>
    </row>
    <row r="132" spans="8:12" x14ac:dyDescent="0.2">
      <c r="L132"/>
    </row>
    <row r="133" spans="8:12" x14ac:dyDescent="0.2">
      <c r="L133"/>
    </row>
    <row r="134" spans="8:12" x14ac:dyDescent="0.2">
      <c r="L134"/>
    </row>
    <row r="135" spans="8:12" x14ac:dyDescent="0.2">
      <c r="L135"/>
    </row>
    <row r="136" spans="8:12" x14ac:dyDescent="0.2">
      <c r="L136"/>
    </row>
    <row r="137" spans="8:12" x14ac:dyDescent="0.2">
      <c r="L137"/>
    </row>
    <row r="138" spans="8:12" x14ac:dyDescent="0.2">
      <c r="L138"/>
    </row>
    <row r="139" spans="8:12" x14ac:dyDescent="0.2">
      <c r="L139"/>
    </row>
    <row r="140" spans="8:12" x14ac:dyDescent="0.2">
      <c r="L140"/>
    </row>
    <row r="141" spans="8:12" x14ac:dyDescent="0.2">
      <c r="L141"/>
    </row>
    <row r="142" spans="8:12" x14ac:dyDescent="0.2">
      <c r="L142"/>
    </row>
    <row r="143" spans="8:12" x14ac:dyDescent="0.2">
      <c r="L143"/>
    </row>
    <row r="144" spans="8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</sheetData>
  <mergeCells count="5">
    <mergeCell ref="N23:Q23"/>
    <mergeCell ref="A22:E22"/>
    <mergeCell ref="A23:B23"/>
    <mergeCell ref="A67:G67"/>
    <mergeCell ref="H67:I68"/>
  </mergeCells>
  <phoneticPr fontId="0" type="noConversion"/>
  <printOptions horizontalCentered="1" verticalCentered="1"/>
  <pageMargins left="0.75" right="0.33" top="0.25" bottom="0.25" header="0.5" footer="0.5"/>
  <pageSetup scale="80" fitToHeight="32" orientation="landscape" r:id="rId1"/>
  <headerFooter alignWithMargins="0"/>
  <rowBreaks count="1" manualBreakCount="1">
    <brk id="62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defaultRowHeight="12.75" x14ac:dyDescent="0.2"/>
  <cols>
    <col min="1" max="1" width="24.140625" customWidth="1"/>
    <col min="2" max="3" width="16.140625" customWidth="1"/>
    <col min="4" max="4" width="16.140625" style="296" customWidth="1"/>
    <col min="5" max="6" width="16.140625" customWidth="1"/>
    <col min="7" max="7" width="18.7109375" customWidth="1"/>
  </cols>
  <sheetData>
    <row r="1" spans="1:7" ht="15.75" x14ac:dyDescent="0.25">
      <c r="A1" s="63" t="s">
        <v>154</v>
      </c>
      <c r="B1" s="63"/>
      <c r="D1" s="293"/>
      <c r="E1" s="1"/>
      <c r="F1" s="1"/>
      <c r="G1" s="1"/>
    </row>
    <row r="2" spans="1:7" ht="15.75" x14ac:dyDescent="0.25">
      <c r="A2" s="116" t="str">
        <f>ReportMonth</f>
        <v>JUNE 2004</v>
      </c>
      <c r="B2" s="63"/>
      <c r="C2" s="63"/>
      <c r="D2" s="293"/>
      <c r="E2" s="1"/>
      <c r="F2" s="1"/>
      <c r="G2" s="1"/>
    </row>
    <row r="3" spans="1:7" ht="15.75" x14ac:dyDescent="0.25">
      <c r="A3" s="66" t="s">
        <v>155</v>
      </c>
      <c r="B3" s="66"/>
      <c r="C3" s="66"/>
      <c r="D3" s="294"/>
      <c r="E3" s="42"/>
      <c r="F3" s="42"/>
      <c r="G3" s="42"/>
    </row>
    <row r="4" spans="1:7" ht="19.5" customHeight="1" x14ac:dyDescent="0.25">
      <c r="A4" s="64"/>
      <c r="B4" s="63"/>
      <c r="C4" s="63"/>
      <c r="D4" s="293"/>
      <c r="E4" s="1"/>
      <c r="F4" s="1"/>
      <c r="G4" s="1"/>
    </row>
    <row r="5" spans="1:7" ht="13.5" customHeight="1" x14ac:dyDescent="0.25">
      <c r="A5" s="64"/>
      <c r="B5" s="63"/>
      <c r="C5" s="63"/>
      <c r="D5" s="293"/>
      <c r="E5" s="1"/>
      <c r="F5" s="1"/>
      <c r="G5" s="1"/>
    </row>
    <row r="6" spans="1:7" x14ac:dyDescent="0.2">
      <c r="A6" s="1"/>
      <c r="B6" s="1"/>
      <c r="C6" s="119" t="s">
        <v>156</v>
      </c>
      <c r="D6" s="266" t="s">
        <v>113</v>
      </c>
      <c r="E6" s="119" t="s">
        <v>157</v>
      </c>
      <c r="F6" s="119" t="s">
        <v>113</v>
      </c>
      <c r="G6" s="1"/>
    </row>
    <row r="7" spans="1:7" x14ac:dyDescent="0.2">
      <c r="A7" s="1"/>
      <c r="B7" s="97" t="s">
        <v>158</v>
      </c>
      <c r="C7" s="97" t="s">
        <v>159</v>
      </c>
      <c r="D7" s="267" t="s">
        <v>160</v>
      </c>
      <c r="E7" s="97" t="s">
        <v>161</v>
      </c>
      <c r="F7" s="97" t="s">
        <v>162</v>
      </c>
      <c r="G7" s="97" t="s">
        <v>163</v>
      </c>
    </row>
    <row r="8" spans="1:7" ht="26.25" customHeight="1" x14ac:dyDescent="0.2">
      <c r="A8" s="1" t="s">
        <v>164</v>
      </c>
      <c r="B8" s="2">
        <f>ST12.65</f>
        <v>11319525.27</v>
      </c>
      <c r="C8" s="2">
        <v>142246.49</v>
      </c>
      <c r="D8" s="268">
        <v>67096.78</v>
      </c>
      <c r="E8" s="1"/>
      <c r="F8" s="1"/>
      <c r="G8" s="9">
        <f>B8-C8-D8-E8-F8</f>
        <v>11110182</v>
      </c>
    </row>
    <row r="9" spans="1:7" x14ac:dyDescent="0.2">
      <c r="A9" s="1" t="s">
        <v>165</v>
      </c>
      <c r="B9" s="2">
        <f>_ST5</f>
        <v>4473050.68</v>
      </c>
      <c r="C9" s="2">
        <v>56210.23</v>
      </c>
      <c r="D9" s="268">
        <v>26520.47</v>
      </c>
      <c r="E9" s="1"/>
      <c r="F9" s="1"/>
      <c r="G9" s="9">
        <f>B9-C9-D9-E9-F9</f>
        <v>4390319.9800000004</v>
      </c>
    </row>
    <row r="10" spans="1:7" x14ac:dyDescent="0.2">
      <c r="A10" s="1" t="s">
        <v>166</v>
      </c>
      <c r="B10" s="2">
        <f>ST5.35</f>
        <v>4783432.29</v>
      </c>
      <c r="C10" s="2">
        <v>60110.720000000001</v>
      </c>
      <c r="D10" s="268">
        <v>28376.89</v>
      </c>
      <c r="E10" s="1"/>
      <c r="F10" s="2">
        <v>15805.83</v>
      </c>
      <c r="G10" s="9">
        <f t="shared" ref="G10:G52" si="0">B10-C10-D10-E10-F10</f>
        <v>4679138.8499999996</v>
      </c>
    </row>
    <row r="11" spans="1:7" x14ac:dyDescent="0.2">
      <c r="A11" s="3" t="s">
        <v>335</v>
      </c>
      <c r="B11" s="2">
        <f>AVGAS10.5</f>
        <v>5570.32</v>
      </c>
      <c r="C11" s="2"/>
      <c r="D11" s="268"/>
      <c r="E11" s="2">
        <f>AVGAS10.5</f>
        <v>5570.32</v>
      </c>
      <c r="F11" s="1"/>
      <c r="G11" s="9">
        <f t="shared" si="0"/>
        <v>0</v>
      </c>
    </row>
    <row r="12" spans="1:7" x14ac:dyDescent="0.2">
      <c r="A12" s="3" t="s">
        <v>336</v>
      </c>
      <c r="B12" s="2">
        <f>AV_OPT</f>
        <v>2570.88</v>
      </c>
      <c r="C12" s="2"/>
      <c r="D12" s="268"/>
      <c r="E12" s="2"/>
      <c r="F12" s="1"/>
      <c r="G12" s="9">
        <f t="shared" si="0"/>
        <v>2570.88</v>
      </c>
    </row>
    <row r="13" spans="1:7" x14ac:dyDescent="0.2">
      <c r="A13" s="1" t="s">
        <v>167</v>
      </c>
      <c r="B13" s="2">
        <f>_JET1</f>
        <v>382756.01</v>
      </c>
      <c r="C13" s="2"/>
      <c r="D13" s="268"/>
      <c r="E13" s="1"/>
      <c r="F13" s="1"/>
      <c r="G13" s="9">
        <f t="shared" si="0"/>
        <v>382756.01</v>
      </c>
    </row>
    <row r="14" spans="1:7" x14ac:dyDescent="0.2">
      <c r="A14" s="1" t="s">
        <v>168</v>
      </c>
      <c r="B14" s="2">
        <f>_JET2</f>
        <v>700963.36</v>
      </c>
      <c r="C14" s="2"/>
      <c r="D14" s="268"/>
      <c r="E14" s="1"/>
      <c r="F14" s="1"/>
      <c r="G14" s="9">
        <f t="shared" si="0"/>
        <v>700963.36</v>
      </c>
    </row>
    <row r="15" spans="1:7" x14ac:dyDescent="0.2">
      <c r="A15" s="1" t="s">
        <v>169</v>
      </c>
      <c r="B15" s="2">
        <f>CAG</f>
        <v>295974.59000000003</v>
      </c>
      <c r="C15" s="2"/>
      <c r="D15" s="268">
        <v>45.51</v>
      </c>
      <c r="E15" s="1"/>
      <c r="F15" s="2">
        <f>B15*0.005</f>
        <v>1479.87</v>
      </c>
      <c r="G15" s="9">
        <f t="shared" si="0"/>
        <v>294449.21000000002</v>
      </c>
    </row>
    <row r="16" spans="1:7" x14ac:dyDescent="0.2">
      <c r="A16" s="1" t="s">
        <v>170</v>
      </c>
      <c r="B16" s="2">
        <f>_CAG1</f>
        <v>32886.07</v>
      </c>
      <c r="C16" s="2"/>
      <c r="D16" s="268">
        <v>5.0599999999999996</v>
      </c>
      <c r="E16" s="1"/>
      <c r="F16" s="2">
        <v>0</v>
      </c>
      <c r="G16" s="9">
        <f t="shared" si="0"/>
        <v>32881.01</v>
      </c>
    </row>
    <row r="17" spans="1:7" x14ac:dyDescent="0.2">
      <c r="A17" s="1" t="s">
        <v>358</v>
      </c>
      <c r="B17" s="2">
        <f>CHG</f>
        <v>76038.73</v>
      </c>
      <c r="C17" s="2"/>
      <c r="D17" s="268">
        <v>181.17</v>
      </c>
      <c r="E17" s="1"/>
      <c r="F17" s="2">
        <f>B17*0.005</f>
        <v>380.19</v>
      </c>
      <c r="G17" s="9">
        <f t="shared" si="0"/>
        <v>75477.37</v>
      </c>
    </row>
    <row r="18" spans="1:7" x14ac:dyDescent="0.2">
      <c r="A18" s="1" t="s">
        <v>171</v>
      </c>
      <c r="B18" s="11">
        <f>_CHG1</f>
        <v>8448.75</v>
      </c>
      <c r="C18" s="2"/>
      <c r="D18" s="268">
        <v>20.12</v>
      </c>
      <c r="E18" s="1"/>
      <c r="F18" s="2">
        <v>0</v>
      </c>
      <c r="G18" s="9">
        <f t="shared" si="0"/>
        <v>8428.6299999999992</v>
      </c>
    </row>
    <row r="19" spans="1:7" x14ac:dyDescent="0.2">
      <c r="A19" s="1" t="s">
        <v>172</v>
      </c>
      <c r="B19" s="2">
        <f>CLG</f>
        <v>5296021.38</v>
      </c>
      <c r="C19" s="2"/>
      <c r="D19" s="268">
        <v>1273.68</v>
      </c>
      <c r="E19" s="1"/>
      <c r="F19" s="2">
        <f>B19*0.005</f>
        <v>26480.11</v>
      </c>
      <c r="G19" s="9">
        <f t="shared" si="0"/>
        <v>5268267.59</v>
      </c>
    </row>
    <row r="20" spans="1:7" x14ac:dyDescent="0.2">
      <c r="A20" s="1" t="s">
        <v>173</v>
      </c>
      <c r="B20" s="11">
        <f>_CLG1</f>
        <v>588211.74</v>
      </c>
      <c r="C20" s="2"/>
      <c r="D20" s="268">
        <v>141.52000000000001</v>
      </c>
      <c r="E20" s="1"/>
      <c r="F20" s="2">
        <v>0</v>
      </c>
      <c r="G20" s="9">
        <f t="shared" si="0"/>
        <v>588070.22</v>
      </c>
    </row>
    <row r="21" spans="1:7" x14ac:dyDescent="0.2">
      <c r="A21" s="1" t="s">
        <v>174</v>
      </c>
      <c r="B21" s="2">
        <f>DOG</f>
        <v>87465.16</v>
      </c>
      <c r="C21" s="2"/>
      <c r="D21" s="268">
        <v>499.8</v>
      </c>
      <c r="E21" s="1"/>
      <c r="F21" s="2">
        <f>B21*0.005</f>
        <v>437.33</v>
      </c>
      <c r="G21" s="9">
        <f t="shared" si="0"/>
        <v>86528.03</v>
      </c>
    </row>
    <row r="22" spans="1:7" x14ac:dyDescent="0.2">
      <c r="A22" s="1" t="s">
        <v>175</v>
      </c>
      <c r="B22" s="11">
        <f>_DOG1</f>
        <v>21866.3</v>
      </c>
      <c r="C22" s="2"/>
      <c r="D22" s="268">
        <v>124.95</v>
      </c>
      <c r="E22" s="1"/>
      <c r="F22" s="2">
        <v>0</v>
      </c>
      <c r="G22" s="9">
        <f t="shared" si="0"/>
        <v>21741.35</v>
      </c>
    </row>
    <row r="23" spans="1:7" x14ac:dyDescent="0.2">
      <c r="A23" s="1" t="s">
        <v>176</v>
      </c>
      <c r="B23" s="2">
        <f>ELG</f>
        <v>92006.56</v>
      </c>
      <c r="C23" s="2"/>
      <c r="D23" s="268">
        <v>482.23</v>
      </c>
      <c r="E23" s="1"/>
      <c r="F23" s="2">
        <f>B23*0.005</f>
        <v>460.03</v>
      </c>
      <c r="G23" s="9">
        <f t="shared" si="0"/>
        <v>91064.3</v>
      </c>
    </row>
    <row r="24" spans="1:7" x14ac:dyDescent="0.2">
      <c r="A24" s="1" t="s">
        <v>177</v>
      </c>
      <c r="B24" s="11">
        <f>_ELG1</f>
        <v>23001.66</v>
      </c>
      <c r="C24" s="2"/>
      <c r="D24" s="268">
        <v>120.55</v>
      </c>
      <c r="E24" s="1"/>
      <c r="F24" s="2">
        <v>0</v>
      </c>
      <c r="G24" s="9">
        <f t="shared" si="0"/>
        <v>22881.11</v>
      </c>
    </row>
    <row r="25" spans="1:7" x14ac:dyDescent="0.2">
      <c r="A25" s="1" t="s">
        <v>178</v>
      </c>
      <c r="B25" s="2">
        <f>ESG</f>
        <v>1796.38</v>
      </c>
      <c r="C25" s="2"/>
      <c r="D25" s="268">
        <v>0</v>
      </c>
      <c r="E25" s="1"/>
      <c r="F25" s="2">
        <f>B25*0.005</f>
        <v>8.98</v>
      </c>
      <c r="G25" s="9">
        <f t="shared" si="0"/>
        <v>1787.4</v>
      </c>
    </row>
    <row r="26" spans="1:7" x14ac:dyDescent="0.2">
      <c r="A26" s="1" t="s">
        <v>179</v>
      </c>
      <c r="B26" s="11">
        <f>_ESG1</f>
        <v>449.1</v>
      </c>
      <c r="C26" s="2"/>
      <c r="D26" s="268">
        <v>0</v>
      </c>
      <c r="E26" s="1"/>
      <c r="F26" s="2">
        <v>0</v>
      </c>
      <c r="G26" s="9">
        <f t="shared" si="0"/>
        <v>449.1</v>
      </c>
    </row>
    <row r="27" spans="1:7" x14ac:dyDescent="0.2">
      <c r="A27" s="1" t="s">
        <v>180</v>
      </c>
      <c r="B27" s="2">
        <f>EUG</f>
        <v>4240.82</v>
      </c>
      <c r="C27" s="2"/>
      <c r="D27" s="268">
        <v>67.739999999999995</v>
      </c>
      <c r="E27" s="1"/>
      <c r="F27" s="2">
        <f>B27*0.005</f>
        <v>21.2</v>
      </c>
      <c r="G27" s="9">
        <f t="shared" si="0"/>
        <v>4151.88</v>
      </c>
    </row>
    <row r="28" spans="1:7" x14ac:dyDescent="0.2">
      <c r="A28" s="1" t="s">
        <v>181</v>
      </c>
      <c r="B28" s="11">
        <f>_EUG1</f>
        <v>1060.21</v>
      </c>
      <c r="C28" s="2"/>
      <c r="D28" s="268">
        <v>16.940000000000001</v>
      </c>
      <c r="E28" s="1"/>
      <c r="F28" s="2">
        <v>0</v>
      </c>
      <c r="G28" s="9">
        <f t="shared" si="0"/>
        <v>1043.27</v>
      </c>
    </row>
    <row r="29" spans="1:7" x14ac:dyDescent="0.2">
      <c r="A29" s="1" t="s">
        <v>359</v>
      </c>
      <c r="B29" s="2">
        <f>HUG</f>
        <v>105853.41</v>
      </c>
      <c r="C29" s="2"/>
      <c r="D29" s="268">
        <v>614.4</v>
      </c>
      <c r="E29" s="1"/>
      <c r="F29" s="2">
        <f>B29*0.005</f>
        <v>529.27</v>
      </c>
      <c r="G29" s="9">
        <f t="shared" si="0"/>
        <v>104709.74</v>
      </c>
    </row>
    <row r="30" spans="1:7" x14ac:dyDescent="0.2">
      <c r="A30" s="1" t="s">
        <v>182</v>
      </c>
      <c r="B30" s="11">
        <f>_HUG1</f>
        <v>11761.48</v>
      </c>
      <c r="C30" s="2"/>
      <c r="D30" s="268">
        <v>68.260000000000005</v>
      </c>
      <c r="E30" s="1"/>
      <c r="F30" s="2">
        <v>0</v>
      </c>
      <c r="G30" s="9">
        <f t="shared" si="0"/>
        <v>11693.22</v>
      </c>
    </row>
    <row r="31" spans="1:7" x14ac:dyDescent="0.2">
      <c r="A31" s="1" t="s">
        <v>183</v>
      </c>
      <c r="B31" s="2">
        <f>LAG</f>
        <v>31411.26</v>
      </c>
      <c r="C31" s="2"/>
      <c r="D31" s="268">
        <v>169.89</v>
      </c>
      <c r="E31" s="1"/>
      <c r="F31" s="2">
        <f>B31*0.005</f>
        <v>157.06</v>
      </c>
      <c r="G31" s="9">
        <f t="shared" si="0"/>
        <v>31084.31</v>
      </c>
    </row>
    <row r="32" spans="1:7" x14ac:dyDescent="0.2">
      <c r="A32" s="1" t="s">
        <v>184</v>
      </c>
      <c r="B32" s="11">
        <f>_LAG1</f>
        <v>3408.53</v>
      </c>
      <c r="C32" s="2"/>
      <c r="D32" s="268">
        <v>42.47</v>
      </c>
      <c r="E32" s="1"/>
      <c r="F32" s="2">
        <v>0</v>
      </c>
      <c r="G32" s="9">
        <f t="shared" si="0"/>
        <v>3366.06</v>
      </c>
    </row>
    <row r="33" spans="1:7" x14ac:dyDescent="0.2">
      <c r="A33" s="1" t="s">
        <v>185</v>
      </c>
      <c r="B33" s="2">
        <f>LIG</f>
        <v>5502.32</v>
      </c>
      <c r="C33" s="2"/>
      <c r="D33" s="268">
        <v>0</v>
      </c>
      <c r="E33" s="1"/>
      <c r="F33" s="2">
        <f>B33*0.005</f>
        <v>27.51</v>
      </c>
      <c r="G33" s="9">
        <f t="shared" si="0"/>
        <v>5474.81</v>
      </c>
    </row>
    <row r="34" spans="1:7" x14ac:dyDescent="0.2">
      <c r="A34" s="1" t="s">
        <v>186</v>
      </c>
      <c r="B34" s="11">
        <f>_LIG1</f>
        <v>1375.58</v>
      </c>
      <c r="C34" s="2"/>
      <c r="D34" s="268">
        <v>0</v>
      </c>
      <c r="E34" s="1"/>
      <c r="F34" s="2">
        <v>0</v>
      </c>
      <c r="G34" s="9">
        <f t="shared" si="0"/>
        <v>1375.58</v>
      </c>
    </row>
    <row r="35" spans="1:7" x14ac:dyDescent="0.2">
      <c r="A35" s="1" t="s">
        <v>187</v>
      </c>
      <c r="B35" s="2">
        <f>LYG</f>
        <v>160767.16</v>
      </c>
      <c r="C35" s="2"/>
      <c r="D35" s="268">
        <v>356.5</v>
      </c>
      <c r="E35" s="1"/>
      <c r="F35" s="2">
        <f>B35*0.005</f>
        <v>803.84</v>
      </c>
      <c r="G35" s="9">
        <f t="shared" si="0"/>
        <v>159606.82</v>
      </c>
    </row>
    <row r="36" spans="1:7" x14ac:dyDescent="0.2">
      <c r="A36" s="1" t="s">
        <v>188</v>
      </c>
      <c r="B36" s="11">
        <f>_LYG1</f>
        <v>17863.03</v>
      </c>
      <c r="C36" s="2"/>
      <c r="D36" s="268">
        <v>39.61</v>
      </c>
      <c r="E36" s="1"/>
      <c r="F36" s="2">
        <v>0</v>
      </c>
      <c r="G36" s="9">
        <f t="shared" si="0"/>
        <v>17823.419999999998</v>
      </c>
    </row>
    <row r="37" spans="1:7" x14ac:dyDescent="0.2">
      <c r="A37" s="1" t="s">
        <v>189</v>
      </c>
      <c r="B37" s="2">
        <f>MIG</f>
        <v>22750.94</v>
      </c>
      <c r="C37" s="2"/>
      <c r="D37" s="268">
        <v>6784.08</v>
      </c>
      <c r="E37" s="1"/>
      <c r="F37" s="2">
        <f>B37*0.005</f>
        <v>113.75</v>
      </c>
      <c r="G37" s="9">
        <f t="shared" si="0"/>
        <v>15853.11</v>
      </c>
    </row>
    <row r="38" spans="1:7" x14ac:dyDescent="0.2">
      <c r="A38" s="1" t="s">
        <v>190</v>
      </c>
      <c r="B38" s="11">
        <f>_MIG1</f>
        <v>2527.87</v>
      </c>
      <c r="C38" s="2"/>
      <c r="D38" s="268">
        <v>753.79</v>
      </c>
      <c r="E38" s="1"/>
      <c r="F38" s="2">
        <v>0</v>
      </c>
      <c r="G38" s="9">
        <f t="shared" si="0"/>
        <v>1774.08</v>
      </c>
    </row>
    <row r="39" spans="1:7" x14ac:dyDescent="0.2">
      <c r="A39" s="1" t="s">
        <v>191</v>
      </c>
      <c r="B39" s="2">
        <f>NYG</f>
        <v>74078.17</v>
      </c>
      <c r="C39" s="2"/>
      <c r="D39" s="268">
        <v>0</v>
      </c>
      <c r="E39" s="1"/>
      <c r="F39" s="2">
        <f>B39*0.005</f>
        <v>370.39</v>
      </c>
      <c r="G39" s="9">
        <f t="shared" si="0"/>
        <v>73707.78</v>
      </c>
    </row>
    <row r="40" spans="1:7" x14ac:dyDescent="0.2">
      <c r="A40" s="1" t="s">
        <v>192</v>
      </c>
      <c r="B40" s="11">
        <f>_NYG1</f>
        <v>18519.54</v>
      </c>
      <c r="C40" s="2"/>
      <c r="D40" s="268">
        <v>0</v>
      </c>
      <c r="E40" s="1"/>
      <c r="F40" s="2">
        <v>0</v>
      </c>
      <c r="G40" s="9">
        <f t="shared" si="0"/>
        <v>18519.54</v>
      </c>
    </row>
    <row r="41" spans="1:7" x14ac:dyDescent="0.2">
      <c r="A41" s="1" t="s">
        <v>193</v>
      </c>
      <c r="B41" s="2">
        <f>PEG</f>
        <v>26834.6</v>
      </c>
      <c r="C41" s="2"/>
      <c r="D41" s="268">
        <v>975.05</v>
      </c>
      <c r="E41" s="1"/>
      <c r="F41" s="2">
        <f>B41*0.005</f>
        <v>134.16999999999999</v>
      </c>
      <c r="G41" s="9">
        <f t="shared" si="0"/>
        <v>25725.38</v>
      </c>
    </row>
    <row r="42" spans="1:7" x14ac:dyDescent="0.2">
      <c r="A42" s="1" t="s">
        <v>194</v>
      </c>
      <c r="B42" s="11">
        <f>_PEG1</f>
        <v>2981.62</v>
      </c>
      <c r="C42" s="2"/>
      <c r="D42" s="268">
        <v>108.34</v>
      </c>
      <c r="E42" s="1"/>
      <c r="F42" s="2">
        <v>0</v>
      </c>
      <c r="G42" s="9">
        <f t="shared" si="0"/>
        <v>2873.28</v>
      </c>
    </row>
    <row r="43" spans="1:7" x14ac:dyDescent="0.2">
      <c r="A43" s="1" t="s">
        <v>195</v>
      </c>
      <c r="B43" s="2">
        <f>STG</f>
        <v>1431.94</v>
      </c>
      <c r="C43" s="2"/>
      <c r="D43" s="268">
        <v>0</v>
      </c>
      <c r="E43" s="1"/>
      <c r="F43" s="2">
        <f>B43*0.005</f>
        <v>7.16</v>
      </c>
      <c r="G43" s="9">
        <f t="shared" si="0"/>
        <v>1424.78</v>
      </c>
    </row>
    <row r="44" spans="1:7" x14ac:dyDescent="0.2">
      <c r="A44" s="1" t="s">
        <v>196</v>
      </c>
      <c r="B44" s="11">
        <f>_STG1</f>
        <v>357.99</v>
      </c>
      <c r="C44" s="2"/>
      <c r="D44" s="268">
        <v>0</v>
      </c>
      <c r="E44" s="1"/>
      <c r="F44" s="2">
        <v>0</v>
      </c>
      <c r="G44" s="9">
        <f t="shared" si="0"/>
        <v>357.99</v>
      </c>
    </row>
    <row r="45" spans="1:7" x14ac:dyDescent="0.2">
      <c r="A45" s="1" t="s">
        <v>197</v>
      </c>
      <c r="B45" s="2">
        <f>WAG</f>
        <v>1382180.1</v>
      </c>
      <c r="C45" s="2"/>
      <c r="D45" s="268">
        <v>33696.82</v>
      </c>
      <c r="E45" s="1"/>
      <c r="F45" s="2">
        <f>B45*0.005</f>
        <v>6910.9</v>
      </c>
      <c r="G45" s="9">
        <f t="shared" si="0"/>
        <v>1341572.3799999999</v>
      </c>
    </row>
    <row r="46" spans="1:7" x14ac:dyDescent="0.2">
      <c r="A46" s="1" t="s">
        <v>198</v>
      </c>
      <c r="B46" s="11">
        <f>_WAG1</f>
        <v>153575.57</v>
      </c>
      <c r="C46" s="2"/>
      <c r="D46" s="268">
        <v>3744.09</v>
      </c>
      <c r="E46" s="1"/>
      <c r="F46" s="2">
        <v>0</v>
      </c>
      <c r="G46" s="9">
        <f t="shared" si="0"/>
        <v>149831.48000000001</v>
      </c>
    </row>
    <row r="47" spans="1:7" x14ac:dyDescent="0.2">
      <c r="A47" s="1" t="s">
        <v>638</v>
      </c>
      <c r="B47" s="2">
        <f>WHG</f>
        <v>54984.79</v>
      </c>
      <c r="C47" s="2"/>
      <c r="D47" s="268">
        <v>1065.3699999999999</v>
      </c>
      <c r="E47" s="1"/>
      <c r="F47" s="2">
        <f>B47*0.005</f>
        <v>274.92</v>
      </c>
      <c r="G47" s="9">
        <f t="shared" si="0"/>
        <v>53644.5</v>
      </c>
    </row>
    <row r="48" spans="1:7" x14ac:dyDescent="0.2">
      <c r="A48" s="1" t="s">
        <v>199</v>
      </c>
      <c r="B48" s="11">
        <f>_WHG1</f>
        <v>6109.41</v>
      </c>
      <c r="C48" s="2"/>
      <c r="D48" s="268">
        <v>118.37</v>
      </c>
      <c r="E48" s="1"/>
      <c r="F48" s="2">
        <v>0</v>
      </c>
      <c r="G48" s="9">
        <f t="shared" si="0"/>
        <v>5991.04</v>
      </c>
    </row>
    <row r="49" spans="1:7" x14ac:dyDescent="0.2">
      <c r="A49" s="1" t="s">
        <v>669</v>
      </c>
      <c r="B49" s="11"/>
      <c r="C49" s="2"/>
      <c r="D49" s="268">
        <f>SUM(D8:D48)</f>
        <v>173510.45</v>
      </c>
      <c r="E49" s="1"/>
      <c r="F49" s="2"/>
      <c r="G49" s="9"/>
    </row>
    <row r="50" spans="1:7" ht="21" customHeight="1" x14ac:dyDescent="0.2">
      <c r="A50" s="1" t="s">
        <v>200</v>
      </c>
      <c r="B50" s="2">
        <f>CUFEE</f>
        <v>1044532.94</v>
      </c>
      <c r="C50" s="2"/>
      <c r="D50" s="268"/>
      <c r="E50" s="1"/>
      <c r="F50" s="2"/>
      <c r="G50" s="9">
        <f t="shared" si="0"/>
        <v>1044532.94</v>
      </c>
    </row>
    <row r="51" spans="1:7" x14ac:dyDescent="0.2">
      <c r="A51" s="1" t="s">
        <v>201</v>
      </c>
      <c r="B51" s="2">
        <f>INSFEE</f>
        <v>56050.81</v>
      </c>
      <c r="C51" s="2"/>
      <c r="D51" s="268"/>
      <c r="E51" s="1"/>
      <c r="F51" s="2"/>
      <c r="G51" s="9">
        <f t="shared" si="0"/>
        <v>56050.81</v>
      </c>
    </row>
    <row r="52" spans="1:7" x14ac:dyDescent="0.2">
      <c r="A52" s="1" t="s">
        <v>670</v>
      </c>
      <c r="B52" s="2"/>
      <c r="C52" s="2"/>
      <c r="D52" s="268"/>
      <c r="E52" s="1"/>
      <c r="F52" s="2"/>
      <c r="G52" s="9">
        <f t="shared" si="0"/>
        <v>0</v>
      </c>
    </row>
    <row r="53" spans="1:7" ht="25.5" customHeight="1" thickBot="1" x14ac:dyDescent="0.25">
      <c r="A53" s="93" t="s">
        <v>12</v>
      </c>
      <c r="B53" s="132">
        <f t="shared" ref="B53:G53" si="1">SUM(B8:B52)</f>
        <v>31382195.32</v>
      </c>
      <c r="C53" s="132">
        <f t="shared" si="1"/>
        <v>258567.44</v>
      </c>
      <c r="D53" s="269">
        <f>+D49+D50+D51+D52</f>
        <v>173510.45</v>
      </c>
      <c r="E53" s="132">
        <f t="shared" si="1"/>
        <v>5570.32</v>
      </c>
      <c r="F53" s="132">
        <f t="shared" si="1"/>
        <v>54402.51</v>
      </c>
      <c r="G53" s="132">
        <f t="shared" si="1"/>
        <v>30890144.600000001</v>
      </c>
    </row>
    <row r="54" spans="1:7" x14ac:dyDescent="0.2">
      <c r="A54" s="1"/>
      <c r="B54" s="1"/>
      <c r="C54" s="1"/>
      <c r="D54" s="293"/>
      <c r="E54" s="1"/>
      <c r="F54" s="1"/>
      <c r="G54" s="1"/>
    </row>
    <row r="55" spans="1:7" x14ac:dyDescent="0.2">
      <c r="A55" s="1"/>
      <c r="B55" s="2"/>
      <c r="C55" s="1"/>
      <c r="D55" s="295"/>
      <c r="E55" s="1"/>
      <c r="F55" s="1"/>
      <c r="G55" s="2"/>
    </row>
    <row r="56" spans="1:7" x14ac:dyDescent="0.2">
      <c r="A56" s="1"/>
      <c r="B56" s="1"/>
      <c r="C56" s="1"/>
      <c r="D56" s="293"/>
      <c r="E56" s="1"/>
      <c r="F56" s="1"/>
      <c r="G56" s="1"/>
    </row>
    <row r="57" spans="1:7" x14ac:dyDescent="0.2">
      <c r="A57" s="1"/>
      <c r="B57" s="2"/>
      <c r="C57" s="1"/>
      <c r="D57" s="293"/>
      <c r="E57" s="1"/>
      <c r="F57" s="1"/>
      <c r="G57" s="1"/>
    </row>
    <row r="58" spans="1:7" x14ac:dyDescent="0.2">
      <c r="A58" s="1"/>
      <c r="B58" s="2"/>
      <c r="C58" s="1"/>
      <c r="D58" s="293"/>
      <c r="E58" s="1"/>
      <c r="F58" s="1"/>
      <c r="G58" s="1"/>
    </row>
  </sheetData>
  <phoneticPr fontId="0" type="noConversion"/>
  <printOptions horizontalCentered="1"/>
  <pageMargins left="0.5" right="0.5" top="0.68" bottom="0.45" header="0.57999999999999996" footer="0.4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227</vt:i4>
      </vt:variant>
    </vt:vector>
  </HeadingPairs>
  <TitlesOfParts>
    <vt:vector size="244" baseType="lpstr">
      <vt:lpstr>s1</vt:lpstr>
      <vt:lpstr>zerortn</vt:lpstr>
      <vt:lpstr>s2</vt:lpstr>
      <vt:lpstr>s2a</vt:lpstr>
      <vt:lpstr>s3,s3b, s3d</vt:lpstr>
      <vt:lpstr>s3a</vt:lpstr>
      <vt:lpstr>s3b</vt:lpstr>
      <vt:lpstr>s3c</vt:lpstr>
      <vt:lpstr>s4</vt:lpstr>
      <vt:lpstr>s5</vt:lpstr>
      <vt:lpstr>s5a</vt:lpstr>
      <vt:lpstr>s6,s6a</vt:lpstr>
      <vt:lpstr>s7</vt:lpstr>
      <vt:lpstr>col</vt:lpstr>
      <vt:lpstr>dis</vt:lpstr>
      <vt:lpstr>sf gal $</vt:lpstr>
      <vt:lpstr>Journal</vt:lpstr>
      <vt:lpstr>ActivityMonth</vt:lpstr>
      <vt:lpstr>ADMINFEES</vt:lpstr>
      <vt:lpstr>AmtData</vt:lpstr>
      <vt:lpstr>AmtHdng</vt:lpstr>
      <vt:lpstr>AV_OPT</vt:lpstr>
      <vt:lpstr>AvCaBase</vt:lpstr>
      <vt:lpstr>AvCaDed</vt:lpstr>
      <vt:lpstr>AvCaGals</vt:lpstr>
      <vt:lpstr>AvCaPer</vt:lpstr>
      <vt:lpstr>AvChBase</vt:lpstr>
      <vt:lpstr>AvChDed</vt:lpstr>
      <vt:lpstr>AvChGals</vt:lpstr>
      <vt:lpstr>AvChPer</vt:lpstr>
      <vt:lpstr>AvClBase</vt:lpstr>
      <vt:lpstr>AvClDed</vt:lpstr>
      <vt:lpstr>AvClGals</vt:lpstr>
      <vt:lpstr>AvClPer</vt:lpstr>
      <vt:lpstr>AvDeduct</vt:lpstr>
      <vt:lpstr>AvDoBase</vt:lpstr>
      <vt:lpstr>AvDoDed</vt:lpstr>
      <vt:lpstr>AvDoGals</vt:lpstr>
      <vt:lpstr>AvDoPer</vt:lpstr>
      <vt:lpstr>AvElBase</vt:lpstr>
      <vt:lpstr>AvElDed</vt:lpstr>
      <vt:lpstr>AvElGals</vt:lpstr>
      <vt:lpstr>AvElPer</vt:lpstr>
      <vt:lpstr>AvEsBase</vt:lpstr>
      <vt:lpstr>AvEsDed</vt:lpstr>
      <vt:lpstr>AvEsGals</vt:lpstr>
      <vt:lpstr>AvEsPer</vt:lpstr>
      <vt:lpstr>AvEuBase</vt:lpstr>
      <vt:lpstr>AvEuDed</vt:lpstr>
      <vt:lpstr>AvEuGals</vt:lpstr>
      <vt:lpstr>AvEuPer</vt:lpstr>
      <vt:lpstr>AVGAS10.5</vt:lpstr>
      <vt:lpstr>AvHuBase</vt:lpstr>
      <vt:lpstr>AvHuDed</vt:lpstr>
      <vt:lpstr>AvHuGals</vt:lpstr>
      <vt:lpstr>AvHuPer</vt:lpstr>
      <vt:lpstr>AvLaBase</vt:lpstr>
      <vt:lpstr>AvLaDed</vt:lpstr>
      <vt:lpstr>AvLaGals</vt:lpstr>
      <vt:lpstr>AvLaPer</vt:lpstr>
      <vt:lpstr>AvLiBase</vt:lpstr>
      <vt:lpstr>AvLiDed</vt:lpstr>
      <vt:lpstr>AvLiGals</vt:lpstr>
      <vt:lpstr>AvLiPer</vt:lpstr>
      <vt:lpstr>AvLyBase</vt:lpstr>
      <vt:lpstr>AvLyDed</vt:lpstr>
      <vt:lpstr>AvLyGals</vt:lpstr>
      <vt:lpstr>AvLyPer</vt:lpstr>
      <vt:lpstr>AvMiBase</vt:lpstr>
      <vt:lpstr>AvMiDed</vt:lpstr>
      <vt:lpstr>AvMiGals</vt:lpstr>
      <vt:lpstr>AvMiPer</vt:lpstr>
      <vt:lpstr>AvNyBase</vt:lpstr>
      <vt:lpstr>AvNyDed</vt:lpstr>
      <vt:lpstr>AvNyGals</vt:lpstr>
      <vt:lpstr>AvNyPer</vt:lpstr>
      <vt:lpstr>AvPeBase</vt:lpstr>
      <vt:lpstr>AvPeDed</vt:lpstr>
      <vt:lpstr>AvPeGals</vt:lpstr>
      <vt:lpstr>AvPePer</vt:lpstr>
      <vt:lpstr>AvStBase</vt:lpstr>
      <vt:lpstr>AvStDed</vt:lpstr>
      <vt:lpstr>AvStGals</vt:lpstr>
      <vt:lpstr>AvStPer</vt:lpstr>
      <vt:lpstr>AvWaBase</vt:lpstr>
      <vt:lpstr>AvWaDed</vt:lpstr>
      <vt:lpstr>AvWaGals</vt:lpstr>
      <vt:lpstr>AvWaPer</vt:lpstr>
      <vt:lpstr>AvWhBase</vt:lpstr>
      <vt:lpstr>AvWhDed</vt:lpstr>
      <vt:lpstr>AvWhGals</vt:lpstr>
      <vt:lpstr>AvWhPer</vt:lpstr>
      <vt:lpstr>CA</vt:lpstr>
      <vt:lpstr>CAG</vt:lpstr>
      <vt:lpstr>CAG1</vt:lpstr>
      <vt:lpstr>CAP</vt:lpstr>
      <vt:lpstr>CH</vt:lpstr>
      <vt:lpstr>CHG</vt:lpstr>
      <vt:lpstr>CHG1</vt:lpstr>
      <vt:lpstr>CIVILA</vt:lpstr>
      <vt:lpstr>CL</vt:lpstr>
      <vt:lpstr>CLG</vt:lpstr>
      <vt:lpstr>CLG1</vt:lpstr>
      <vt:lpstr>color</vt:lpstr>
      <vt:lpstr>COUNTY1</vt:lpstr>
      <vt:lpstr>COUNTYOPTION</vt:lpstr>
      <vt:lpstr>COUNTYTOTAL</vt:lpstr>
      <vt:lpstr>CUFEE</vt:lpstr>
      <vt:lpstr>DEALERS</vt:lpstr>
      <vt:lpstr>Diff</vt:lpstr>
      <vt:lpstr>Dist_1</vt:lpstr>
      <vt:lpstr>Dist_2</vt:lpstr>
      <vt:lpstr>Dist_3</vt:lpstr>
      <vt:lpstr>DO</vt:lpstr>
      <vt:lpstr>DOG</vt:lpstr>
      <vt:lpstr>DOG1</vt:lpstr>
      <vt:lpstr>EL</vt:lpstr>
      <vt:lpstr>ELG</vt:lpstr>
      <vt:lpstr>ELG1</vt:lpstr>
      <vt:lpstr>ES</vt:lpstr>
      <vt:lpstr>ESG</vt:lpstr>
      <vt:lpstr>ESG1</vt:lpstr>
      <vt:lpstr>EU</vt:lpstr>
      <vt:lpstr>EUG</vt:lpstr>
      <vt:lpstr>EUG1</vt:lpstr>
      <vt:lpstr>HU</vt:lpstr>
      <vt:lpstr>HUG</vt:lpstr>
      <vt:lpstr>HUG1</vt:lpstr>
      <vt:lpstr>INSFEE</vt:lpstr>
      <vt:lpstr>JET1</vt:lpstr>
      <vt:lpstr>JET2</vt:lpstr>
      <vt:lpstr>JETTOTAL</vt:lpstr>
      <vt:lpstr>LA</vt:lpstr>
      <vt:lpstr>LAG</vt:lpstr>
      <vt:lpstr>LAG1</vt:lpstr>
      <vt:lpstr>LessAF535</vt:lpstr>
      <vt:lpstr>LessWP535</vt:lpstr>
      <vt:lpstr>LI</vt:lpstr>
      <vt:lpstr>LICFEE</vt:lpstr>
      <vt:lpstr>LIG</vt:lpstr>
      <vt:lpstr>LIG1</vt:lpstr>
      <vt:lpstr>LY</vt:lpstr>
      <vt:lpstr>LYG</vt:lpstr>
      <vt:lpstr>LYG1</vt:lpstr>
      <vt:lpstr>MI</vt:lpstr>
      <vt:lpstr>MIG</vt:lpstr>
      <vt:lpstr>MIG1</vt:lpstr>
      <vt:lpstr>MthDist</vt:lpstr>
      <vt:lpstr>NET12.65</vt:lpstr>
      <vt:lpstr>NET5</vt:lpstr>
      <vt:lpstr>NET5.35</vt:lpstr>
      <vt:lpstr>NETAV</vt:lpstr>
      <vt:lpstr>NETCAG</vt:lpstr>
      <vt:lpstr>NETCAG1</vt:lpstr>
      <vt:lpstr>NETCHG</vt:lpstr>
      <vt:lpstr>NETCHG1</vt:lpstr>
      <vt:lpstr>NETCLG</vt:lpstr>
      <vt:lpstr>NETCLG1</vt:lpstr>
      <vt:lpstr>NETDOG</vt:lpstr>
      <vt:lpstr>NETDOG1</vt:lpstr>
      <vt:lpstr>NETELG</vt:lpstr>
      <vt:lpstr>NETELG1</vt:lpstr>
      <vt:lpstr>NETESG</vt:lpstr>
      <vt:lpstr>NETESG1</vt:lpstr>
      <vt:lpstr>NETEUG</vt:lpstr>
      <vt:lpstr>NETEUG1</vt:lpstr>
      <vt:lpstr>NETHUG</vt:lpstr>
      <vt:lpstr>NETHUG1</vt:lpstr>
      <vt:lpstr>NETLAG</vt:lpstr>
      <vt:lpstr>NETLAG1</vt:lpstr>
      <vt:lpstr>NETLIG</vt:lpstr>
      <vt:lpstr>NETLIG1</vt:lpstr>
      <vt:lpstr>NETLYG</vt:lpstr>
      <vt:lpstr>NETLYG1</vt:lpstr>
      <vt:lpstr>NETMIG</vt:lpstr>
      <vt:lpstr>NETMIG1</vt:lpstr>
      <vt:lpstr>NETNYG</vt:lpstr>
      <vt:lpstr>NETNYG1</vt:lpstr>
      <vt:lpstr>NETPEG</vt:lpstr>
      <vt:lpstr>NETPEG1</vt:lpstr>
      <vt:lpstr>NETSTG</vt:lpstr>
      <vt:lpstr>NETSTG1</vt:lpstr>
      <vt:lpstr>NETWAG</vt:lpstr>
      <vt:lpstr>NETWAG1</vt:lpstr>
      <vt:lpstr>NETWHG</vt:lpstr>
      <vt:lpstr>NETWHG1</vt:lpstr>
      <vt:lpstr>NY</vt:lpstr>
      <vt:lpstr>NYG</vt:lpstr>
      <vt:lpstr>NYG1</vt:lpstr>
      <vt:lpstr>PARKWILD</vt:lpstr>
      <vt:lpstr>PE</vt:lpstr>
      <vt:lpstr>PEG</vt:lpstr>
      <vt:lpstr>PEG1</vt:lpstr>
      <vt:lpstr>Journal!Print_Area</vt:lpstr>
      <vt:lpstr>'s1'!Print_Area</vt:lpstr>
      <vt:lpstr>'s2'!Print_Area</vt:lpstr>
      <vt:lpstr>s2a!Print_Area</vt:lpstr>
      <vt:lpstr>s3a!Print_Area</vt:lpstr>
      <vt:lpstr>s3b!Print_Area</vt:lpstr>
      <vt:lpstr>s3c!Print_Area</vt:lpstr>
      <vt:lpstr>'s1'!Print_Titles</vt:lpstr>
      <vt:lpstr>'s2'!Print_Titles</vt:lpstr>
      <vt:lpstr>s2a!Print_Titles</vt:lpstr>
      <vt:lpstr>'s3,s3b, s3d'!Print_Titles</vt:lpstr>
      <vt:lpstr>s3a!Print_Titles</vt:lpstr>
      <vt:lpstr>'s4'!Print_Titles</vt:lpstr>
      <vt:lpstr>'s5'!Print_Titles</vt:lpstr>
      <vt:lpstr>s5a!Print_Titles</vt:lpstr>
      <vt:lpstr>'s7'!Print_Titles</vt:lpstr>
      <vt:lpstr>zerortn!Print_Titles</vt:lpstr>
      <vt:lpstr>REFUNDS</vt:lpstr>
      <vt:lpstr>ReportMonth</vt:lpstr>
      <vt:lpstr>S1_GALS</vt:lpstr>
      <vt:lpstr>S1_MONEY</vt:lpstr>
      <vt:lpstr>S1Z_PR</vt:lpstr>
      <vt:lpstr>S2_MONEY</vt:lpstr>
      <vt:lpstr>S2A_MONEY</vt:lpstr>
      <vt:lpstr>S4_PR</vt:lpstr>
      <vt:lpstr>S5_PR</vt:lpstr>
      <vt:lpstr>S5A_PR</vt:lpstr>
      <vt:lpstr>S6_PR</vt:lpstr>
      <vt:lpstr>S6A_PR</vt:lpstr>
      <vt:lpstr>S7_PR</vt:lpstr>
      <vt:lpstr>ST</vt:lpstr>
      <vt:lpstr>ST12.65</vt:lpstr>
      <vt:lpstr>ST5</vt:lpstr>
      <vt:lpstr>ST5.35</vt:lpstr>
      <vt:lpstr>STG</vt:lpstr>
      <vt:lpstr>STG1</vt:lpstr>
      <vt:lpstr>TapeCF</vt:lpstr>
      <vt:lpstr>TapeGas</vt:lpstr>
      <vt:lpstr>TapeIF</vt:lpstr>
      <vt:lpstr>TapeJet</vt:lpstr>
      <vt:lpstr>TotalCOL</vt:lpstr>
      <vt:lpstr>TotalDIS</vt:lpstr>
      <vt:lpstr>TOTALREF</vt:lpstr>
      <vt:lpstr>TOTGAL</vt:lpstr>
      <vt:lpstr>WA</vt:lpstr>
      <vt:lpstr>WAG</vt:lpstr>
      <vt:lpstr>WAG1</vt:lpstr>
      <vt:lpstr>WH</vt:lpstr>
      <vt:lpstr>WHG</vt:lpstr>
      <vt:lpstr>WHG1</vt:lpstr>
      <vt:lpstr>WILDPARK</vt:lpstr>
    </vt:vector>
  </TitlesOfParts>
  <Company>DEPARTMENT OF TAXATION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louis</cp:lastModifiedBy>
  <cp:lastPrinted>2004-08-12T15:12:48Z</cp:lastPrinted>
  <dcterms:created xsi:type="dcterms:W3CDTF">1995-12-21T16:04:23Z</dcterms:created>
  <dcterms:modified xsi:type="dcterms:W3CDTF">2013-09-13T23:06:41Z</dcterms:modified>
</cp:coreProperties>
</file>