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5" yWindow="3090" windowWidth="11970" windowHeight="3135" firstSheet="9" activeTab="9"/>
  </bookViews>
  <sheets>
    <sheet name="s1" sheetId="1" r:id="rId1"/>
    <sheet name="zerortn" sheetId="2" r:id="rId2"/>
    <sheet name="s2" sheetId="3" r:id="rId3"/>
    <sheet name="s2a" sheetId="4" r:id="rId4"/>
    <sheet name="s3,s3b,s3d" sheetId="17" r:id="rId5"/>
    <sheet name="s3a" sheetId="18" r:id="rId6"/>
    <sheet name="s3b" sheetId="19" state="hidden" r:id="rId7"/>
    <sheet name="s3c" sheetId="20" r:id="rId8"/>
    <sheet name="s4" sheetId="6" r:id="rId9"/>
    <sheet name="s5" sheetId="7" r:id="rId10"/>
    <sheet name="s5a" sheetId="8" r:id="rId11"/>
    <sheet name="s6" sheetId="9" r:id="rId12"/>
    <sheet name="s7" sheetId="10" r:id="rId13"/>
    <sheet name="col" sheetId="11" state="hidden" r:id="rId14"/>
    <sheet name="dis" sheetId="12" state="hidden" r:id="rId15"/>
    <sheet name="sf gal $" sheetId="22" r:id="rId16"/>
    <sheet name="Journal" sheetId="21" state="hidden" r:id="rId17"/>
    <sheet name="Macros" sheetId="13" state="veryHidden" r:id=""/>
  </sheets>
  <externalReferences>
    <externalReference r:id="rId18"/>
  </externalReferences>
  <definedNames>
    <definedName name="ActivityMonth">'s1'!$AO$2</definedName>
    <definedName name="ADMINFEES">'s4'!$F$53</definedName>
    <definedName name="AmtData">'s6'!$P$8:$P$24</definedName>
    <definedName name="AmtHdng">'s6'!$P$6:$P$7</definedName>
    <definedName name="AV_OPT">'s6'!$R$25</definedName>
    <definedName name="AvCaBase">'s6'!$M$8</definedName>
    <definedName name="AvCaDed">'s6'!$P$8</definedName>
    <definedName name="AvCaGals">'s6'!$J$8</definedName>
    <definedName name="AvCaPer">'s6'!$O$8</definedName>
    <definedName name="AvChBase">'s6'!$M$9</definedName>
    <definedName name="AvChDed">'s6'!$P$9</definedName>
    <definedName name="AvChGals">'s6'!$J$9</definedName>
    <definedName name="AvChPer">'s6'!$O$9</definedName>
    <definedName name="AvClBase">'s6'!$M$10</definedName>
    <definedName name="AvClDed">'s6'!$P$10</definedName>
    <definedName name="AvClGals">'s6'!$J$10</definedName>
    <definedName name="AvClPer">'s6'!$O$10</definedName>
    <definedName name="AvDeduct">'s6'!$P$25</definedName>
    <definedName name="AvDoBase">'s6'!$M$11</definedName>
    <definedName name="AvDoDed">'s6'!$P$11</definedName>
    <definedName name="AvDoGals">'s6'!$J$11</definedName>
    <definedName name="AvDoPer">'s6'!$O$11</definedName>
    <definedName name="AvElBase">'s6'!$M$12</definedName>
    <definedName name="AvElDed">'s6'!$P$12</definedName>
    <definedName name="AvElGals">'s6'!$J$12</definedName>
    <definedName name="AvElPer">'s6'!$O$12</definedName>
    <definedName name="AvEsBase">'s6'!$M$13</definedName>
    <definedName name="AvEsDed">'s6'!$P$13</definedName>
    <definedName name="AvEsGals">'s6'!$J$13</definedName>
    <definedName name="AvEsPer">'s6'!$O$13</definedName>
    <definedName name="AvEuBase">'s6'!$M$14</definedName>
    <definedName name="AvEuDed">'s6'!$P$14</definedName>
    <definedName name="AvEuGals">'s6'!$J$14</definedName>
    <definedName name="AvEuPer">'s6'!$O$14</definedName>
    <definedName name="AVGAS10.5">'s6'!$M$25</definedName>
    <definedName name="AvHuBase">'s6'!$M$15</definedName>
    <definedName name="AvHuDed">'s6'!$P$15</definedName>
    <definedName name="AvHuGals">'s6'!$J$15</definedName>
    <definedName name="AvHuPer">'s6'!$O$15</definedName>
    <definedName name="AvLaBase">'s6'!$M$16</definedName>
    <definedName name="AvLaDed">'s6'!$P$16</definedName>
    <definedName name="AvLaGals">'s6'!$J$16</definedName>
    <definedName name="AvLaPer">'s6'!$O$16</definedName>
    <definedName name="AvLiBase">'s6'!$M$17</definedName>
    <definedName name="AvLiDed">'s6'!$P$17</definedName>
    <definedName name="AvLiGals">'s6'!$J$17</definedName>
    <definedName name="AvLiPer">'s6'!$O$17</definedName>
    <definedName name="AvLyBase">'s6'!$M$18</definedName>
    <definedName name="AvLyDed">'s6'!$P$18</definedName>
    <definedName name="AvLyGals">'s6'!$J$18</definedName>
    <definedName name="AvLyPer">'s6'!$O$18</definedName>
    <definedName name="AvMiBase">'s6'!$M$19</definedName>
    <definedName name="AvMiDed">'s6'!$P$19</definedName>
    <definedName name="AvMiGals">'s6'!$J$19</definedName>
    <definedName name="AvMiPer">'s6'!$O$19</definedName>
    <definedName name="AvNyBase">'s6'!$M$20</definedName>
    <definedName name="AvNyDed">'s6'!$P$20</definedName>
    <definedName name="AvNyGals">'s6'!$J$20</definedName>
    <definedName name="AvNyPer">'s6'!$O$20</definedName>
    <definedName name="AvPeBase">'s6'!$M$21</definedName>
    <definedName name="AvPeDed">'s6'!$P$21</definedName>
    <definedName name="AvPeGals">'s6'!$J$21</definedName>
    <definedName name="AvPePer">'s6'!$O$21</definedName>
    <definedName name="AvStBase">'s6'!$M$22</definedName>
    <definedName name="AvStDed">'s6'!$P$22</definedName>
    <definedName name="AvStGals">'s6'!$J$22</definedName>
    <definedName name="AvStPer">'s6'!$O$22</definedName>
    <definedName name="AvWaBase">'s6'!$M$23</definedName>
    <definedName name="AvWaDed">'s6'!$P$23</definedName>
    <definedName name="AvWaGals">'s6'!$J$23</definedName>
    <definedName name="AvWaPer">'s6'!$O$23</definedName>
    <definedName name="AvWhBase">'s6'!$M$24</definedName>
    <definedName name="AvWhDed">'s6'!$P$24</definedName>
    <definedName name="AvWhGals">'s6'!$J$24</definedName>
    <definedName name="AvWhPer">'s6'!$O$24</definedName>
    <definedName name="CA">'s1'!$M$124</definedName>
    <definedName name="CAG">'s2'!$B$122</definedName>
    <definedName name="_CAG1">s2a!$B$123</definedName>
    <definedName name="CAP">'s6'!$N$25</definedName>
    <definedName name="CH">'s1'!$N$124</definedName>
    <definedName name="CHG">'s2'!$C$122</definedName>
    <definedName name="_CHG1">s2a!$C$123</definedName>
    <definedName name="CIVILA">'s4'!$E$53</definedName>
    <definedName name="CL">'s1'!$O$124</definedName>
    <definedName name="CLG">'s2'!$D$122</definedName>
    <definedName name="_CLG1">s2a!$D$123</definedName>
    <definedName name="color" localSheetId="16">[1]s1!$A$104:$A$106,[1]s1!$A$7</definedName>
    <definedName name="color">'s1'!$A$124:$A$126,'s1'!$A$7</definedName>
    <definedName name="COUNTY1">s2a!$S$123</definedName>
    <definedName name="COUNTYOPTION">'s2'!$S$122</definedName>
    <definedName name="COUNTYTOTAL">'s3,s3b,s3d'!$H$157</definedName>
    <definedName name="CUFEE">'s7'!$B$101</definedName>
    <definedName name="DEALERS">zerortn!$B$9:$B$27</definedName>
    <definedName name="Diff">'s6'!$P$29</definedName>
    <definedName name="Dist_1">'s6'!$AB$8:$AB$24</definedName>
    <definedName name="Dist_2">'s6'!$AC$8:$AC$24</definedName>
    <definedName name="Dist_3">'s6'!$AD$8:$AD$24</definedName>
    <definedName name="DISTSTUDY" localSheetId="16">[1]s4!#REF!</definedName>
    <definedName name="DISTSTUDY">'s4'!#REF!</definedName>
    <definedName name="DO">'s1'!$P$124</definedName>
    <definedName name="DOG">'s2'!$E$122</definedName>
    <definedName name="_DOG1">s2a!$E$123</definedName>
    <definedName name="EL">'s1'!$Q$124</definedName>
    <definedName name="ELG">'s2'!$F$122</definedName>
    <definedName name="_ELG1">s2a!$F$123</definedName>
    <definedName name="ES">'s1'!$R$124</definedName>
    <definedName name="ESG">'s2'!$G$122</definedName>
    <definedName name="_ESG1">s2a!$G$123</definedName>
    <definedName name="EU">'s1'!$S$124</definedName>
    <definedName name="EUG">'s2'!$H$122</definedName>
    <definedName name="_EUG1">s2a!$H$123</definedName>
    <definedName name="HU">'s1'!$T$124</definedName>
    <definedName name="HUG">'s2'!$I$122</definedName>
    <definedName name="_HUG1">s2a!$I$123</definedName>
    <definedName name="INSFEE">'s7'!$C$101</definedName>
    <definedName name="Jan96_M_F_Stat_s6_List">#REF!</definedName>
    <definedName name="_JET1">'s5'!$C$40</definedName>
    <definedName name="_JET2">'s5'!$E$40</definedName>
    <definedName name="JETTOTAL">'s5'!$B$41</definedName>
    <definedName name="LA">'s1'!$U$124</definedName>
    <definedName name="LAG">'s2'!$J$122</definedName>
    <definedName name="_LAG1">s2a!$J$123</definedName>
    <definedName name="LessAF535">'s4'!$F$10</definedName>
    <definedName name="LessWP535">'s4'!$C$10</definedName>
    <definedName name="LI">'s1'!$V$124</definedName>
    <definedName name="LICFEE">'s4'!$B$52</definedName>
    <definedName name="LIG">'s2'!$K$122</definedName>
    <definedName name="_LIG1">s2a!$K$123</definedName>
    <definedName name="LY">'s1'!$W$124</definedName>
    <definedName name="LYG">'s2'!$L$122</definedName>
    <definedName name="_LYG1">s2a!$L$123</definedName>
    <definedName name="MI">'s1'!$X$124</definedName>
    <definedName name="MIG">'s2'!$M$122</definedName>
    <definedName name="_MIG1">s2a!$M$123</definedName>
    <definedName name="MthDist">'s6'!$Q$8:$Q$24</definedName>
    <definedName name="NET12.65">'s4'!$G$8</definedName>
    <definedName name="_NET5">'s4'!$G$9</definedName>
    <definedName name="NET5.35">'s4'!$G$10</definedName>
    <definedName name="NETAV">'s6'!#REF!</definedName>
    <definedName name="NETCAG">'s4'!$G$15</definedName>
    <definedName name="NETCAG1">'s4'!$G$16</definedName>
    <definedName name="NETCHG">'s4'!$G$17</definedName>
    <definedName name="NETCHG1">'s4'!$G$18</definedName>
    <definedName name="NETCLG">'s4'!$G$19</definedName>
    <definedName name="NETCLG1">'s4'!$G$20</definedName>
    <definedName name="NETDOG">'s4'!$G$21</definedName>
    <definedName name="NETDOG1">'s4'!$G$22</definedName>
    <definedName name="NETELG">'s4'!$G$23</definedName>
    <definedName name="NETELG1">'s4'!$G$24</definedName>
    <definedName name="NETESG">'s4'!$G$25</definedName>
    <definedName name="NETESG1">'s4'!$G$26</definedName>
    <definedName name="NETEUG">'s4'!$G$27</definedName>
    <definedName name="NETEUG1">'s4'!$G$28</definedName>
    <definedName name="NETHUG">'s4'!$G$29</definedName>
    <definedName name="NETHUG1">'s4'!$G$30</definedName>
    <definedName name="NETLAG">'s4'!$G$31</definedName>
    <definedName name="NETLAG1">'s4'!$G$32</definedName>
    <definedName name="NETLIG">'s4'!$G$33</definedName>
    <definedName name="NETLIG1">'s4'!$G$34</definedName>
    <definedName name="NETLYG">'s4'!$G$35</definedName>
    <definedName name="NETLYG1">'s4'!$G$36</definedName>
    <definedName name="NETMIG">'s4'!$G$37</definedName>
    <definedName name="NETMIG1">'s4'!$G$38</definedName>
    <definedName name="NETNYG">'s4'!$G$39</definedName>
    <definedName name="NETNYG1">'s4'!$G$40</definedName>
    <definedName name="NETPEG">'s4'!$G$41</definedName>
    <definedName name="NETPEG1">'s4'!$G$42</definedName>
    <definedName name="NETSTG">'s4'!$G$43</definedName>
    <definedName name="NETSTG1">'s4'!$G$44</definedName>
    <definedName name="NETWAG">'s4'!$G$45</definedName>
    <definedName name="NETWAG1">'s4'!$G$46</definedName>
    <definedName name="NETWHG">'s4'!$G$47</definedName>
    <definedName name="NETWHG1">'s4'!$G$48</definedName>
    <definedName name="NY">'s1'!$Y$124</definedName>
    <definedName name="NYG">'s2'!$N$122</definedName>
    <definedName name="_NYG1">s2a!$N$123</definedName>
    <definedName name="OldClkFig">2701.14</definedName>
    <definedName name="PARKWILD" localSheetId="16">[1]s4!$C$52</definedName>
    <definedName name="PARKWILD">'s4'!$C$53</definedName>
    <definedName name="PE">'s1'!$Z$124</definedName>
    <definedName name="PEG">'s2'!$O$122</definedName>
    <definedName name="_PEG1">s2a!$O$123</definedName>
    <definedName name="_xlnm.Print_Area" localSheetId="16">Journal!$A$1:$G$55</definedName>
    <definedName name="_xlnm.Print_Area" localSheetId="0">'s1'!$A$1:$J$132</definedName>
    <definedName name="_xlnm.Print_Area" localSheetId="2">'s2'!$B$12:$S$122</definedName>
    <definedName name="_xlnm.Print_Area" localSheetId="3">s2a!$B$13:$S$123</definedName>
    <definedName name="_xlnm.Print_Area" localSheetId="5">s3a!$A$1:$K$58</definedName>
    <definedName name="_xlnm.Print_Area" localSheetId="6">s3b!$A$1:$O$42</definedName>
    <definedName name="_xlnm.Print_Area" localSheetId="7">s3c!$A$63:$I$115</definedName>
    <definedName name="_xlnm.Print_Titles" localSheetId="0">'s1'!$A:$A,'s1'!$1:$12</definedName>
    <definedName name="_xlnm.Print_Titles" localSheetId="2">'s2'!$A:$A,'s2'!$1:$11</definedName>
    <definedName name="_xlnm.Print_Titles" localSheetId="3">s2a!$A:$A,s2a!$1:$12</definedName>
    <definedName name="_xlnm.Print_Titles" localSheetId="4">'s3,s3b,s3d'!$31:$35</definedName>
    <definedName name="_xlnm.Print_Titles" localSheetId="5">s3a!$1:$7</definedName>
    <definedName name="_xlnm.Print_Titles" localSheetId="8">'s4'!$1:$7</definedName>
    <definedName name="_xlnm.Print_Titles" localSheetId="9">'s5'!$A:$A,'s5'!$1:$9</definedName>
    <definedName name="_xlnm.Print_Titles" localSheetId="10">s5a!$A:$A,s5a!$1:$8</definedName>
    <definedName name="_xlnm.Print_Titles" localSheetId="12">'s7'!$A:$A,'s7'!$1:$12</definedName>
    <definedName name="_xlnm.Print_Titles" localSheetId="1">zerortn!$1:$7</definedName>
    <definedName name="REFUNDS">'s4'!$D$53</definedName>
    <definedName name="ReportMonth">'s1'!$AO$1</definedName>
    <definedName name="S1_GALS">'s1'!$L$12:$AD$127</definedName>
    <definedName name="S1_MONEY">'s1'!$B$12:$J$126</definedName>
    <definedName name="S1Z_PR">zerortn!$A$1:$G$45</definedName>
    <definedName name="S2_MONEY">'s2'!$B$11:$S$122</definedName>
    <definedName name="S2A_MONEY">s2a!$B$13:$S$123</definedName>
    <definedName name="S3_P1">#REF!</definedName>
    <definedName name="S3_P2">#REF!</definedName>
    <definedName name="S3_P3">#REF!</definedName>
    <definedName name="S3_P4">#REF!</definedName>
    <definedName name="S3A">#REF!</definedName>
    <definedName name="S3C">#REF!</definedName>
    <definedName name="S4_PR">'s4'!$A$1:$G$53</definedName>
    <definedName name="S5_PR">'s5'!$A$1:$F$40</definedName>
    <definedName name="S5A_PR">s5a!$A$1:$W$27</definedName>
    <definedName name="S6_PR">'s6'!$A$1:$J$25</definedName>
    <definedName name="S6A_PR">'s6'!$L$1:$T$25</definedName>
    <definedName name="S7_PR">'s7'!$A$12:$S$101</definedName>
    <definedName name="ST">'s1'!$AA$124</definedName>
    <definedName name="ST12.65">'s1'!$D$126</definedName>
    <definedName name="_ST5">'s1'!$E$126</definedName>
    <definedName name="ST5.35">'s1'!$F$126</definedName>
    <definedName name="STG">'s2'!$P$122</definedName>
    <definedName name="_STG1">s2a!$P$123</definedName>
    <definedName name="TapeCF">'s7'!$B$104</definedName>
    <definedName name="TapeGas">'s1'!$J$130</definedName>
    <definedName name="TapeIF">'s7'!$C$104</definedName>
    <definedName name="TapeJet">'s5'!$B$42</definedName>
    <definedName name="TotalCOL">col!$A$1:$C$17</definedName>
    <definedName name="TotalDIS">dis!$A$1:$C$19</definedName>
    <definedName name="TOTALREF">'s4'!$D$53</definedName>
    <definedName name="TOTGAL">'s1'!$B$126</definedName>
    <definedName name="WA">'s1'!$AB$124</definedName>
    <definedName name="WAG">'s2'!$Q$122</definedName>
    <definedName name="_WAG1">s2a!$Q$123</definedName>
    <definedName name="WH">'s1'!$AC$124</definedName>
    <definedName name="WHG">'s2'!$R$122</definedName>
    <definedName name="_WHG1">s2a!$R$123</definedName>
    <definedName name="WILDPARK">'s4'!$C$53</definedName>
  </definedNames>
  <calcPr calcId="145621" fullCalcOnLoad="1" fullPrecision="0"/>
</workbook>
</file>

<file path=xl/calcChain.xml><?xml version="1.0" encoding="utf-8"?>
<calcChain xmlns="http://schemas.openxmlformats.org/spreadsheetml/2006/main">
  <c r="A3" i="11" l="1"/>
  <c r="C24" i="11"/>
  <c r="E24" i="11" s="1"/>
  <c r="C27" i="11"/>
  <c r="B38" i="11"/>
  <c r="B58" i="11"/>
  <c r="A3" i="12"/>
  <c r="C5" i="12"/>
  <c r="C15" i="12"/>
  <c r="C17" i="12"/>
  <c r="B2" i="21"/>
  <c r="C6" i="21"/>
  <c r="E6" i="21"/>
  <c r="F6" i="21"/>
  <c r="G6" i="21"/>
  <c r="C7" i="21"/>
  <c r="E7" i="21"/>
  <c r="F7" i="21"/>
  <c r="G7" i="21"/>
  <c r="C8" i="21"/>
  <c r="E8" i="21"/>
  <c r="F8" i="21"/>
  <c r="B10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A2" i="1"/>
  <c r="A7" i="1"/>
  <c r="D13" i="1"/>
  <c r="E13" i="1"/>
  <c r="F13" i="1"/>
  <c r="H13" i="1"/>
  <c r="I13" i="1"/>
  <c r="AD13" i="1"/>
  <c r="AF13" i="1"/>
  <c r="AG13" i="1"/>
  <c r="C12" i="3" s="1"/>
  <c r="AH13" i="1"/>
  <c r="AI13" i="1"/>
  <c r="AJ13" i="1"/>
  <c r="AK13" i="1"/>
  <c r="AL13" i="1"/>
  <c r="AM13" i="1"/>
  <c r="AN13" i="1"/>
  <c r="AO13" i="1"/>
  <c r="K12" i="3" s="1"/>
  <c r="AP13" i="1"/>
  <c r="L12" i="3" s="1"/>
  <c r="AQ13" i="1"/>
  <c r="M12" i="3" s="1"/>
  <c r="AR13" i="1"/>
  <c r="AS13" i="1"/>
  <c r="AT13" i="1"/>
  <c r="AU13" i="1"/>
  <c r="AV13" i="1"/>
  <c r="D14" i="1"/>
  <c r="E14" i="1"/>
  <c r="F14" i="1"/>
  <c r="H14" i="1"/>
  <c r="I14" i="1"/>
  <c r="AD14" i="1"/>
  <c r="AF14" i="1"/>
  <c r="AG14" i="1"/>
  <c r="AH14" i="1"/>
  <c r="AI14" i="1"/>
  <c r="AJ14" i="1"/>
  <c r="F13" i="3" s="1"/>
  <c r="AK14" i="1"/>
  <c r="AL14" i="1"/>
  <c r="H13" i="3" s="1"/>
  <c r="AM14" i="1"/>
  <c r="AN14" i="1"/>
  <c r="J13" i="3" s="1"/>
  <c r="AO14" i="1"/>
  <c r="K13" i="3" s="1"/>
  <c r="AP14" i="1"/>
  <c r="AQ14" i="1"/>
  <c r="AR14" i="1"/>
  <c r="AS14" i="1"/>
  <c r="AT14" i="1"/>
  <c r="AU14" i="1"/>
  <c r="AV14" i="1"/>
  <c r="D15" i="1"/>
  <c r="E15" i="1"/>
  <c r="F15" i="1"/>
  <c r="H15" i="1"/>
  <c r="I15" i="1"/>
  <c r="AD15" i="1"/>
  <c r="AF15" i="1"/>
  <c r="AG15" i="1"/>
  <c r="C14" i="3" s="1"/>
  <c r="AH15" i="1"/>
  <c r="D14" i="3" s="1"/>
  <c r="AI15" i="1"/>
  <c r="AJ15" i="1"/>
  <c r="F14" i="3" s="1"/>
  <c r="AK15" i="1"/>
  <c r="G14" i="3" s="1"/>
  <c r="AL15" i="1"/>
  <c r="H14" i="3" s="1"/>
  <c r="AM15" i="1"/>
  <c r="I14" i="3" s="1"/>
  <c r="AN15" i="1"/>
  <c r="J14" i="3" s="1"/>
  <c r="AO15" i="1"/>
  <c r="K14" i="3" s="1"/>
  <c r="AP15" i="1"/>
  <c r="AQ15" i="1"/>
  <c r="AR15" i="1"/>
  <c r="AS15" i="1"/>
  <c r="AT15" i="1"/>
  <c r="AU15" i="1"/>
  <c r="AV15" i="1"/>
  <c r="D16" i="1"/>
  <c r="E16" i="1"/>
  <c r="F16" i="1"/>
  <c r="H16" i="1"/>
  <c r="I16" i="1"/>
  <c r="AD16" i="1"/>
  <c r="AF16" i="1"/>
  <c r="AG16" i="1"/>
  <c r="AH16" i="1"/>
  <c r="AI16" i="1"/>
  <c r="AJ16" i="1"/>
  <c r="AK16" i="1"/>
  <c r="AL16" i="1"/>
  <c r="AM16" i="1"/>
  <c r="I15" i="3" s="1"/>
  <c r="AN16" i="1"/>
  <c r="AO16" i="1"/>
  <c r="K15" i="3" s="1"/>
  <c r="AP16" i="1"/>
  <c r="AQ16" i="1"/>
  <c r="AR16" i="1"/>
  <c r="AS16" i="1"/>
  <c r="AT16" i="1"/>
  <c r="AU16" i="1"/>
  <c r="AV16" i="1"/>
  <c r="R15" i="3" s="1"/>
  <c r="AW16" i="1"/>
  <c r="G16" i="1" s="1"/>
  <c r="D17" i="1"/>
  <c r="E17" i="1"/>
  <c r="F17" i="1"/>
  <c r="H17" i="1"/>
  <c r="I17" i="1"/>
  <c r="AD17" i="1"/>
  <c r="AF17" i="1"/>
  <c r="AG17" i="1"/>
  <c r="AH17" i="1"/>
  <c r="D16" i="3" s="1"/>
  <c r="AI17" i="1"/>
  <c r="AJ17" i="1"/>
  <c r="F16" i="3" s="1"/>
  <c r="AK17" i="1"/>
  <c r="G16" i="3" s="1"/>
  <c r="AL17" i="1"/>
  <c r="H16" i="3" s="1"/>
  <c r="AM17" i="1"/>
  <c r="I16" i="3" s="1"/>
  <c r="AN17" i="1"/>
  <c r="J16" i="3" s="1"/>
  <c r="AO17" i="1"/>
  <c r="AP17" i="1"/>
  <c r="AQ17" i="1"/>
  <c r="M16" i="3" s="1"/>
  <c r="AR17" i="1"/>
  <c r="N16" i="3" s="1"/>
  <c r="AS17" i="1"/>
  <c r="O16" i="3" s="1"/>
  <c r="AT17" i="1"/>
  <c r="AU17" i="1"/>
  <c r="AV17" i="1"/>
  <c r="D18" i="1"/>
  <c r="E18" i="1"/>
  <c r="F18" i="1"/>
  <c r="H18" i="1"/>
  <c r="I18" i="1"/>
  <c r="AD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D19" i="1"/>
  <c r="E19" i="1"/>
  <c r="F19" i="1"/>
  <c r="H19" i="1"/>
  <c r="I19" i="1"/>
  <c r="AD19" i="1"/>
  <c r="AF19" i="1"/>
  <c r="B18" i="3" s="1"/>
  <c r="AG19" i="1"/>
  <c r="C18" i="3" s="1"/>
  <c r="AH19" i="1"/>
  <c r="D18" i="3" s="1"/>
  <c r="AI19" i="1"/>
  <c r="AJ19" i="1"/>
  <c r="AK19" i="1"/>
  <c r="AL19" i="1"/>
  <c r="H18" i="3" s="1"/>
  <c r="AM19" i="1"/>
  <c r="AN19" i="1"/>
  <c r="AO19" i="1"/>
  <c r="AP19" i="1"/>
  <c r="AQ19" i="1"/>
  <c r="AR19" i="1"/>
  <c r="AS19" i="1"/>
  <c r="AT19" i="1"/>
  <c r="AU19" i="1"/>
  <c r="AV19" i="1"/>
  <c r="R18" i="3" s="1"/>
  <c r="D20" i="1"/>
  <c r="E20" i="1"/>
  <c r="F20" i="1"/>
  <c r="H20" i="1"/>
  <c r="I20" i="1"/>
  <c r="AD20" i="1"/>
  <c r="AF20" i="1"/>
  <c r="AG20" i="1"/>
  <c r="C19" i="3" s="1"/>
  <c r="AH20" i="1"/>
  <c r="D19" i="3" s="1"/>
  <c r="AI20" i="1"/>
  <c r="AJ20" i="1"/>
  <c r="F19" i="3" s="1"/>
  <c r="AK20" i="1"/>
  <c r="G19" i="3" s="1"/>
  <c r="AL20" i="1"/>
  <c r="H19" i="3" s="1"/>
  <c r="AM20" i="1"/>
  <c r="I19" i="3" s="1"/>
  <c r="AN20" i="1"/>
  <c r="J19" i="3" s="1"/>
  <c r="AO20" i="1"/>
  <c r="K19" i="3" s="1"/>
  <c r="AP20" i="1"/>
  <c r="L19" i="3" s="1"/>
  <c r="AQ20" i="1"/>
  <c r="M19" i="3" s="1"/>
  <c r="AR20" i="1"/>
  <c r="AS20" i="1"/>
  <c r="AT20" i="1"/>
  <c r="AU20" i="1"/>
  <c r="AV20" i="1"/>
  <c r="R19" i="3" s="1"/>
  <c r="D21" i="1"/>
  <c r="E21" i="1"/>
  <c r="F21" i="1"/>
  <c r="H21" i="1"/>
  <c r="I21" i="1"/>
  <c r="AD21" i="1"/>
  <c r="AF21" i="1"/>
  <c r="B20" i="3" s="1"/>
  <c r="AG21" i="1"/>
  <c r="C20" i="3" s="1"/>
  <c r="AH21" i="1"/>
  <c r="AI21" i="1"/>
  <c r="E20" i="3" s="1"/>
  <c r="AJ21" i="1"/>
  <c r="AK21" i="1"/>
  <c r="G20" i="3" s="1"/>
  <c r="AL21" i="1"/>
  <c r="H20" i="3" s="1"/>
  <c r="AM21" i="1"/>
  <c r="I20" i="3" s="1"/>
  <c r="AN21" i="1"/>
  <c r="AO21" i="1"/>
  <c r="AP21" i="1"/>
  <c r="AQ21" i="1"/>
  <c r="AR21" i="1"/>
  <c r="N20" i="3" s="1"/>
  <c r="AS21" i="1"/>
  <c r="AT21" i="1"/>
  <c r="P20" i="3" s="1"/>
  <c r="AU21" i="1"/>
  <c r="AV21" i="1"/>
  <c r="D22" i="1"/>
  <c r="E22" i="1"/>
  <c r="F22" i="1"/>
  <c r="H22" i="1"/>
  <c r="I22" i="1"/>
  <c r="AD22" i="1"/>
  <c r="AF22" i="1"/>
  <c r="AG22" i="1"/>
  <c r="AH22" i="1"/>
  <c r="AI22" i="1"/>
  <c r="AJ22" i="1"/>
  <c r="AK22" i="1"/>
  <c r="AL22" i="1"/>
  <c r="AM22" i="1"/>
  <c r="AN22" i="1"/>
  <c r="AO22" i="1"/>
  <c r="K21" i="3" s="1"/>
  <c r="AP22" i="1"/>
  <c r="L21" i="3" s="1"/>
  <c r="AQ22" i="1"/>
  <c r="M21" i="3" s="1"/>
  <c r="AR22" i="1"/>
  <c r="AS22" i="1"/>
  <c r="AT22" i="1"/>
  <c r="AU22" i="1"/>
  <c r="Q21" i="3" s="1"/>
  <c r="AV22" i="1"/>
  <c r="D23" i="1"/>
  <c r="E23" i="1"/>
  <c r="F23" i="1"/>
  <c r="H23" i="1"/>
  <c r="I23" i="1"/>
  <c r="AD23" i="1"/>
  <c r="AF23" i="1"/>
  <c r="AG23" i="1"/>
  <c r="AH23" i="1"/>
  <c r="AI23" i="1"/>
  <c r="AJ23" i="1"/>
  <c r="AK23" i="1"/>
  <c r="G22" i="3" s="1"/>
  <c r="AL23" i="1"/>
  <c r="AM23" i="1"/>
  <c r="I22" i="3" s="1"/>
  <c r="AN23" i="1"/>
  <c r="AO23" i="1"/>
  <c r="AP23" i="1"/>
  <c r="AQ23" i="1"/>
  <c r="AR23" i="1"/>
  <c r="AS23" i="1"/>
  <c r="AT23" i="1"/>
  <c r="AU23" i="1"/>
  <c r="AV23" i="1"/>
  <c r="D24" i="1"/>
  <c r="E24" i="1"/>
  <c r="F24" i="1"/>
  <c r="H24" i="1"/>
  <c r="I24" i="1"/>
  <c r="AD24" i="1"/>
  <c r="AF24" i="1"/>
  <c r="B23" i="3" s="1"/>
  <c r="AG24" i="1"/>
  <c r="AH24" i="1"/>
  <c r="D23" i="3" s="1"/>
  <c r="AI24" i="1"/>
  <c r="AJ24" i="1"/>
  <c r="AK24" i="1"/>
  <c r="AL24" i="1"/>
  <c r="AM24" i="1"/>
  <c r="I23" i="3" s="1"/>
  <c r="AN24" i="1"/>
  <c r="AO24" i="1"/>
  <c r="AP24" i="1"/>
  <c r="AQ24" i="1"/>
  <c r="AR24" i="1"/>
  <c r="N23" i="3" s="1"/>
  <c r="AS24" i="1"/>
  <c r="O23" i="3" s="1"/>
  <c r="AT24" i="1"/>
  <c r="P23" i="3" s="1"/>
  <c r="AU24" i="1"/>
  <c r="Q23" i="3" s="1"/>
  <c r="AV24" i="1"/>
  <c r="R23" i="3" s="1"/>
  <c r="AW24" i="1"/>
  <c r="G24" i="1" s="1"/>
  <c r="J24" i="1" s="1"/>
  <c r="D25" i="1"/>
  <c r="E25" i="1"/>
  <c r="F25" i="1"/>
  <c r="H25" i="1"/>
  <c r="I25" i="1"/>
  <c r="AD25" i="1"/>
  <c r="AF25" i="1"/>
  <c r="AG25" i="1"/>
  <c r="AH25" i="1"/>
  <c r="D24" i="3" s="1"/>
  <c r="AI25" i="1"/>
  <c r="AJ25" i="1"/>
  <c r="F24" i="3" s="1"/>
  <c r="AK25" i="1"/>
  <c r="G24" i="3" s="1"/>
  <c r="AL25" i="1"/>
  <c r="H24" i="3" s="1"/>
  <c r="AM25" i="1"/>
  <c r="I24" i="3" s="1"/>
  <c r="AN25" i="1"/>
  <c r="J24" i="3" s="1"/>
  <c r="AO25" i="1"/>
  <c r="K24" i="3" s="1"/>
  <c r="AP25" i="1"/>
  <c r="AQ25" i="1"/>
  <c r="AR25" i="1"/>
  <c r="AS25" i="1"/>
  <c r="AT25" i="1"/>
  <c r="P24" i="3" s="1"/>
  <c r="AU25" i="1"/>
  <c r="AV25" i="1"/>
  <c r="D26" i="1"/>
  <c r="E26" i="1"/>
  <c r="F26" i="1"/>
  <c r="H26" i="1"/>
  <c r="I26" i="1"/>
  <c r="AD26" i="1"/>
  <c r="AF26" i="1"/>
  <c r="AG26" i="1"/>
  <c r="C25" i="3" s="1"/>
  <c r="AH26" i="1"/>
  <c r="D25" i="3" s="1"/>
  <c r="AI26" i="1"/>
  <c r="AJ26" i="1"/>
  <c r="AK26" i="1"/>
  <c r="AL26" i="1"/>
  <c r="H25" i="3" s="1"/>
  <c r="AM26" i="1"/>
  <c r="AN26" i="1"/>
  <c r="AO26" i="1"/>
  <c r="AP26" i="1"/>
  <c r="AQ26" i="1"/>
  <c r="AR26" i="1"/>
  <c r="AS26" i="1"/>
  <c r="AT26" i="1"/>
  <c r="AU26" i="1"/>
  <c r="Q25" i="3" s="1"/>
  <c r="AV26" i="1"/>
  <c r="D27" i="1"/>
  <c r="E27" i="1"/>
  <c r="F27" i="1"/>
  <c r="H27" i="1"/>
  <c r="I27" i="1"/>
  <c r="AD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O26" i="3" s="1"/>
  <c r="AT27" i="1"/>
  <c r="P26" i="3" s="1"/>
  <c r="AU27" i="1"/>
  <c r="Q26" i="3" s="1"/>
  <c r="AV27" i="1"/>
  <c r="D28" i="1"/>
  <c r="E28" i="1"/>
  <c r="F28" i="1"/>
  <c r="H28" i="1"/>
  <c r="I28" i="1"/>
  <c r="AD28" i="1"/>
  <c r="AF28" i="1"/>
  <c r="AG28" i="1"/>
  <c r="C27" i="3" s="1"/>
  <c r="AH28" i="1"/>
  <c r="D27" i="3" s="1"/>
  <c r="AI28" i="1"/>
  <c r="AJ28" i="1"/>
  <c r="AK28" i="1"/>
  <c r="AL28" i="1"/>
  <c r="AM28" i="1"/>
  <c r="I27" i="3" s="1"/>
  <c r="AN28" i="1"/>
  <c r="J27" i="3" s="1"/>
  <c r="AO28" i="1"/>
  <c r="AP28" i="1"/>
  <c r="AQ28" i="1"/>
  <c r="AR28" i="1"/>
  <c r="AS28" i="1"/>
  <c r="AT28" i="1"/>
  <c r="AU28" i="1"/>
  <c r="AV28" i="1"/>
  <c r="AW28" i="1"/>
  <c r="G28" i="1" s="1"/>
  <c r="D29" i="1"/>
  <c r="E29" i="1"/>
  <c r="F29" i="1"/>
  <c r="H29" i="1"/>
  <c r="I29" i="1"/>
  <c r="AD29" i="1"/>
  <c r="AF29" i="1"/>
  <c r="AG29" i="1"/>
  <c r="C28" i="3" s="1"/>
  <c r="AH29" i="1"/>
  <c r="D28" i="3" s="1"/>
  <c r="AI29" i="1"/>
  <c r="E28" i="3" s="1"/>
  <c r="AJ29" i="1"/>
  <c r="F28" i="3" s="1"/>
  <c r="AK29" i="1"/>
  <c r="AL29" i="1"/>
  <c r="H28" i="3" s="1"/>
  <c r="AM29" i="1"/>
  <c r="AN29" i="1"/>
  <c r="AO29" i="1"/>
  <c r="K28" i="3" s="1"/>
  <c r="AP29" i="1"/>
  <c r="AQ29" i="1"/>
  <c r="M28" i="3" s="1"/>
  <c r="AR29" i="1"/>
  <c r="N28" i="3" s="1"/>
  <c r="AS29" i="1"/>
  <c r="O28" i="3" s="1"/>
  <c r="AT29" i="1"/>
  <c r="AU29" i="1"/>
  <c r="AV29" i="1"/>
  <c r="D30" i="1"/>
  <c r="E30" i="1"/>
  <c r="F30" i="1"/>
  <c r="H30" i="1"/>
  <c r="I30" i="1"/>
  <c r="AD30" i="1"/>
  <c r="AF30" i="1"/>
  <c r="AG30" i="1"/>
  <c r="C29" i="3" s="1"/>
  <c r="AH30" i="1"/>
  <c r="D29" i="3" s="1"/>
  <c r="AI30" i="1"/>
  <c r="AJ30" i="1"/>
  <c r="F29" i="3" s="1"/>
  <c r="AK30" i="1"/>
  <c r="G29" i="3" s="1"/>
  <c r="AL30" i="1"/>
  <c r="AM30" i="1"/>
  <c r="I29" i="3" s="1"/>
  <c r="AN30" i="1"/>
  <c r="AO30" i="1"/>
  <c r="AP30" i="1"/>
  <c r="AQ30" i="1"/>
  <c r="M29" i="3" s="1"/>
  <c r="AR30" i="1"/>
  <c r="AS30" i="1"/>
  <c r="O29" i="3" s="1"/>
  <c r="AT30" i="1"/>
  <c r="P29" i="3" s="1"/>
  <c r="AU30" i="1"/>
  <c r="AV30" i="1"/>
  <c r="D31" i="1"/>
  <c r="E31" i="1"/>
  <c r="F31" i="1"/>
  <c r="H31" i="1"/>
  <c r="I31" i="1"/>
  <c r="AD31" i="1"/>
  <c r="AF31" i="1"/>
  <c r="AG31" i="1"/>
  <c r="AH31" i="1"/>
  <c r="AI31" i="1"/>
  <c r="AJ31" i="1"/>
  <c r="AK31" i="1"/>
  <c r="G30" i="3" s="1"/>
  <c r="AL31" i="1"/>
  <c r="AM31" i="1"/>
  <c r="AN31" i="1"/>
  <c r="AO31" i="1"/>
  <c r="K30" i="3" s="1"/>
  <c r="AP31" i="1"/>
  <c r="AQ31" i="1"/>
  <c r="AR31" i="1"/>
  <c r="AS31" i="1"/>
  <c r="AT31" i="1"/>
  <c r="AU31" i="1"/>
  <c r="AV31" i="1"/>
  <c r="D32" i="1"/>
  <c r="E32" i="1"/>
  <c r="F32" i="1"/>
  <c r="H32" i="1"/>
  <c r="I32" i="1"/>
  <c r="AD32" i="1"/>
  <c r="AF32" i="1"/>
  <c r="AG32" i="1"/>
  <c r="AH32" i="1"/>
  <c r="D31" i="3" s="1"/>
  <c r="AI32" i="1"/>
  <c r="E31" i="3" s="1"/>
  <c r="AJ32" i="1"/>
  <c r="F31" i="3" s="1"/>
  <c r="AK32" i="1"/>
  <c r="G31" i="3" s="1"/>
  <c r="AL32" i="1"/>
  <c r="H31" i="3" s="1"/>
  <c r="AM32" i="1"/>
  <c r="I31" i="3" s="1"/>
  <c r="AN32" i="1"/>
  <c r="AO32" i="1"/>
  <c r="K31" i="3" s="1"/>
  <c r="AP32" i="1"/>
  <c r="AQ32" i="1"/>
  <c r="AR32" i="1"/>
  <c r="N31" i="3" s="1"/>
  <c r="AS32" i="1"/>
  <c r="O31" i="3" s="1"/>
  <c r="AT32" i="1"/>
  <c r="AU32" i="1"/>
  <c r="AV32" i="1"/>
  <c r="D33" i="1"/>
  <c r="E33" i="1"/>
  <c r="F33" i="1"/>
  <c r="H33" i="1"/>
  <c r="I33" i="1"/>
  <c r="AD33" i="1"/>
  <c r="AF33" i="1"/>
  <c r="AG33" i="1"/>
  <c r="AH33" i="1"/>
  <c r="D32" i="3" s="1"/>
  <c r="AI33" i="1"/>
  <c r="E32" i="3" s="1"/>
  <c r="AJ33" i="1"/>
  <c r="F32" i="3" s="1"/>
  <c r="AK33" i="1"/>
  <c r="G32" i="3" s="1"/>
  <c r="AL33" i="1"/>
  <c r="H32" i="3" s="1"/>
  <c r="AM33" i="1"/>
  <c r="I32" i="3" s="1"/>
  <c r="AN33" i="1"/>
  <c r="AO33" i="1"/>
  <c r="AP33" i="1"/>
  <c r="AQ33" i="1"/>
  <c r="AR33" i="1"/>
  <c r="AS33" i="1"/>
  <c r="AT33" i="1"/>
  <c r="P32" i="3" s="1"/>
  <c r="AU33" i="1"/>
  <c r="Q32" i="3" s="1"/>
  <c r="AV33" i="1"/>
  <c r="D34" i="1"/>
  <c r="E34" i="1"/>
  <c r="F34" i="1"/>
  <c r="H34" i="1"/>
  <c r="I34" i="1"/>
  <c r="AD34" i="1"/>
  <c r="AF34" i="1"/>
  <c r="AG34" i="1"/>
  <c r="C33" i="3" s="1"/>
  <c r="AH34" i="1"/>
  <c r="AI34" i="1"/>
  <c r="E33" i="3" s="1"/>
  <c r="AJ34" i="1"/>
  <c r="AK34" i="1"/>
  <c r="G33" i="3" s="1"/>
  <c r="AL34" i="1"/>
  <c r="H33" i="3" s="1"/>
  <c r="AM34" i="1"/>
  <c r="I33" i="3" s="1"/>
  <c r="AN34" i="1"/>
  <c r="AO34" i="1"/>
  <c r="AP34" i="1"/>
  <c r="L33" i="3" s="1"/>
  <c r="AQ34" i="1"/>
  <c r="AR34" i="1"/>
  <c r="AS34" i="1"/>
  <c r="AT34" i="1"/>
  <c r="AU34" i="1"/>
  <c r="AV34" i="1"/>
  <c r="D35" i="1"/>
  <c r="E35" i="1"/>
  <c r="F35" i="1"/>
  <c r="H35" i="1"/>
  <c r="I35" i="1"/>
  <c r="AD35" i="1"/>
  <c r="AF35" i="1"/>
  <c r="AG35" i="1"/>
  <c r="AH35" i="1"/>
  <c r="D34" i="3" s="1"/>
  <c r="AI35" i="1"/>
  <c r="E34" i="3" s="1"/>
  <c r="AJ35" i="1"/>
  <c r="AK35" i="1"/>
  <c r="G34" i="3" s="1"/>
  <c r="AL35" i="1"/>
  <c r="AM35" i="1"/>
  <c r="AN35" i="1"/>
  <c r="AO35" i="1"/>
  <c r="K34" i="3" s="1"/>
  <c r="AP35" i="1"/>
  <c r="L34" i="3" s="1"/>
  <c r="AQ35" i="1"/>
  <c r="M34" i="3" s="1"/>
  <c r="AR35" i="1"/>
  <c r="N34" i="3" s="1"/>
  <c r="AS35" i="1"/>
  <c r="AT35" i="1"/>
  <c r="P34" i="3" s="1"/>
  <c r="AU35" i="1"/>
  <c r="Q34" i="3" s="1"/>
  <c r="AV35" i="1"/>
  <c r="R34" i="3" s="1"/>
  <c r="D36" i="1"/>
  <c r="E36" i="1"/>
  <c r="F36" i="1"/>
  <c r="H36" i="1"/>
  <c r="I36" i="1"/>
  <c r="AD36" i="1"/>
  <c r="AF36" i="1"/>
  <c r="B35" i="3" s="1"/>
  <c r="AG36" i="1"/>
  <c r="C35" i="3" s="1"/>
  <c r="AH36" i="1"/>
  <c r="AI36" i="1"/>
  <c r="E35" i="3" s="1"/>
  <c r="AJ36" i="1"/>
  <c r="F35" i="3" s="1"/>
  <c r="AK36" i="1"/>
  <c r="AL36" i="1"/>
  <c r="AM36" i="1"/>
  <c r="AN36" i="1"/>
  <c r="AO36" i="1"/>
  <c r="K35" i="3" s="1"/>
  <c r="AP36" i="1"/>
  <c r="L35" i="3" s="1"/>
  <c r="AQ36" i="1"/>
  <c r="M35" i="3" s="1"/>
  <c r="AR36" i="1"/>
  <c r="AS36" i="1"/>
  <c r="O35" i="3" s="1"/>
  <c r="AT36" i="1"/>
  <c r="P35" i="3" s="1"/>
  <c r="AU36" i="1"/>
  <c r="Q35" i="3" s="1"/>
  <c r="AV36" i="1"/>
  <c r="AW36" i="1"/>
  <c r="G36" i="1" s="1"/>
  <c r="D37" i="1"/>
  <c r="E37" i="1"/>
  <c r="F37" i="1"/>
  <c r="H37" i="1"/>
  <c r="I37" i="1"/>
  <c r="AD37" i="1"/>
  <c r="AF37" i="1"/>
  <c r="AG37" i="1"/>
  <c r="AH37" i="1"/>
  <c r="D36" i="3" s="1"/>
  <c r="AI37" i="1"/>
  <c r="AJ37" i="1"/>
  <c r="F36" i="3" s="1"/>
  <c r="AK37" i="1"/>
  <c r="G36" i="3" s="1"/>
  <c r="AL37" i="1"/>
  <c r="H36" i="3" s="1"/>
  <c r="AM37" i="1"/>
  <c r="I36" i="3" s="1"/>
  <c r="AN37" i="1"/>
  <c r="J36" i="3" s="1"/>
  <c r="AO37" i="1"/>
  <c r="AP37" i="1"/>
  <c r="L36" i="3" s="1"/>
  <c r="AQ37" i="1"/>
  <c r="AR37" i="1"/>
  <c r="N36" i="3" s="1"/>
  <c r="AS37" i="1"/>
  <c r="AT37" i="1"/>
  <c r="P36" i="3" s="1"/>
  <c r="AU37" i="1"/>
  <c r="AV37" i="1"/>
  <c r="AW37" i="1"/>
  <c r="G37" i="1" s="1"/>
  <c r="J37" i="1" s="1"/>
  <c r="D38" i="1"/>
  <c r="E38" i="1"/>
  <c r="F38" i="1"/>
  <c r="H38" i="1"/>
  <c r="I38" i="1"/>
  <c r="AD38" i="1"/>
  <c r="AF38" i="1"/>
  <c r="AG38" i="1"/>
  <c r="AH38" i="1"/>
  <c r="AI38" i="1"/>
  <c r="E37" i="3" s="1"/>
  <c r="AJ38" i="1"/>
  <c r="AK38" i="1"/>
  <c r="AL38" i="1"/>
  <c r="AM38" i="1"/>
  <c r="AN38" i="1"/>
  <c r="AO38" i="1"/>
  <c r="AP38" i="1"/>
  <c r="AQ38" i="1"/>
  <c r="AR38" i="1"/>
  <c r="N37" i="3" s="1"/>
  <c r="AS38" i="1"/>
  <c r="AT38" i="1"/>
  <c r="AU38" i="1"/>
  <c r="Q37" i="3" s="1"/>
  <c r="AV38" i="1"/>
  <c r="D39" i="1"/>
  <c r="E39" i="1"/>
  <c r="F39" i="1"/>
  <c r="H39" i="1"/>
  <c r="I39" i="1"/>
  <c r="AD39" i="1"/>
  <c r="AF39" i="1"/>
  <c r="AG39" i="1"/>
  <c r="C38" i="3" s="1"/>
  <c r="AH39" i="1"/>
  <c r="AI39" i="1"/>
  <c r="E38" i="3" s="1"/>
  <c r="AJ39" i="1"/>
  <c r="F38" i="3" s="1"/>
  <c r="AK39" i="1"/>
  <c r="AL39" i="1"/>
  <c r="AM39" i="1"/>
  <c r="I38" i="3" s="1"/>
  <c r="AN39" i="1"/>
  <c r="J38" i="3" s="1"/>
  <c r="AO39" i="1"/>
  <c r="K38" i="3" s="1"/>
  <c r="AP39" i="1"/>
  <c r="L38" i="3" s="1"/>
  <c r="AQ39" i="1"/>
  <c r="M38" i="3" s="1"/>
  <c r="AR39" i="1"/>
  <c r="N38" i="3" s="1"/>
  <c r="AS39" i="1"/>
  <c r="O38" i="3" s="1"/>
  <c r="AT39" i="1"/>
  <c r="P38" i="3" s="1"/>
  <c r="AU39" i="1"/>
  <c r="AV39" i="1"/>
  <c r="D40" i="1"/>
  <c r="E40" i="1"/>
  <c r="F40" i="1"/>
  <c r="H40" i="1"/>
  <c r="I40" i="1"/>
  <c r="AD40" i="1"/>
  <c r="AF40" i="1"/>
  <c r="B39" i="3" s="1"/>
  <c r="AG40" i="1"/>
  <c r="AH40" i="1"/>
  <c r="AI40" i="1"/>
  <c r="AJ40" i="1"/>
  <c r="AK40" i="1"/>
  <c r="AL40" i="1"/>
  <c r="H39" i="3" s="1"/>
  <c r="AM40" i="1"/>
  <c r="I39" i="3" s="1"/>
  <c r="AN40" i="1"/>
  <c r="AO40" i="1"/>
  <c r="AP40" i="1"/>
  <c r="L39" i="3" s="1"/>
  <c r="AQ40" i="1"/>
  <c r="M39" i="3" s="1"/>
  <c r="AR40" i="1"/>
  <c r="N39" i="3" s="1"/>
  <c r="AS40" i="1"/>
  <c r="AT40" i="1"/>
  <c r="P39" i="3" s="1"/>
  <c r="AU40" i="1"/>
  <c r="Q39" i="3" s="1"/>
  <c r="AV40" i="1"/>
  <c r="R39" i="3" s="1"/>
  <c r="D41" i="1"/>
  <c r="E41" i="1"/>
  <c r="F41" i="1"/>
  <c r="H41" i="1"/>
  <c r="I41" i="1"/>
  <c r="AD41" i="1"/>
  <c r="AF41" i="1"/>
  <c r="AG41" i="1"/>
  <c r="C40" i="3" s="1"/>
  <c r="AH41" i="1"/>
  <c r="D40" i="3" s="1"/>
  <c r="AI41" i="1"/>
  <c r="E40" i="3" s="1"/>
  <c r="AJ41" i="1"/>
  <c r="F40" i="3" s="1"/>
  <c r="AK41" i="1"/>
  <c r="G40" i="3" s="1"/>
  <c r="AL41" i="1"/>
  <c r="H40" i="3" s="1"/>
  <c r="AM41" i="1"/>
  <c r="AN41" i="1"/>
  <c r="AO41" i="1"/>
  <c r="AP41" i="1"/>
  <c r="AQ41" i="1"/>
  <c r="AR41" i="1"/>
  <c r="N40" i="3" s="1"/>
  <c r="AS41" i="1"/>
  <c r="O40" i="3" s="1"/>
  <c r="AT41" i="1"/>
  <c r="P40" i="3" s="1"/>
  <c r="AU41" i="1"/>
  <c r="Q40" i="3" s="1"/>
  <c r="AV41" i="1"/>
  <c r="R40" i="3" s="1"/>
  <c r="AW41" i="1"/>
  <c r="G41" i="1" s="1"/>
  <c r="J41" i="1" s="1"/>
  <c r="D42" i="1"/>
  <c r="E42" i="1"/>
  <c r="F42" i="1"/>
  <c r="H42" i="1"/>
  <c r="I42" i="1"/>
  <c r="AD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M41" i="3" s="1"/>
  <c r="AR42" i="1"/>
  <c r="AS42" i="1"/>
  <c r="AT42" i="1"/>
  <c r="AU42" i="1"/>
  <c r="AV42" i="1"/>
  <c r="D43" i="1"/>
  <c r="E43" i="1"/>
  <c r="F43" i="1"/>
  <c r="H43" i="1"/>
  <c r="I43" i="1"/>
  <c r="AD43" i="1"/>
  <c r="AF43" i="1"/>
  <c r="AG43" i="1"/>
  <c r="AH43" i="1"/>
  <c r="D42" i="3" s="1"/>
  <c r="AI43" i="1"/>
  <c r="E42" i="3" s="1"/>
  <c r="AJ43" i="1"/>
  <c r="F42" i="3" s="1"/>
  <c r="AK43" i="1"/>
  <c r="AL43" i="1"/>
  <c r="AM43" i="1"/>
  <c r="AN43" i="1"/>
  <c r="AO43" i="1"/>
  <c r="AP43" i="1"/>
  <c r="L42" i="3" s="1"/>
  <c r="AQ43" i="1"/>
  <c r="AR43" i="1"/>
  <c r="AS43" i="1"/>
  <c r="AT43" i="1"/>
  <c r="AU43" i="1"/>
  <c r="Q42" i="3" s="1"/>
  <c r="AV43" i="1"/>
  <c r="R42" i="3" s="1"/>
  <c r="D44" i="1"/>
  <c r="E44" i="1"/>
  <c r="F44" i="1"/>
  <c r="H44" i="1"/>
  <c r="I44" i="1"/>
  <c r="AD44" i="1"/>
  <c r="AF44" i="1"/>
  <c r="AG44" i="1"/>
  <c r="C43" i="3" s="1"/>
  <c r="AH44" i="1"/>
  <c r="D43" i="3" s="1"/>
  <c r="AI44" i="1"/>
  <c r="E43" i="3" s="1"/>
  <c r="AJ44" i="1"/>
  <c r="F43" i="3" s="1"/>
  <c r="AK44" i="1"/>
  <c r="AL44" i="1"/>
  <c r="H43" i="3" s="1"/>
  <c r="AM44" i="1"/>
  <c r="I43" i="3" s="1"/>
  <c r="AN44" i="1"/>
  <c r="J43" i="3" s="1"/>
  <c r="AO44" i="1"/>
  <c r="K43" i="3" s="1"/>
  <c r="AP44" i="1"/>
  <c r="L43" i="3" s="1"/>
  <c r="AQ44" i="1"/>
  <c r="AR44" i="1"/>
  <c r="AS44" i="1"/>
  <c r="AT44" i="1"/>
  <c r="AU44" i="1"/>
  <c r="Q43" i="3" s="1"/>
  <c r="AV44" i="1"/>
  <c r="R43" i="3" s="1"/>
  <c r="D45" i="1"/>
  <c r="E45" i="1"/>
  <c r="F45" i="1"/>
  <c r="H45" i="1"/>
  <c r="I45" i="1"/>
  <c r="AD45" i="1"/>
  <c r="AF45" i="1"/>
  <c r="AG45" i="1"/>
  <c r="C44" i="3" s="1"/>
  <c r="AH45" i="1"/>
  <c r="AI45" i="1"/>
  <c r="AJ45" i="1"/>
  <c r="AK45" i="1"/>
  <c r="AL45" i="1"/>
  <c r="H44" i="3" s="1"/>
  <c r="AM45" i="1"/>
  <c r="I44" i="3" s="1"/>
  <c r="AN45" i="1"/>
  <c r="J44" i="3" s="1"/>
  <c r="AO45" i="1"/>
  <c r="K44" i="3" s="1"/>
  <c r="AP45" i="1"/>
  <c r="L44" i="3" s="1"/>
  <c r="AQ45" i="1"/>
  <c r="M44" i="3" s="1"/>
  <c r="AR45" i="1"/>
  <c r="N44" i="3" s="1"/>
  <c r="AS45" i="1"/>
  <c r="AT45" i="1"/>
  <c r="P44" i="3" s="1"/>
  <c r="AU45" i="1"/>
  <c r="AV45" i="1"/>
  <c r="R44" i="3" s="1"/>
  <c r="D46" i="1"/>
  <c r="E46" i="1"/>
  <c r="F46" i="1"/>
  <c r="H46" i="1"/>
  <c r="I46" i="1"/>
  <c r="AD46" i="1"/>
  <c r="AF46" i="1"/>
  <c r="AG46" i="1"/>
  <c r="AH46" i="1"/>
  <c r="D45" i="3" s="1"/>
  <c r="AI46" i="1"/>
  <c r="AJ46" i="1"/>
  <c r="F45" i="3" s="1"/>
  <c r="AK46" i="1"/>
  <c r="G45" i="3" s="1"/>
  <c r="AL46" i="1"/>
  <c r="AM46" i="1"/>
  <c r="I45" i="3" s="1"/>
  <c r="AN46" i="1"/>
  <c r="J45" i="3" s="1"/>
  <c r="AO46" i="1"/>
  <c r="K45" i="3" s="1"/>
  <c r="AP46" i="1"/>
  <c r="AQ46" i="1"/>
  <c r="AR46" i="1"/>
  <c r="AS46" i="1"/>
  <c r="AT46" i="1"/>
  <c r="P45" i="3" s="1"/>
  <c r="AU46" i="1"/>
  <c r="Q45" i="3" s="1"/>
  <c r="AV46" i="1"/>
  <c r="D47" i="1"/>
  <c r="E47" i="1"/>
  <c r="F47" i="1"/>
  <c r="H47" i="1"/>
  <c r="I47" i="1"/>
  <c r="AD47" i="1"/>
  <c r="AF47" i="1"/>
  <c r="B46" i="3" s="1"/>
  <c r="AG47" i="1"/>
  <c r="C46" i="3" s="1"/>
  <c r="AH47" i="1"/>
  <c r="D46" i="3" s="1"/>
  <c r="AI47" i="1"/>
  <c r="E46" i="3" s="1"/>
  <c r="AJ47" i="1"/>
  <c r="AK47" i="1"/>
  <c r="AL47" i="1"/>
  <c r="AM47" i="1"/>
  <c r="I46" i="3" s="1"/>
  <c r="AN47" i="1"/>
  <c r="J46" i="3" s="1"/>
  <c r="AO47" i="1"/>
  <c r="K46" i="3" s="1"/>
  <c r="AP47" i="1"/>
  <c r="AQ47" i="1"/>
  <c r="AR47" i="1"/>
  <c r="N46" i="3" s="1"/>
  <c r="AS47" i="1"/>
  <c r="AT47" i="1"/>
  <c r="AU47" i="1"/>
  <c r="AV47" i="1"/>
  <c r="D48" i="1"/>
  <c r="E48" i="1"/>
  <c r="F48" i="1"/>
  <c r="H48" i="1"/>
  <c r="I48" i="1"/>
  <c r="AD48" i="1"/>
  <c r="AF48" i="1"/>
  <c r="B47" i="3" s="1"/>
  <c r="S47" i="3" s="1"/>
  <c r="AG48" i="1"/>
  <c r="AH48" i="1"/>
  <c r="D47" i="3" s="1"/>
  <c r="AI48" i="1"/>
  <c r="AJ48" i="1"/>
  <c r="AK48" i="1"/>
  <c r="AL48" i="1"/>
  <c r="AM48" i="1"/>
  <c r="AN48" i="1"/>
  <c r="J47" i="3" s="1"/>
  <c r="AO48" i="1"/>
  <c r="K47" i="3" s="1"/>
  <c r="AP48" i="1"/>
  <c r="L47" i="3" s="1"/>
  <c r="AQ48" i="1"/>
  <c r="M47" i="3" s="1"/>
  <c r="AR48" i="1"/>
  <c r="N47" i="3" s="1"/>
  <c r="AS48" i="1"/>
  <c r="AT48" i="1"/>
  <c r="AU48" i="1"/>
  <c r="Q47" i="3" s="1"/>
  <c r="AV48" i="1"/>
  <c r="R47" i="3" s="1"/>
  <c r="D49" i="1"/>
  <c r="E49" i="1"/>
  <c r="F49" i="1"/>
  <c r="H49" i="1"/>
  <c r="I49" i="1"/>
  <c r="AD49" i="1"/>
  <c r="AF49" i="1"/>
  <c r="B48" i="3" s="1"/>
  <c r="AG49" i="1"/>
  <c r="C48" i="3" s="1"/>
  <c r="AH49" i="1"/>
  <c r="D48" i="3" s="1"/>
  <c r="AI49" i="1"/>
  <c r="AJ49" i="1"/>
  <c r="F48" i="3" s="1"/>
  <c r="AK49" i="1"/>
  <c r="AL49" i="1"/>
  <c r="AM49" i="1"/>
  <c r="I48" i="3" s="1"/>
  <c r="AN49" i="1"/>
  <c r="J48" i="3" s="1"/>
  <c r="AO49" i="1"/>
  <c r="K48" i="3" s="1"/>
  <c r="AP49" i="1"/>
  <c r="L48" i="3" s="1"/>
  <c r="AQ49" i="1"/>
  <c r="AR49" i="1"/>
  <c r="AS49" i="1"/>
  <c r="AT49" i="1"/>
  <c r="AU49" i="1"/>
  <c r="AV49" i="1"/>
  <c r="R48" i="3" s="1"/>
  <c r="D50" i="1"/>
  <c r="E50" i="1"/>
  <c r="F50" i="1"/>
  <c r="H50" i="1"/>
  <c r="I50" i="1"/>
  <c r="AD50" i="1"/>
  <c r="AF50" i="1"/>
  <c r="AG50" i="1"/>
  <c r="AH50" i="1"/>
  <c r="AI50" i="1"/>
  <c r="AJ50" i="1"/>
  <c r="AK50" i="1"/>
  <c r="AL50" i="1"/>
  <c r="AM50" i="1"/>
  <c r="I49" i="3" s="1"/>
  <c r="AN50" i="1"/>
  <c r="AO50" i="1"/>
  <c r="K49" i="3" s="1"/>
  <c r="AP50" i="1"/>
  <c r="L49" i="3" s="1"/>
  <c r="AQ50" i="1"/>
  <c r="AR50" i="1"/>
  <c r="N49" i="3" s="1"/>
  <c r="AS50" i="1"/>
  <c r="O49" i="3" s="1"/>
  <c r="AT50" i="1"/>
  <c r="P49" i="3" s="1"/>
  <c r="AU50" i="1"/>
  <c r="AV50" i="1"/>
  <c r="D51" i="1"/>
  <c r="E51" i="1"/>
  <c r="F51" i="1"/>
  <c r="H51" i="1"/>
  <c r="I51" i="1"/>
  <c r="AD51" i="1"/>
  <c r="AF51" i="1"/>
  <c r="AG51" i="1"/>
  <c r="C50" i="3" s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D52" i="1"/>
  <c r="E52" i="1"/>
  <c r="F52" i="1"/>
  <c r="H52" i="1"/>
  <c r="I52" i="1"/>
  <c r="AD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Q51" i="3" s="1"/>
  <c r="AV52" i="1"/>
  <c r="R51" i="3" s="1"/>
  <c r="D53" i="1"/>
  <c r="E53" i="1"/>
  <c r="F53" i="1"/>
  <c r="H53" i="1"/>
  <c r="I53" i="1"/>
  <c r="AD53" i="1"/>
  <c r="AF53" i="1"/>
  <c r="AG53" i="1"/>
  <c r="AH53" i="1"/>
  <c r="AI53" i="1"/>
  <c r="AJ53" i="1"/>
  <c r="AK53" i="1"/>
  <c r="AL53" i="1"/>
  <c r="AM53" i="1"/>
  <c r="I52" i="3" s="1"/>
  <c r="AN53" i="1"/>
  <c r="AO53" i="1"/>
  <c r="AP53" i="1"/>
  <c r="AQ53" i="1"/>
  <c r="M52" i="3" s="1"/>
  <c r="AR53" i="1"/>
  <c r="N52" i="3" s="1"/>
  <c r="AS53" i="1"/>
  <c r="O52" i="3" s="1"/>
  <c r="AT53" i="1"/>
  <c r="P52" i="3" s="1"/>
  <c r="AU53" i="1"/>
  <c r="Q52" i="3" s="1"/>
  <c r="AV53" i="1"/>
  <c r="D54" i="1"/>
  <c r="E54" i="1"/>
  <c r="F54" i="1"/>
  <c r="H54" i="1"/>
  <c r="I54" i="1"/>
  <c r="AD54" i="1"/>
  <c r="AF54" i="1"/>
  <c r="AG54" i="1"/>
  <c r="AH54" i="1"/>
  <c r="AI54" i="1"/>
  <c r="AJ54" i="1"/>
  <c r="AK54" i="1"/>
  <c r="G53" i="3" s="1"/>
  <c r="AL54" i="1"/>
  <c r="AM54" i="1"/>
  <c r="I53" i="3" s="1"/>
  <c r="AN54" i="1"/>
  <c r="J53" i="3" s="1"/>
  <c r="AO54" i="1"/>
  <c r="K53" i="3" s="1"/>
  <c r="AP54" i="1"/>
  <c r="L53" i="3" s="1"/>
  <c r="AQ54" i="1"/>
  <c r="M53" i="3" s="1"/>
  <c r="AR54" i="1"/>
  <c r="N53" i="3" s="1"/>
  <c r="AS54" i="1"/>
  <c r="O53" i="3" s="1"/>
  <c r="AT54" i="1"/>
  <c r="P53" i="3" s="1"/>
  <c r="AU54" i="1"/>
  <c r="AV54" i="1"/>
  <c r="R53" i="3" s="1"/>
  <c r="S53" i="3" s="1"/>
  <c r="AW54" i="1"/>
  <c r="G54" i="1" s="1"/>
  <c r="J54" i="1" s="1"/>
  <c r="D55" i="1"/>
  <c r="E55" i="1"/>
  <c r="F55" i="1"/>
  <c r="H55" i="1"/>
  <c r="I55" i="1"/>
  <c r="AD55" i="1"/>
  <c r="AF55" i="1"/>
  <c r="AG55" i="1"/>
  <c r="AH55" i="1"/>
  <c r="D54" i="3" s="1"/>
  <c r="AI55" i="1"/>
  <c r="E54" i="3" s="1"/>
  <c r="AJ55" i="1"/>
  <c r="AK55" i="1"/>
  <c r="AL55" i="1"/>
  <c r="AM55" i="1"/>
  <c r="I54" i="3" s="1"/>
  <c r="AN55" i="1"/>
  <c r="J54" i="3" s="1"/>
  <c r="AO55" i="1"/>
  <c r="K54" i="3" s="1"/>
  <c r="AP55" i="1"/>
  <c r="L54" i="3" s="1"/>
  <c r="AQ55" i="1"/>
  <c r="M54" i="3" s="1"/>
  <c r="AR55" i="1"/>
  <c r="N54" i="3" s="1"/>
  <c r="AS55" i="1"/>
  <c r="AT55" i="1"/>
  <c r="AU55" i="1"/>
  <c r="AV55" i="1"/>
  <c r="D56" i="1"/>
  <c r="E56" i="1"/>
  <c r="F56" i="1"/>
  <c r="H56" i="1"/>
  <c r="I56" i="1"/>
  <c r="AD56" i="1"/>
  <c r="AF56" i="1"/>
  <c r="B55" i="3" s="1"/>
  <c r="AG56" i="1"/>
  <c r="AH56" i="1"/>
  <c r="D55" i="3" s="1"/>
  <c r="AI56" i="1"/>
  <c r="E55" i="3" s="1"/>
  <c r="AJ56" i="1"/>
  <c r="AK56" i="1"/>
  <c r="AL56" i="1"/>
  <c r="AM56" i="1"/>
  <c r="AN56" i="1"/>
  <c r="AO56" i="1"/>
  <c r="AP56" i="1"/>
  <c r="L55" i="3" s="1"/>
  <c r="AQ56" i="1"/>
  <c r="AR56" i="1"/>
  <c r="AS56" i="1"/>
  <c r="O55" i="3" s="1"/>
  <c r="AT56" i="1"/>
  <c r="P55" i="3" s="1"/>
  <c r="AU56" i="1"/>
  <c r="Q55" i="3" s="1"/>
  <c r="AV56" i="1"/>
  <c r="R55" i="3" s="1"/>
  <c r="D57" i="1"/>
  <c r="E57" i="1"/>
  <c r="F57" i="1"/>
  <c r="H57" i="1"/>
  <c r="I57" i="1"/>
  <c r="AD57" i="1"/>
  <c r="AF57" i="1"/>
  <c r="AG57" i="1"/>
  <c r="AH57" i="1"/>
  <c r="AI57" i="1"/>
  <c r="AJ57" i="1"/>
  <c r="AK57" i="1"/>
  <c r="G56" i="3" s="1"/>
  <c r="AL57" i="1"/>
  <c r="H56" i="3" s="1"/>
  <c r="AM57" i="1"/>
  <c r="I56" i="3" s="1"/>
  <c r="AN57" i="1"/>
  <c r="AO57" i="1"/>
  <c r="AP57" i="1"/>
  <c r="AQ57" i="1"/>
  <c r="AR57" i="1"/>
  <c r="AS57" i="1"/>
  <c r="AT57" i="1"/>
  <c r="P56" i="3" s="1"/>
  <c r="AU57" i="1"/>
  <c r="AV57" i="1"/>
  <c r="D58" i="1"/>
  <c r="E58" i="1"/>
  <c r="F58" i="1"/>
  <c r="H58" i="1"/>
  <c r="I58" i="1"/>
  <c r="AD58" i="1"/>
  <c r="AF58" i="1"/>
  <c r="AG58" i="1"/>
  <c r="C57" i="3" s="1"/>
  <c r="AH58" i="1"/>
  <c r="D57" i="3" s="1"/>
  <c r="AI58" i="1"/>
  <c r="E57" i="3" s="1"/>
  <c r="AJ58" i="1"/>
  <c r="AK58" i="1"/>
  <c r="G57" i="3" s="1"/>
  <c r="AL58" i="1"/>
  <c r="H57" i="3" s="1"/>
  <c r="AM58" i="1"/>
  <c r="I57" i="3" s="1"/>
  <c r="AN58" i="1"/>
  <c r="J57" i="3" s="1"/>
  <c r="AO58" i="1"/>
  <c r="K57" i="3" s="1"/>
  <c r="AP58" i="1"/>
  <c r="AQ58" i="1"/>
  <c r="AR58" i="1"/>
  <c r="AS58" i="1"/>
  <c r="O57" i="3" s="1"/>
  <c r="AT58" i="1"/>
  <c r="P57" i="3" s="1"/>
  <c r="AU58" i="1"/>
  <c r="Q57" i="3" s="1"/>
  <c r="AV58" i="1"/>
  <c r="R57" i="3" s="1"/>
  <c r="AW58" i="1"/>
  <c r="G58" i="1" s="1"/>
  <c r="D59" i="1"/>
  <c r="E59" i="1"/>
  <c r="F59" i="1"/>
  <c r="H59" i="1"/>
  <c r="I59" i="1"/>
  <c r="AD59" i="1"/>
  <c r="AF59" i="1"/>
  <c r="AG59" i="1"/>
  <c r="C58" i="3" s="1"/>
  <c r="AH59" i="1"/>
  <c r="AI59" i="1"/>
  <c r="AJ59" i="1"/>
  <c r="AK59" i="1"/>
  <c r="G58" i="3" s="1"/>
  <c r="AL59" i="1"/>
  <c r="H58" i="3" s="1"/>
  <c r="AM59" i="1"/>
  <c r="I58" i="3" s="1"/>
  <c r="AN59" i="1"/>
  <c r="J58" i="3" s="1"/>
  <c r="AO59" i="1"/>
  <c r="AP59" i="1"/>
  <c r="AQ59" i="1"/>
  <c r="AR59" i="1"/>
  <c r="AS59" i="1"/>
  <c r="AT59" i="1"/>
  <c r="AU59" i="1"/>
  <c r="AV59" i="1"/>
  <c r="D60" i="1"/>
  <c r="E60" i="1"/>
  <c r="F60" i="1"/>
  <c r="H60" i="1"/>
  <c r="I60" i="1"/>
  <c r="AD60" i="1"/>
  <c r="AF60" i="1"/>
  <c r="AG60" i="1"/>
  <c r="C59" i="3" s="1"/>
  <c r="AH60" i="1"/>
  <c r="D59" i="3" s="1"/>
  <c r="AI60" i="1"/>
  <c r="E59" i="3" s="1"/>
  <c r="AJ60" i="1"/>
  <c r="AK60" i="1"/>
  <c r="G59" i="3" s="1"/>
  <c r="AL60" i="1"/>
  <c r="H59" i="3" s="1"/>
  <c r="AM60" i="1"/>
  <c r="I59" i="3" s="1"/>
  <c r="AN60" i="1"/>
  <c r="AO60" i="1"/>
  <c r="AP60" i="1"/>
  <c r="AQ60" i="1"/>
  <c r="M59" i="3" s="1"/>
  <c r="AR60" i="1"/>
  <c r="AS60" i="1"/>
  <c r="AT60" i="1"/>
  <c r="AU60" i="1"/>
  <c r="AV60" i="1"/>
  <c r="D61" i="1"/>
  <c r="E61" i="1"/>
  <c r="F61" i="1"/>
  <c r="H61" i="1"/>
  <c r="I61" i="1"/>
  <c r="AD61" i="1"/>
  <c r="AF61" i="1"/>
  <c r="AG61" i="1"/>
  <c r="C60" i="3" s="1"/>
  <c r="AH61" i="1"/>
  <c r="AI61" i="1"/>
  <c r="E60" i="3" s="1"/>
  <c r="AJ61" i="1"/>
  <c r="F60" i="3" s="1"/>
  <c r="AK61" i="1"/>
  <c r="G60" i="3" s="1"/>
  <c r="AL61" i="1"/>
  <c r="AM61" i="1"/>
  <c r="I60" i="3" s="1"/>
  <c r="AN61" i="1"/>
  <c r="AO61" i="1"/>
  <c r="AP61" i="1"/>
  <c r="AQ61" i="1"/>
  <c r="M60" i="3" s="1"/>
  <c r="AR61" i="1"/>
  <c r="N60" i="3" s="1"/>
  <c r="AS61" i="1"/>
  <c r="O60" i="3" s="1"/>
  <c r="AT61" i="1"/>
  <c r="AU61" i="1"/>
  <c r="Q60" i="3" s="1"/>
  <c r="AV61" i="1"/>
  <c r="D62" i="1"/>
  <c r="E62" i="1"/>
  <c r="F62" i="1"/>
  <c r="H62" i="1"/>
  <c r="I62" i="1"/>
  <c r="AD62" i="1"/>
  <c r="AF62" i="1"/>
  <c r="B61" i="3" s="1"/>
  <c r="AG62" i="1"/>
  <c r="C61" i="3" s="1"/>
  <c r="AH62" i="1"/>
  <c r="D61" i="3" s="1"/>
  <c r="AI62" i="1"/>
  <c r="E61" i="3" s="1"/>
  <c r="AJ62" i="1"/>
  <c r="F61" i="3" s="1"/>
  <c r="AK62" i="1"/>
  <c r="AL62" i="1"/>
  <c r="AM62" i="1"/>
  <c r="AN62" i="1"/>
  <c r="AO62" i="1"/>
  <c r="AP62" i="1"/>
  <c r="AQ62" i="1"/>
  <c r="AR62" i="1"/>
  <c r="N61" i="3" s="1"/>
  <c r="AS62" i="1"/>
  <c r="O61" i="3" s="1"/>
  <c r="AT62" i="1"/>
  <c r="AU62" i="1"/>
  <c r="AV62" i="1"/>
  <c r="R61" i="3" s="1"/>
  <c r="D63" i="1"/>
  <c r="E63" i="1"/>
  <c r="F63" i="1"/>
  <c r="H63" i="1"/>
  <c r="I63" i="1"/>
  <c r="AD63" i="1"/>
  <c r="AF63" i="1"/>
  <c r="AG63" i="1"/>
  <c r="AH63" i="1"/>
  <c r="AI63" i="1"/>
  <c r="AJ63" i="1"/>
  <c r="AK63" i="1"/>
  <c r="AL63" i="1"/>
  <c r="AM63" i="1"/>
  <c r="AN63" i="1"/>
  <c r="J62" i="3" s="1"/>
  <c r="AO63" i="1"/>
  <c r="K62" i="3" s="1"/>
  <c r="AP63" i="1"/>
  <c r="AQ63" i="1"/>
  <c r="AR63" i="1"/>
  <c r="N62" i="3" s="1"/>
  <c r="AS63" i="1"/>
  <c r="AT63" i="1"/>
  <c r="AU63" i="1"/>
  <c r="Q62" i="3" s="1"/>
  <c r="AV63" i="1"/>
  <c r="R62" i="3" s="1"/>
  <c r="D64" i="1"/>
  <c r="E64" i="1"/>
  <c r="F64" i="1"/>
  <c r="H64" i="1"/>
  <c r="I64" i="1"/>
  <c r="AD64" i="1"/>
  <c r="AF64" i="1"/>
  <c r="B63" i="3" s="1"/>
  <c r="AG64" i="1"/>
  <c r="AH64" i="1"/>
  <c r="D63" i="3" s="1"/>
  <c r="AI64" i="1"/>
  <c r="E63" i="3" s="1"/>
  <c r="AJ64" i="1"/>
  <c r="AK64" i="1"/>
  <c r="AL64" i="1"/>
  <c r="AM64" i="1"/>
  <c r="I63" i="3" s="1"/>
  <c r="AN64" i="1"/>
  <c r="J63" i="3" s="1"/>
  <c r="AO64" i="1"/>
  <c r="K63" i="3" s="1"/>
  <c r="AP64" i="1"/>
  <c r="AQ64" i="1"/>
  <c r="AR64" i="1"/>
  <c r="AS64" i="1"/>
  <c r="O63" i="3" s="1"/>
  <c r="AT64" i="1"/>
  <c r="AU64" i="1"/>
  <c r="Q63" i="3" s="1"/>
  <c r="AV64" i="1"/>
  <c r="R63" i="3" s="1"/>
  <c r="D65" i="1"/>
  <c r="E65" i="1"/>
  <c r="F65" i="1"/>
  <c r="H65" i="1"/>
  <c r="I65" i="1"/>
  <c r="AD65" i="1"/>
  <c r="AF65" i="1"/>
  <c r="AG65" i="1"/>
  <c r="C64" i="3" s="1"/>
  <c r="AH65" i="1"/>
  <c r="AI65" i="1"/>
  <c r="E64" i="3" s="1"/>
  <c r="AJ65" i="1"/>
  <c r="F64" i="3" s="1"/>
  <c r="AK65" i="1"/>
  <c r="G64" i="3" s="1"/>
  <c r="AL65" i="1"/>
  <c r="H64" i="3" s="1"/>
  <c r="AM65" i="1"/>
  <c r="I64" i="3" s="1"/>
  <c r="AN65" i="1"/>
  <c r="J64" i="3" s="1"/>
  <c r="AO65" i="1"/>
  <c r="K64" i="3" s="1"/>
  <c r="AP65" i="1"/>
  <c r="L64" i="3" s="1"/>
  <c r="AQ65" i="1"/>
  <c r="M64" i="3" s="1"/>
  <c r="AR65" i="1"/>
  <c r="AS65" i="1"/>
  <c r="AT65" i="1"/>
  <c r="P64" i="3" s="1"/>
  <c r="AU65" i="1"/>
  <c r="Q64" i="3" s="1"/>
  <c r="AV65" i="1"/>
  <c r="D66" i="1"/>
  <c r="E66" i="1"/>
  <c r="F66" i="1"/>
  <c r="H66" i="1"/>
  <c r="I66" i="1"/>
  <c r="AD66" i="1"/>
  <c r="AF66" i="1"/>
  <c r="AG66" i="1"/>
  <c r="C65" i="3" s="1"/>
  <c r="AH66" i="1"/>
  <c r="D65" i="3" s="1"/>
  <c r="AI66" i="1"/>
  <c r="E65" i="3" s="1"/>
  <c r="AJ66" i="1"/>
  <c r="F65" i="3" s="1"/>
  <c r="AK66" i="1"/>
  <c r="G65" i="3" s="1"/>
  <c r="AL66" i="1"/>
  <c r="H65" i="3" s="1"/>
  <c r="AM66" i="1"/>
  <c r="AN66" i="1"/>
  <c r="AO66" i="1"/>
  <c r="AP66" i="1"/>
  <c r="AQ66" i="1"/>
  <c r="M65" i="3" s="1"/>
  <c r="AR66" i="1"/>
  <c r="AS66" i="1"/>
  <c r="AT66" i="1"/>
  <c r="P65" i="3" s="1"/>
  <c r="AU66" i="1"/>
  <c r="Q65" i="3" s="1"/>
  <c r="AV66" i="1"/>
  <c r="R65" i="3" s="1"/>
  <c r="D67" i="1"/>
  <c r="E67" i="1"/>
  <c r="F67" i="1"/>
  <c r="H67" i="1"/>
  <c r="I67" i="1"/>
  <c r="AD67" i="1"/>
  <c r="AF67" i="1"/>
  <c r="AG67" i="1"/>
  <c r="AH67" i="1"/>
  <c r="AI67" i="1"/>
  <c r="AJ67" i="1"/>
  <c r="F66" i="3" s="1"/>
  <c r="AK67" i="1"/>
  <c r="G66" i="3" s="1"/>
  <c r="AL67" i="1"/>
  <c r="AM67" i="1"/>
  <c r="AN67" i="1"/>
  <c r="AO67" i="1"/>
  <c r="AP67" i="1"/>
  <c r="L66" i="3" s="1"/>
  <c r="AQ67" i="1"/>
  <c r="M66" i="3" s="1"/>
  <c r="AR67" i="1"/>
  <c r="AS67" i="1"/>
  <c r="AT67" i="1"/>
  <c r="AU67" i="1"/>
  <c r="AV67" i="1"/>
  <c r="D68" i="1"/>
  <c r="E68" i="1"/>
  <c r="F68" i="1"/>
  <c r="H68" i="1"/>
  <c r="I68" i="1"/>
  <c r="AD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M67" i="3" s="1"/>
  <c r="AR68" i="1"/>
  <c r="N67" i="3" s="1"/>
  <c r="AS68" i="1"/>
  <c r="O67" i="3" s="1"/>
  <c r="AT68" i="1"/>
  <c r="P67" i="3" s="1"/>
  <c r="AU68" i="1"/>
  <c r="Q67" i="3" s="1"/>
  <c r="AV68" i="1"/>
  <c r="R67" i="3" s="1"/>
  <c r="AW68" i="1"/>
  <c r="G68" i="1" s="1"/>
  <c r="D69" i="1"/>
  <c r="E69" i="1"/>
  <c r="F69" i="1"/>
  <c r="H69" i="1"/>
  <c r="I69" i="1"/>
  <c r="AD69" i="1"/>
  <c r="AF69" i="1"/>
  <c r="B68" i="3" s="1"/>
  <c r="AG69" i="1"/>
  <c r="C68" i="3" s="1"/>
  <c r="AH69" i="1"/>
  <c r="AI69" i="1"/>
  <c r="AJ69" i="1"/>
  <c r="AK69" i="1"/>
  <c r="AL69" i="1"/>
  <c r="H68" i="3" s="1"/>
  <c r="AM69" i="1"/>
  <c r="I68" i="3" s="1"/>
  <c r="AN69" i="1"/>
  <c r="J68" i="3" s="1"/>
  <c r="AO69" i="1"/>
  <c r="K68" i="3" s="1"/>
  <c r="AP69" i="1"/>
  <c r="L68" i="3" s="1"/>
  <c r="AQ69" i="1"/>
  <c r="M68" i="3" s="1"/>
  <c r="AR69" i="1"/>
  <c r="N68" i="3" s="1"/>
  <c r="AS69" i="1"/>
  <c r="AT69" i="1"/>
  <c r="AU69" i="1"/>
  <c r="AV69" i="1"/>
  <c r="AW69" i="1"/>
  <c r="G69" i="1" s="1"/>
  <c r="D70" i="1"/>
  <c r="E70" i="1"/>
  <c r="F70" i="1"/>
  <c r="H70" i="1"/>
  <c r="I70" i="1"/>
  <c r="AD70" i="1"/>
  <c r="AF70" i="1"/>
  <c r="AG70" i="1"/>
  <c r="AH70" i="1"/>
  <c r="D69" i="3" s="1"/>
  <c r="AI70" i="1"/>
  <c r="AJ70" i="1"/>
  <c r="AK70" i="1"/>
  <c r="AL70" i="1"/>
  <c r="AM70" i="1"/>
  <c r="I69" i="3" s="1"/>
  <c r="AN70" i="1"/>
  <c r="AO70" i="1"/>
  <c r="AP70" i="1"/>
  <c r="AQ70" i="1"/>
  <c r="AR70" i="1"/>
  <c r="AS70" i="1"/>
  <c r="AT70" i="1"/>
  <c r="AU70" i="1"/>
  <c r="Q69" i="3" s="1"/>
  <c r="AV70" i="1"/>
  <c r="D71" i="1"/>
  <c r="E71" i="1"/>
  <c r="F71" i="1"/>
  <c r="H71" i="1"/>
  <c r="I71" i="1"/>
  <c r="AD71" i="1"/>
  <c r="AF71" i="1"/>
  <c r="AG71" i="1"/>
  <c r="C70" i="3" s="1"/>
  <c r="AH71" i="1"/>
  <c r="AI71" i="1"/>
  <c r="E70" i="3" s="1"/>
  <c r="AJ71" i="1"/>
  <c r="F70" i="3" s="1"/>
  <c r="AK71" i="1"/>
  <c r="G70" i="3" s="1"/>
  <c r="AL71" i="1"/>
  <c r="H70" i="3" s="1"/>
  <c r="AM71" i="1"/>
  <c r="AN71" i="1"/>
  <c r="AO71" i="1"/>
  <c r="AP71" i="1"/>
  <c r="AQ71" i="1"/>
  <c r="M70" i="3" s="1"/>
  <c r="AR71" i="1"/>
  <c r="AS71" i="1"/>
  <c r="O70" i="3" s="1"/>
  <c r="AT71" i="1"/>
  <c r="P70" i="3" s="1"/>
  <c r="AU71" i="1"/>
  <c r="Q70" i="3" s="1"/>
  <c r="AV71" i="1"/>
  <c r="R70" i="3" s="1"/>
  <c r="D72" i="1"/>
  <c r="E72" i="1"/>
  <c r="F72" i="1"/>
  <c r="H72" i="1"/>
  <c r="I72" i="1"/>
  <c r="AD72" i="1"/>
  <c r="AF72" i="1"/>
  <c r="AG72" i="1"/>
  <c r="AH72" i="1"/>
  <c r="AI72" i="1"/>
  <c r="E71" i="3" s="1"/>
  <c r="AJ72" i="1"/>
  <c r="AK72" i="1"/>
  <c r="G71" i="3" s="1"/>
  <c r="AL72" i="1"/>
  <c r="H71" i="3" s="1"/>
  <c r="AM72" i="1"/>
  <c r="I71" i="3" s="1"/>
  <c r="AN72" i="1"/>
  <c r="AO72" i="1"/>
  <c r="K71" i="3" s="1"/>
  <c r="AP72" i="1"/>
  <c r="L71" i="3" s="1"/>
  <c r="AQ72" i="1"/>
  <c r="M71" i="3" s="1"/>
  <c r="AR72" i="1"/>
  <c r="AS72" i="1"/>
  <c r="O71" i="3" s="1"/>
  <c r="AT72" i="1"/>
  <c r="P71" i="3" s="1"/>
  <c r="AU72" i="1"/>
  <c r="AV72" i="1"/>
  <c r="R71" i="3" s="1"/>
  <c r="D73" i="1"/>
  <c r="E73" i="1"/>
  <c r="F73" i="1"/>
  <c r="H73" i="1"/>
  <c r="I73" i="1"/>
  <c r="AD73" i="1"/>
  <c r="AF73" i="1"/>
  <c r="AG73" i="1"/>
  <c r="AH73" i="1"/>
  <c r="AI73" i="1"/>
  <c r="E72" i="3" s="1"/>
  <c r="AJ73" i="1"/>
  <c r="F72" i="3" s="1"/>
  <c r="AK73" i="1"/>
  <c r="G72" i="3" s="1"/>
  <c r="AL73" i="1"/>
  <c r="H72" i="3" s="1"/>
  <c r="AM73" i="1"/>
  <c r="I72" i="3" s="1"/>
  <c r="AN73" i="1"/>
  <c r="AO73" i="1"/>
  <c r="AP73" i="1"/>
  <c r="AQ73" i="1"/>
  <c r="M72" i="3" s="1"/>
  <c r="AR73" i="1"/>
  <c r="AS73" i="1"/>
  <c r="O72" i="3" s="1"/>
  <c r="AT73" i="1"/>
  <c r="AU73" i="1"/>
  <c r="AV73" i="1"/>
  <c r="D74" i="1"/>
  <c r="E74" i="1"/>
  <c r="F74" i="1"/>
  <c r="H74" i="1"/>
  <c r="I74" i="1"/>
  <c r="AD74" i="1"/>
  <c r="AF74" i="1"/>
  <c r="AG74" i="1"/>
  <c r="AH74" i="1"/>
  <c r="D73" i="3" s="1"/>
  <c r="AI74" i="1"/>
  <c r="E73" i="3" s="1"/>
  <c r="AJ74" i="1"/>
  <c r="F73" i="3" s="1"/>
  <c r="AK74" i="1"/>
  <c r="G73" i="3" s="1"/>
  <c r="AL74" i="1"/>
  <c r="H73" i="3" s="1"/>
  <c r="AM74" i="1"/>
  <c r="AN74" i="1"/>
  <c r="J73" i="3" s="1"/>
  <c r="AO74" i="1"/>
  <c r="AP74" i="1"/>
  <c r="AQ74" i="1"/>
  <c r="AR74" i="1"/>
  <c r="AS74" i="1"/>
  <c r="AT74" i="1"/>
  <c r="AU74" i="1"/>
  <c r="Q73" i="3" s="1"/>
  <c r="AV74" i="1"/>
  <c r="D75" i="1"/>
  <c r="E75" i="1"/>
  <c r="F75" i="1"/>
  <c r="H75" i="1"/>
  <c r="I75" i="1"/>
  <c r="AD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Q74" i="3" s="1"/>
  <c r="AV75" i="1"/>
  <c r="R74" i="3" s="1"/>
  <c r="AW75" i="1"/>
  <c r="G75" i="1" s="1"/>
  <c r="J75" i="1" s="1"/>
  <c r="D76" i="1"/>
  <c r="E76" i="1"/>
  <c r="F76" i="1"/>
  <c r="H76" i="1"/>
  <c r="I76" i="1"/>
  <c r="AD76" i="1"/>
  <c r="AF76" i="1"/>
  <c r="B75" i="3" s="1"/>
  <c r="AG76" i="1"/>
  <c r="C75" i="3" s="1"/>
  <c r="AH76" i="1"/>
  <c r="AI76" i="1"/>
  <c r="AJ76" i="1"/>
  <c r="F75" i="3" s="1"/>
  <c r="AK76" i="1"/>
  <c r="G75" i="3" s="1"/>
  <c r="AL76" i="1"/>
  <c r="AM76" i="1"/>
  <c r="I75" i="3" s="1"/>
  <c r="AN76" i="1"/>
  <c r="AO76" i="1"/>
  <c r="AP76" i="1"/>
  <c r="AQ76" i="1"/>
  <c r="AR76" i="1"/>
  <c r="AS76" i="1"/>
  <c r="AT76" i="1"/>
  <c r="P75" i="3" s="1"/>
  <c r="AU76" i="1"/>
  <c r="Q75" i="3" s="1"/>
  <c r="AV76" i="1"/>
  <c r="R75" i="3" s="1"/>
  <c r="AW76" i="1"/>
  <c r="G76" i="1" s="1"/>
  <c r="D77" i="1"/>
  <c r="E77" i="1"/>
  <c r="F77" i="1"/>
  <c r="H77" i="1"/>
  <c r="I77" i="1"/>
  <c r="AD77" i="1"/>
  <c r="AF77" i="1"/>
  <c r="B76" i="3" s="1"/>
  <c r="AG77" i="1"/>
  <c r="C76" i="3" s="1"/>
  <c r="AH77" i="1"/>
  <c r="AI77" i="1"/>
  <c r="AJ77" i="1"/>
  <c r="AK77" i="1"/>
  <c r="AL77" i="1"/>
  <c r="AM77" i="1"/>
  <c r="AN77" i="1"/>
  <c r="AO77" i="1"/>
  <c r="K76" i="3" s="1"/>
  <c r="AP77" i="1"/>
  <c r="L76" i="3" s="1"/>
  <c r="AQ77" i="1"/>
  <c r="AR77" i="1"/>
  <c r="N76" i="3" s="1"/>
  <c r="AS77" i="1"/>
  <c r="AT77" i="1"/>
  <c r="P76" i="3" s="1"/>
  <c r="AU77" i="1"/>
  <c r="AV77" i="1"/>
  <c r="R76" i="3" s="1"/>
  <c r="D78" i="1"/>
  <c r="E78" i="1"/>
  <c r="F78" i="1"/>
  <c r="H78" i="1"/>
  <c r="I78" i="1"/>
  <c r="AD78" i="1"/>
  <c r="AF78" i="1"/>
  <c r="AG78" i="1"/>
  <c r="C77" i="3" s="1"/>
  <c r="AH78" i="1"/>
  <c r="D77" i="3" s="1"/>
  <c r="AI78" i="1"/>
  <c r="AJ78" i="1"/>
  <c r="AK78" i="1"/>
  <c r="AL78" i="1"/>
  <c r="AM78" i="1"/>
  <c r="AN78" i="1"/>
  <c r="AO78" i="1"/>
  <c r="K77" i="3" s="1"/>
  <c r="AP78" i="1"/>
  <c r="L77" i="3" s="1"/>
  <c r="AQ78" i="1"/>
  <c r="M77" i="3" s="1"/>
  <c r="AR78" i="1"/>
  <c r="N77" i="3" s="1"/>
  <c r="AS78" i="1"/>
  <c r="O77" i="3" s="1"/>
  <c r="AT78" i="1"/>
  <c r="AU78" i="1"/>
  <c r="Q77" i="3" s="1"/>
  <c r="AV78" i="1"/>
  <c r="R77" i="3" s="1"/>
  <c r="D79" i="1"/>
  <c r="E79" i="1"/>
  <c r="F79" i="1"/>
  <c r="H79" i="1"/>
  <c r="I79" i="1"/>
  <c r="AD79" i="1"/>
  <c r="AF79" i="1"/>
  <c r="AG79" i="1"/>
  <c r="AH79" i="1"/>
  <c r="AI79" i="1"/>
  <c r="AJ79" i="1"/>
  <c r="F78" i="3" s="1"/>
  <c r="AK79" i="1"/>
  <c r="AL79" i="1"/>
  <c r="AM79" i="1"/>
  <c r="I78" i="3" s="1"/>
  <c r="AN79" i="1"/>
  <c r="J78" i="3" s="1"/>
  <c r="AO79" i="1"/>
  <c r="K78" i="3" s="1"/>
  <c r="AP79" i="1"/>
  <c r="AQ79" i="1"/>
  <c r="AR79" i="1"/>
  <c r="AS79" i="1"/>
  <c r="AT79" i="1"/>
  <c r="AU79" i="1"/>
  <c r="AV79" i="1"/>
  <c r="D80" i="1"/>
  <c r="E80" i="1"/>
  <c r="F80" i="1"/>
  <c r="H80" i="1"/>
  <c r="I80" i="1"/>
  <c r="AD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M79" i="3" s="1"/>
  <c r="AR80" i="1"/>
  <c r="N79" i="3" s="1"/>
  <c r="AS80" i="1"/>
  <c r="O79" i="3" s="1"/>
  <c r="AT80" i="1"/>
  <c r="P79" i="3" s="1"/>
  <c r="AU80" i="1"/>
  <c r="Q79" i="3" s="1"/>
  <c r="AV80" i="1"/>
  <c r="D81" i="1"/>
  <c r="E81" i="1"/>
  <c r="F81" i="1"/>
  <c r="H81" i="1"/>
  <c r="I81" i="1"/>
  <c r="AD81" i="1"/>
  <c r="AF81" i="1"/>
  <c r="B80" i="3" s="1"/>
  <c r="AG81" i="1"/>
  <c r="C80" i="3" s="1"/>
  <c r="AH81" i="1"/>
  <c r="D80" i="3" s="1"/>
  <c r="AI81" i="1"/>
  <c r="E80" i="3" s="1"/>
  <c r="AJ81" i="1"/>
  <c r="F80" i="3" s="1"/>
  <c r="AK81" i="1"/>
  <c r="G80" i="3" s="1"/>
  <c r="AL81" i="1"/>
  <c r="AM81" i="1"/>
  <c r="I80" i="3" s="1"/>
  <c r="AN81" i="1"/>
  <c r="J80" i="3" s="1"/>
  <c r="AO81" i="1"/>
  <c r="AP81" i="1"/>
  <c r="L80" i="3" s="1"/>
  <c r="AQ81" i="1"/>
  <c r="AR81" i="1"/>
  <c r="N80" i="3" s="1"/>
  <c r="AS81" i="1"/>
  <c r="AT81" i="1"/>
  <c r="AU81" i="1"/>
  <c r="AV81" i="1"/>
  <c r="D82" i="1"/>
  <c r="E82" i="1"/>
  <c r="F82" i="1"/>
  <c r="H82" i="1"/>
  <c r="I82" i="1"/>
  <c r="AD82" i="1"/>
  <c r="AF82" i="1"/>
  <c r="AG82" i="1"/>
  <c r="AH82" i="1"/>
  <c r="AI82" i="1"/>
  <c r="AJ82" i="1"/>
  <c r="AK82" i="1"/>
  <c r="G81" i="3" s="1"/>
  <c r="AL82" i="1"/>
  <c r="AM82" i="1"/>
  <c r="I81" i="3" s="1"/>
  <c r="AN82" i="1"/>
  <c r="AO82" i="1"/>
  <c r="K81" i="3" s="1"/>
  <c r="AP82" i="1"/>
  <c r="L81" i="3" s="1"/>
  <c r="AQ82" i="1"/>
  <c r="AR82" i="1"/>
  <c r="AS82" i="1"/>
  <c r="AT82" i="1"/>
  <c r="AU82" i="1"/>
  <c r="AV82" i="1"/>
  <c r="D83" i="1"/>
  <c r="E83" i="1"/>
  <c r="F83" i="1"/>
  <c r="H83" i="1"/>
  <c r="I83" i="1"/>
  <c r="AD83" i="1"/>
  <c r="AF83" i="1"/>
  <c r="AG83" i="1"/>
  <c r="C82" i="3" s="1"/>
  <c r="AH83" i="1"/>
  <c r="D82" i="3" s="1"/>
  <c r="AI83" i="1"/>
  <c r="AJ83" i="1"/>
  <c r="AK83" i="1"/>
  <c r="G82" i="3" s="1"/>
  <c r="AL83" i="1"/>
  <c r="H82" i="3" s="1"/>
  <c r="AM83" i="1"/>
  <c r="I82" i="3" s="1"/>
  <c r="AN83" i="1"/>
  <c r="J82" i="3" s="1"/>
  <c r="AO83" i="1"/>
  <c r="AP83" i="1"/>
  <c r="L82" i="3" s="1"/>
  <c r="AQ83" i="1"/>
  <c r="M82" i="3" s="1"/>
  <c r="AR83" i="1"/>
  <c r="AS83" i="1"/>
  <c r="AT83" i="1"/>
  <c r="AU83" i="1"/>
  <c r="Q82" i="3" s="1"/>
  <c r="AV83" i="1"/>
  <c r="D84" i="1"/>
  <c r="E84" i="1"/>
  <c r="F84" i="1"/>
  <c r="H84" i="1"/>
  <c r="I84" i="1"/>
  <c r="AD84" i="1"/>
  <c r="AF84" i="1"/>
  <c r="B83" i="3" s="1"/>
  <c r="AG84" i="1"/>
  <c r="C83" i="3" s="1"/>
  <c r="AH84" i="1"/>
  <c r="AI84" i="1"/>
  <c r="AJ84" i="1"/>
  <c r="F83" i="3" s="1"/>
  <c r="AK84" i="1"/>
  <c r="G83" i="3" s="1"/>
  <c r="AL84" i="1"/>
  <c r="H83" i="3" s="1"/>
  <c r="AM84" i="1"/>
  <c r="I83" i="3" s="1"/>
  <c r="AN84" i="1"/>
  <c r="J83" i="3" s="1"/>
  <c r="AO84" i="1"/>
  <c r="K83" i="3" s="1"/>
  <c r="AP84" i="1"/>
  <c r="L83" i="3" s="1"/>
  <c r="AQ84" i="1"/>
  <c r="AR84" i="1"/>
  <c r="AS84" i="1"/>
  <c r="AT84" i="1"/>
  <c r="AU84" i="1"/>
  <c r="Q83" i="3" s="1"/>
  <c r="AV84" i="1"/>
  <c r="AW84" i="1"/>
  <c r="G84" i="1" s="1"/>
  <c r="D85" i="1"/>
  <c r="E85" i="1"/>
  <c r="F85" i="1"/>
  <c r="H85" i="1"/>
  <c r="I85" i="1"/>
  <c r="AD85" i="1"/>
  <c r="AF85" i="1"/>
  <c r="AG85" i="1"/>
  <c r="C84" i="3" s="1"/>
  <c r="AH85" i="1"/>
  <c r="D84" i="3" s="1"/>
  <c r="AI85" i="1"/>
  <c r="E84" i="3" s="1"/>
  <c r="AJ85" i="1"/>
  <c r="F84" i="3" s="1"/>
  <c r="AK85" i="1"/>
  <c r="AL85" i="1"/>
  <c r="AM85" i="1"/>
  <c r="AN85" i="1"/>
  <c r="AO85" i="1"/>
  <c r="AP85" i="1"/>
  <c r="L84" i="3" s="1"/>
  <c r="AQ85" i="1"/>
  <c r="AR85" i="1"/>
  <c r="N84" i="3" s="1"/>
  <c r="AS85" i="1"/>
  <c r="AT85" i="1"/>
  <c r="AU85" i="1"/>
  <c r="Q84" i="3" s="1"/>
  <c r="AV85" i="1"/>
  <c r="R84" i="3" s="1"/>
  <c r="D86" i="1"/>
  <c r="E86" i="1"/>
  <c r="F86" i="1"/>
  <c r="H86" i="1"/>
  <c r="I86" i="1"/>
  <c r="AD86" i="1"/>
  <c r="AF86" i="1"/>
  <c r="B85" i="3" s="1"/>
  <c r="AG86" i="1"/>
  <c r="C85" i="3" s="1"/>
  <c r="AH86" i="1"/>
  <c r="AI86" i="1"/>
  <c r="AJ86" i="1"/>
  <c r="AK86" i="1"/>
  <c r="AL86" i="1"/>
  <c r="AM86" i="1"/>
  <c r="AN86" i="1"/>
  <c r="AO86" i="1"/>
  <c r="K85" i="3" s="1"/>
  <c r="AP86" i="1"/>
  <c r="L85" i="3" s="1"/>
  <c r="AQ86" i="1"/>
  <c r="M85" i="3" s="1"/>
  <c r="AR86" i="1"/>
  <c r="AS86" i="1"/>
  <c r="O85" i="3" s="1"/>
  <c r="AT86" i="1"/>
  <c r="AW86" i="1" s="1"/>
  <c r="G86" i="1" s="1"/>
  <c r="AU86" i="1"/>
  <c r="AV86" i="1"/>
  <c r="D87" i="1"/>
  <c r="E87" i="1"/>
  <c r="F87" i="1"/>
  <c r="H87" i="1"/>
  <c r="I87" i="1"/>
  <c r="AD87" i="1"/>
  <c r="AF87" i="1"/>
  <c r="AG87" i="1"/>
  <c r="AH87" i="1"/>
  <c r="AI87" i="1"/>
  <c r="AJ87" i="1"/>
  <c r="AK87" i="1"/>
  <c r="AL87" i="1"/>
  <c r="AM87" i="1"/>
  <c r="I86" i="3" s="1"/>
  <c r="AN87" i="1"/>
  <c r="AO87" i="1"/>
  <c r="K86" i="3" s="1"/>
  <c r="AP87" i="1"/>
  <c r="L86" i="3" s="1"/>
  <c r="AQ87" i="1"/>
  <c r="M86" i="3" s="1"/>
  <c r="AR87" i="1"/>
  <c r="N86" i="3" s="1"/>
  <c r="AS87" i="1"/>
  <c r="O86" i="3" s="1"/>
  <c r="AT87" i="1"/>
  <c r="P86" i="3" s="1"/>
  <c r="AU87" i="1"/>
  <c r="AV87" i="1"/>
  <c r="R86" i="3" s="1"/>
  <c r="AW87" i="1"/>
  <c r="G87" i="1" s="1"/>
  <c r="D88" i="1"/>
  <c r="E88" i="1"/>
  <c r="F88" i="1"/>
  <c r="H88" i="1"/>
  <c r="I88" i="1"/>
  <c r="AD88" i="1"/>
  <c r="AF88" i="1"/>
  <c r="AG88" i="1"/>
  <c r="C87" i="3" s="1"/>
  <c r="AH88" i="1"/>
  <c r="D87" i="3" s="1"/>
  <c r="AI88" i="1"/>
  <c r="E87" i="3" s="1"/>
  <c r="AJ88" i="1"/>
  <c r="F87" i="3" s="1"/>
  <c r="AK88" i="1"/>
  <c r="G87" i="3" s="1"/>
  <c r="AL88" i="1"/>
  <c r="H87" i="3" s="1"/>
  <c r="AM88" i="1"/>
  <c r="AN88" i="1"/>
  <c r="J87" i="3" s="1"/>
  <c r="AO88" i="1"/>
  <c r="K87" i="3" s="1"/>
  <c r="AP88" i="1"/>
  <c r="AQ88" i="1"/>
  <c r="AR88" i="1"/>
  <c r="N87" i="3" s="1"/>
  <c r="AS88" i="1"/>
  <c r="O87" i="3" s="1"/>
  <c r="AT88" i="1"/>
  <c r="AU88" i="1"/>
  <c r="Q87" i="3" s="1"/>
  <c r="AV88" i="1"/>
  <c r="D89" i="1"/>
  <c r="E89" i="1"/>
  <c r="F89" i="1"/>
  <c r="H89" i="1"/>
  <c r="I89" i="1"/>
  <c r="AD89" i="1"/>
  <c r="AF89" i="1"/>
  <c r="B88" i="3" s="1"/>
  <c r="AG89" i="1"/>
  <c r="C88" i="3" s="1"/>
  <c r="AH89" i="1"/>
  <c r="D88" i="3" s="1"/>
  <c r="AI89" i="1"/>
  <c r="E88" i="3" s="1"/>
  <c r="AJ89" i="1"/>
  <c r="F88" i="3" s="1"/>
  <c r="AK89" i="1"/>
  <c r="G88" i="3" s="1"/>
  <c r="AL89" i="1"/>
  <c r="H88" i="3" s="1"/>
  <c r="AM89" i="1"/>
  <c r="AM124" i="1" s="1"/>
  <c r="AN89" i="1"/>
  <c r="AO89" i="1"/>
  <c r="AP89" i="1"/>
  <c r="AQ89" i="1"/>
  <c r="AR89" i="1"/>
  <c r="AS89" i="1"/>
  <c r="AT89" i="1"/>
  <c r="AU89" i="1"/>
  <c r="Q88" i="3" s="1"/>
  <c r="AV89" i="1"/>
  <c r="R88" i="3" s="1"/>
  <c r="D90" i="1"/>
  <c r="E90" i="1"/>
  <c r="F90" i="1"/>
  <c r="H90" i="1"/>
  <c r="I90" i="1"/>
  <c r="AD90" i="1"/>
  <c r="AF90" i="1"/>
  <c r="AG90" i="1"/>
  <c r="C89" i="3" s="1"/>
  <c r="AH90" i="1"/>
  <c r="D89" i="3" s="1"/>
  <c r="AI90" i="1"/>
  <c r="E89" i="3" s="1"/>
  <c r="AJ90" i="1"/>
  <c r="AK90" i="1"/>
  <c r="AL90" i="1"/>
  <c r="AM90" i="1"/>
  <c r="AN90" i="1"/>
  <c r="AO90" i="1"/>
  <c r="K89" i="3" s="1"/>
  <c r="AP90" i="1"/>
  <c r="AQ90" i="1"/>
  <c r="AR90" i="1"/>
  <c r="N89" i="3" s="1"/>
  <c r="AS90" i="1"/>
  <c r="O89" i="3" s="1"/>
  <c r="AT90" i="1"/>
  <c r="P89" i="3" s="1"/>
  <c r="AU90" i="1"/>
  <c r="Q89" i="3" s="1"/>
  <c r="AV90" i="1"/>
  <c r="D91" i="1"/>
  <c r="E91" i="1"/>
  <c r="F91" i="1"/>
  <c r="H91" i="1"/>
  <c r="I91" i="1"/>
  <c r="AD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P90" i="3" s="1"/>
  <c r="AU91" i="1"/>
  <c r="Q90" i="3" s="1"/>
  <c r="AV91" i="1"/>
  <c r="R90" i="3" s="1"/>
  <c r="D92" i="1"/>
  <c r="E92" i="1"/>
  <c r="F92" i="1"/>
  <c r="H92" i="1"/>
  <c r="I92" i="1"/>
  <c r="AD92" i="1"/>
  <c r="AF92" i="1"/>
  <c r="AG92" i="1"/>
  <c r="AH92" i="1"/>
  <c r="AH124" i="1" s="1"/>
  <c r="AI92" i="1"/>
  <c r="AJ92" i="1"/>
  <c r="AK92" i="1"/>
  <c r="G91" i="3" s="1"/>
  <c r="AL92" i="1"/>
  <c r="AM92" i="1"/>
  <c r="AN92" i="1"/>
  <c r="AO92" i="1"/>
  <c r="AP92" i="1"/>
  <c r="AQ92" i="1"/>
  <c r="M91" i="3" s="1"/>
  <c r="AR92" i="1"/>
  <c r="N91" i="3" s="1"/>
  <c r="AS92" i="1"/>
  <c r="O91" i="3" s="1"/>
  <c r="AT92" i="1"/>
  <c r="P91" i="3" s="1"/>
  <c r="AU92" i="1"/>
  <c r="AV92" i="1"/>
  <c r="R91" i="3" s="1"/>
  <c r="D93" i="1"/>
  <c r="E93" i="1"/>
  <c r="F93" i="1"/>
  <c r="H93" i="1"/>
  <c r="I93" i="1"/>
  <c r="AD93" i="1"/>
  <c r="AF93" i="1"/>
  <c r="B92" i="3" s="1"/>
  <c r="AG93" i="1"/>
  <c r="AH93" i="1"/>
  <c r="D92" i="3" s="1"/>
  <c r="AI93" i="1"/>
  <c r="E92" i="3" s="1"/>
  <c r="AJ93" i="1"/>
  <c r="F92" i="3" s="1"/>
  <c r="AK93" i="1"/>
  <c r="G92" i="3" s="1"/>
  <c r="AL93" i="1"/>
  <c r="H92" i="3" s="1"/>
  <c r="AM93" i="1"/>
  <c r="I92" i="3" s="1"/>
  <c r="AN93" i="1"/>
  <c r="J92" i="3" s="1"/>
  <c r="AO93" i="1"/>
  <c r="K92" i="3" s="1"/>
  <c r="AP93" i="1"/>
  <c r="L92" i="3" s="1"/>
  <c r="AQ93" i="1"/>
  <c r="M92" i="3" s="1"/>
  <c r="AR93" i="1"/>
  <c r="N92" i="3" s="1"/>
  <c r="AS93" i="1"/>
  <c r="O92" i="3" s="1"/>
  <c r="AT93" i="1"/>
  <c r="P92" i="3" s="1"/>
  <c r="AU93" i="1"/>
  <c r="Q92" i="3" s="1"/>
  <c r="AV93" i="1"/>
  <c r="R92" i="3" s="1"/>
  <c r="D94" i="1"/>
  <c r="E94" i="1"/>
  <c r="F94" i="1"/>
  <c r="H94" i="1"/>
  <c r="I94" i="1"/>
  <c r="AD94" i="1"/>
  <c r="AF94" i="1"/>
  <c r="AG94" i="1"/>
  <c r="AH94" i="1"/>
  <c r="AI94" i="1"/>
  <c r="AJ94" i="1"/>
  <c r="F93" i="3" s="1"/>
  <c r="AK94" i="1"/>
  <c r="AL94" i="1"/>
  <c r="H93" i="3" s="1"/>
  <c r="AM94" i="1"/>
  <c r="AN94" i="1"/>
  <c r="AO94" i="1"/>
  <c r="AP94" i="1"/>
  <c r="AQ94" i="1"/>
  <c r="AR94" i="1"/>
  <c r="AS94" i="1"/>
  <c r="AT94" i="1"/>
  <c r="AU94" i="1"/>
  <c r="AV94" i="1"/>
  <c r="R93" i="3" s="1"/>
  <c r="AW94" i="1"/>
  <c r="G94" i="1" s="1"/>
  <c r="D95" i="1"/>
  <c r="E95" i="1"/>
  <c r="F95" i="1"/>
  <c r="H95" i="1"/>
  <c r="I95" i="1"/>
  <c r="AD95" i="1"/>
  <c r="AF95" i="1"/>
  <c r="AG95" i="1"/>
  <c r="AH95" i="1"/>
  <c r="AI95" i="1"/>
  <c r="AJ95" i="1"/>
  <c r="AK95" i="1"/>
  <c r="AL95" i="1"/>
  <c r="AM95" i="1"/>
  <c r="AN95" i="1"/>
  <c r="AO95" i="1"/>
  <c r="K94" i="3" s="1"/>
  <c r="AP95" i="1"/>
  <c r="L94" i="3" s="1"/>
  <c r="AQ95" i="1"/>
  <c r="M94" i="3" s="1"/>
  <c r="AR95" i="1"/>
  <c r="N94" i="3" s="1"/>
  <c r="AS95" i="1"/>
  <c r="O94" i="3" s="1"/>
  <c r="AT95" i="1"/>
  <c r="AU95" i="1"/>
  <c r="AV95" i="1"/>
  <c r="D96" i="1"/>
  <c r="E96" i="1"/>
  <c r="F96" i="1"/>
  <c r="H96" i="1"/>
  <c r="I96" i="1"/>
  <c r="AD96" i="1"/>
  <c r="AF96" i="1"/>
  <c r="AG96" i="1"/>
  <c r="C95" i="3" s="1"/>
  <c r="AH96" i="1"/>
  <c r="D95" i="3" s="1"/>
  <c r="AI96" i="1"/>
  <c r="E95" i="3" s="1"/>
  <c r="AJ96" i="1"/>
  <c r="F95" i="3" s="1"/>
  <c r="AK96" i="1"/>
  <c r="G95" i="3" s="1"/>
  <c r="AL96" i="1"/>
  <c r="H95" i="3" s="1"/>
  <c r="AM96" i="1"/>
  <c r="AN96" i="1"/>
  <c r="AO96" i="1"/>
  <c r="AP96" i="1"/>
  <c r="AQ96" i="1"/>
  <c r="AR96" i="1"/>
  <c r="AS96" i="1"/>
  <c r="AT96" i="1"/>
  <c r="AU96" i="1"/>
  <c r="AV96" i="1"/>
  <c r="D97" i="1"/>
  <c r="E97" i="1"/>
  <c r="F97" i="1"/>
  <c r="H97" i="1"/>
  <c r="I97" i="1"/>
  <c r="AD97" i="1"/>
  <c r="AF97" i="1"/>
  <c r="AG97" i="1"/>
  <c r="AH97" i="1"/>
  <c r="D96" i="3" s="1"/>
  <c r="AI97" i="1"/>
  <c r="E96" i="3" s="1"/>
  <c r="AJ97" i="1"/>
  <c r="F96" i="3" s="1"/>
  <c r="AK97" i="1"/>
  <c r="G96" i="3" s="1"/>
  <c r="AL97" i="1"/>
  <c r="H96" i="3" s="1"/>
  <c r="AM97" i="1"/>
  <c r="I96" i="3" s="1"/>
  <c r="AN97" i="1"/>
  <c r="AO97" i="1"/>
  <c r="AP97" i="1"/>
  <c r="L96" i="3" s="1"/>
  <c r="AQ97" i="1"/>
  <c r="M96" i="3" s="1"/>
  <c r="AR97" i="1"/>
  <c r="N96" i="3" s="1"/>
  <c r="AS97" i="1"/>
  <c r="O96" i="3" s="1"/>
  <c r="AT97" i="1"/>
  <c r="P96" i="3" s="1"/>
  <c r="AU97" i="1"/>
  <c r="Q96" i="3" s="1"/>
  <c r="AV97" i="1"/>
  <c r="D98" i="1"/>
  <c r="E98" i="1"/>
  <c r="F98" i="1"/>
  <c r="H98" i="1"/>
  <c r="I98" i="1"/>
  <c r="AD98" i="1"/>
  <c r="AF98" i="1"/>
  <c r="AG98" i="1"/>
  <c r="AH98" i="1"/>
  <c r="AI98" i="1"/>
  <c r="E97" i="3" s="1"/>
  <c r="AJ98" i="1"/>
  <c r="F97" i="3" s="1"/>
  <c r="AK98" i="1"/>
  <c r="G97" i="3" s="1"/>
  <c r="AL98" i="1"/>
  <c r="H97" i="3" s="1"/>
  <c r="AM98" i="1"/>
  <c r="I97" i="3" s="1"/>
  <c r="AN98" i="1"/>
  <c r="J97" i="3" s="1"/>
  <c r="AO98" i="1"/>
  <c r="AP98" i="1"/>
  <c r="AQ98" i="1"/>
  <c r="AR98" i="1"/>
  <c r="N97" i="3" s="1"/>
  <c r="AS98" i="1"/>
  <c r="O97" i="3" s="1"/>
  <c r="AT98" i="1"/>
  <c r="P97" i="3" s="1"/>
  <c r="AU98" i="1"/>
  <c r="Q97" i="3" s="1"/>
  <c r="AV98" i="1"/>
  <c r="R97" i="3" s="1"/>
  <c r="D99" i="1"/>
  <c r="E99" i="1"/>
  <c r="F99" i="1"/>
  <c r="H99" i="1"/>
  <c r="I99" i="1"/>
  <c r="AD99" i="1"/>
  <c r="AF99" i="1"/>
  <c r="B98" i="3" s="1"/>
  <c r="AG99" i="1"/>
  <c r="AH99" i="1"/>
  <c r="AI99" i="1"/>
  <c r="AJ99" i="1"/>
  <c r="F98" i="3" s="1"/>
  <c r="AK99" i="1"/>
  <c r="G98" i="3" s="1"/>
  <c r="AL99" i="1"/>
  <c r="AM99" i="1"/>
  <c r="AN99" i="1"/>
  <c r="AO99" i="1"/>
  <c r="AP99" i="1"/>
  <c r="AQ99" i="1"/>
  <c r="AR99" i="1"/>
  <c r="AS99" i="1"/>
  <c r="AT99" i="1"/>
  <c r="AU99" i="1"/>
  <c r="AV99" i="1"/>
  <c r="R98" i="3" s="1"/>
  <c r="S98" i="3" s="1"/>
  <c r="D100" i="1"/>
  <c r="E100" i="1"/>
  <c r="F100" i="1"/>
  <c r="H100" i="1"/>
  <c r="I100" i="1"/>
  <c r="AD100" i="1"/>
  <c r="AF100" i="1"/>
  <c r="B99" i="3" s="1"/>
  <c r="S99" i="3" s="1"/>
  <c r="AG100" i="1"/>
  <c r="C99" i="3" s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O99" i="3" s="1"/>
  <c r="AT100" i="1"/>
  <c r="P99" i="3" s="1"/>
  <c r="AU100" i="1"/>
  <c r="Q99" i="3" s="1"/>
  <c r="AV100" i="1"/>
  <c r="D101" i="1"/>
  <c r="E101" i="1"/>
  <c r="F101" i="1"/>
  <c r="H101" i="1"/>
  <c r="I101" i="1"/>
  <c r="AD101" i="1"/>
  <c r="AF101" i="1"/>
  <c r="AG101" i="1"/>
  <c r="C100" i="3" s="1"/>
  <c r="AH101" i="1"/>
  <c r="D100" i="3" s="1"/>
  <c r="AI101" i="1"/>
  <c r="E100" i="3" s="1"/>
  <c r="AJ101" i="1"/>
  <c r="F100" i="3" s="1"/>
  <c r="AK101" i="1"/>
  <c r="AL101" i="1"/>
  <c r="AM101" i="1"/>
  <c r="AN101" i="1"/>
  <c r="AO101" i="1"/>
  <c r="AP101" i="1"/>
  <c r="L100" i="3" s="1"/>
  <c r="AQ101" i="1"/>
  <c r="AR101" i="1"/>
  <c r="N100" i="3" s="1"/>
  <c r="AS101" i="1"/>
  <c r="AT101" i="1"/>
  <c r="AU101" i="1"/>
  <c r="AV101" i="1"/>
  <c r="D102" i="1"/>
  <c r="E102" i="1"/>
  <c r="F102" i="1"/>
  <c r="H102" i="1"/>
  <c r="I102" i="1"/>
  <c r="AD102" i="1"/>
  <c r="AF102" i="1"/>
  <c r="AG102" i="1"/>
  <c r="C101" i="3" s="1"/>
  <c r="AH102" i="1"/>
  <c r="D101" i="3" s="1"/>
  <c r="AI102" i="1"/>
  <c r="E101" i="3" s="1"/>
  <c r="AJ102" i="1"/>
  <c r="F101" i="3" s="1"/>
  <c r="AK102" i="1"/>
  <c r="G101" i="3" s="1"/>
  <c r="AL102" i="1"/>
  <c r="AM102" i="1"/>
  <c r="I101" i="3" s="1"/>
  <c r="AN102" i="1"/>
  <c r="AO102" i="1"/>
  <c r="AP102" i="1"/>
  <c r="L101" i="3" s="1"/>
  <c r="AQ102" i="1"/>
  <c r="M101" i="3" s="1"/>
  <c r="AR102" i="1"/>
  <c r="N101" i="3" s="1"/>
  <c r="AS102" i="1"/>
  <c r="AT102" i="1"/>
  <c r="AU102" i="1"/>
  <c r="AV102" i="1"/>
  <c r="D103" i="1"/>
  <c r="E103" i="1"/>
  <c r="F103" i="1"/>
  <c r="H103" i="1"/>
  <c r="I103" i="1"/>
  <c r="AD103" i="1"/>
  <c r="AF103" i="1"/>
  <c r="AG103" i="1"/>
  <c r="C102" i="3" s="1"/>
  <c r="AH103" i="1"/>
  <c r="D102" i="3" s="1"/>
  <c r="AI103" i="1"/>
  <c r="E102" i="3" s="1"/>
  <c r="AJ103" i="1"/>
  <c r="F102" i="3" s="1"/>
  <c r="AK103" i="1"/>
  <c r="G102" i="3" s="1"/>
  <c r="AL103" i="1"/>
  <c r="H102" i="3" s="1"/>
  <c r="AM103" i="1"/>
  <c r="I102" i="3" s="1"/>
  <c r="AN103" i="1"/>
  <c r="J102" i="3" s="1"/>
  <c r="AO103" i="1"/>
  <c r="K102" i="3" s="1"/>
  <c r="AP103" i="1"/>
  <c r="L102" i="3" s="1"/>
  <c r="AQ103" i="1"/>
  <c r="M102" i="3" s="1"/>
  <c r="AR103" i="1"/>
  <c r="N102" i="3" s="1"/>
  <c r="AS103" i="1"/>
  <c r="O102" i="3" s="1"/>
  <c r="AT103" i="1"/>
  <c r="P102" i="3" s="1"/>
  <c r="AU103" i="1"/>
  <c r="Q102" i="3" s="1"/>
  <c r="AV103" i="1"/>
  <c r="R102" i="3" s="1"/>
  <c r="D104" i="1"/>
  <c r="E104" i="1"/>
  <c r="F104" i="1"/>
  <c r="H104" i="1"/>
  <c r="I104" i="1"/>
  <c r="AD104" i="1"/>
  <c r="AF104" i="1"/>
  <c r="AG104" i="1"/>
  <c r="C103" i="3" s="1"/>
  <c r="AH104" i="1"/>
  <c r="D103" i="3" s="1"/>
  <c r="AI104" i="1"/>
  <c r="AJ104" i="1"/>
  <c r="AK104" i="1"/>
  <c r="G103" i="3" s="1"/>
  <c r="AL104" i="1"/>
  <c r="AM104" i="1"/>
  <c r="I103" i="3" s="1"/>
  <c r="AN104" i="1"/>
  <c r="AO104" i="1"/>
  <c r="AP104" i="1"/>
  <c r="AQ104" i="1"/>
  <c r="AR104" i="1"/>
  <c r="AS104" i="1"/>
  <c r="AT104" i="1"/>
  <c r="AU104" i="1"/>
  <c r="AV104" i="1"/>
  <c r="D105" i="1"/>
  <c r="E105" i="1"/>
  <c r="F105" i="1"/>
  <c r="H105" i="1"/>
  <c r="I105" i="1"/>
  <c r="AD105" i="1"/>
  <c r="AF105" i="1"/>
  <c r="AG105" i="1"/>
  <c r="AH105" i="1"/>
  <c r="AI105" i="1"/>
  <c r="AJ105" i="1"/>
  <c r="AK105" i="1"/>
  <c r="G104" i="3" s="1"/>
  <c r="AL105" i="1"/>
  <c r="H104" i="3" s="1"/>
  <c r="AM105" i="1"/>
  <c r="I104" i="3" s="1"/>
  <c r="AN105" i="1"/>
  <c r="AO105" i="1"/>
  <c r="K104" i="3" s="1"/>
  <c r="AP105" i="1"/>
  <c r="L104" i="3" s="1"/>
  <c r="AQ105" i="1"/>
  <c r="AR105" i="1"/>
  <c r="AS105" i="1"/>
  <c r="O104" i="3" s="1"/>
  <c r="AT105" i="1"/>
  <c r="AU105" i="1"/>
  <c r="Q104" i="3" s="1"/>
  <c r="AV105" i="1"/>
  <c r="D106" i="1"/>
  <c r="E106" i="1"/>
  <c r="F106" i="1"/>
  <c r="H106" i="1"/>
  <c r="I106" i="1"/>
  <c r="AD106" i="1"/>
  <c r="AF106" i="1"/>
  <c r="AG106" i="1"/>
  <c r="AH106" i="1"/>
  <c r="AI106" i="1"/>
  <c r="AJ106" i="1"/>
  <c r="AK106" i="1"/>
  <c r="G105" i="3" s="1"/>
  <c r="AL106" i="1"/>
  <c r="H105" i="3" s="1"/>
  <c r="AM106" i="1"/>
  <c r="I105" i="3" s="1"/>
  <c r="AN106" i="1"/>
  <c r="AO106" i="1"/>
  <c r="K105" i="3" s="1"/>
  <c r="AP106" i="1"/>
  <c r="AQ106" i="1"/>
  <c r="M105" i="3" s="1"/>
  <c r="AR106" i="1"/>
  <c r="N105" i="3" s="1"/>
  <c r="AS106" i="1"/>
  <c r="O105" i="3" s="1"/>
  <c r="AT106" i="1"/>
  <c r="P105" i="3" s="1"/>
  <c r="AU106" i="1"/>
  <c r="Q105" i="3" s="1"/>
  <c r="AV106" i="1"/>
  <c r="D107" i="1"/>
  <c r="E107" i="1"/>
  <c r="F107" i="1"/>
  <c r="H107" i="1"/>
  <c r="I107" i="1"/>
  <c r="AD107" i="1"/>
  <c r="AF107" i="1"/>
  <c r="AG107" i="1"/>
  <c r="AH107" i="1"/>
  <c r="AI107" i="1"/>
  <c r="E106" i="3" s="1"/>
  <c r="AJ107" i="1"/>
  <c r="AK107" i="1"/>
  <c r="G106" i="3" s="1"/>
  <c r="AL107" i="1"/>
  <c r="AM107" i="1"/>
  <c r="AN107" i="1"/>
  <c r="AO107" i="1"/>
  <c r="AP107" i="1"/>
  <c r="AQ107" i="1"/>
  <c r="AR107" i="1"/>
  <c r="N106" i="3" s="1"/>
  <c r="AS107" i="1"/>
  <c r="AT107" i="1"/>
  <c r="AU107" i="1"/>
  <c r="Q106" i="3" s="1"/>
  <c r="AV107" i="1"/>
  <c r="R106" i="3" s="1"/>
  <c r="D108" i="1"/>
  <c r="E108" i="1"/>
  <c r="F108" i="1"/>
  <c r="H108" i="1"/>
  <c r="I108" i="1"/>
  <c r="AD108" i="1"/>
  <c r="AF108" i="1"/>
  <c r="B107" i="3" s="1"/>
  <c r="AG108" i="1"/>
  <c r="AH108" i="1"/>
  <c r="D107" i="3" s="1"/>
  <c r="AI108" i="1"/>
  <c r="AJ108" i="1"/>
  <c r="F107" i="3" s="1"/>
  <c r="AK108" i="1"/>
  <c r="G107" i="3" s="1"/>
  <c r="AL108" i="1"/>
  <c r="H107" i="3" s="1"/>
  <c r="AM108" i="1"/>
  <c r="AN108" i="1"/>
  <c r="J107" i="3" s="1"/>
  <c r="AO108" i="1"/>
  <c r="K107" i="3" s="1"/>
  <c r="AP108" i="1"/>
  <c r="L107" i="3" s="1"/>
  <c r="AQ108" i="1"/>
  <c r="M107" i="3" s="1"/>
  <c r="AR108" i="1"/>
  <c r="AS108" i="1"/>
  <c r="O107" i="3" s="1"/>
  <c r="AT108" i="1"/>
  <c r="P107" i="3" s="1"/>
  <c r="AU108" i="1"/>
  <c r="Q107" i="3" s="1"/>
  <c r="AV108" i="1"/>
  <c r="R107" i="3" s="1"/>
  <c r="D109" i="1"/>
  <c r="E109" i="1"/>
  <c r="F109" i="1"/>
  <c r="H109" i="1"/>
  <c r="I109" i="1"/>
  <c r="AD109" i="1"/>
  <c r="AF109" i="1"/>
  <c r="AG109" i="1"/>
  <c r="C108" i="3" s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D110" i="1"/>
  <c r="E110" i="1"/>
  <c r="F110" i="1"/>
  <c r="H110" i="1"/>
  <c r="I110" i="1"/>
  <c r="AD110" i="1"/>
  <c r="AF110" i="1"/>
  <c r="AG110" i="1"/>
  <c r="AH110" i="1"/>
  <c r="AI110" i="1"/>
  <c r="AJ110" i="1"/>
  <c r="F109" i="3" s="1"/>
  <c r="AK110" i="1"/>
  <c r="G109" i="3" s="1"/>
  <c r="AL110" i="1"/>
  <c r="H109" i="3" s="1"/>
  <c r="AM110" i="1"/>
  <c r="I109" i="3" s="1"/>
  <c r="AN110" i="1"/>
  <c r="J109" i="3" s="1"/>
  <c r="AO110" i="1"/>
  <c r="K109" i="3" s="1"/>
  <c r="AP110" i="1"/>
  <c r="L109" i="3" s="1"/>
  <c r="AQ110" i="1"/>
  <c r="AR110" i="1"/>
  <c r="N109" i="3" s="1"/>
  <c r="AS110" i="1"/>
  <c r="O109" i="3" s="1"/>
  <c r="AT110" i="1"/>
  <c r="P109" i="3" s="1"/>
  <c r="AU110" i="1"/>
  <c r="Q109" i="3" s="1"/>
  <c r="AV110" i="1"/>
  <c r="R109" i="3" s="1"/>
  <c r="AW110" i="1"/>
  <c r="G110" i="1" s="1"/>
  <c r="D111" i="1"/>
  <c r="E111" i="1"/>
  <c r="F111" i="1"/>
  <c r="H111" i="1"/>
  <c r="I111" i="1"/>
  <c r="AD111" i="1"/>
  <c r="AF111" i="1"/>
  <c r="AG111" i="1"/>
  <c r="C110" i="3" s="1"/>
  <c r="AH111" i="1"/>
  <c r="D110" i="3" s="1"/>
  <c r="AI111" i="1"/>
  <c r="E110" i="3" s="1"/>
  <c r="AJ111" i="1"/>
  <c r="F110" i="3" s="1"/>
  <c r="AK111" i="1"/>
  <c r="G110" i="3" s="1"/>
  <c r="AL111" i="1"/>
  <c r="H110" i="3" s="1"/>
  <c r="AM111" i="1"/>
  <c r="I110" i="3" s="1"/>
  <c r="AN111" i="1"/>
  <c r="J110" i="3" s="1"/>
  <c r="AO111" i="1"/>
  <c r="K110" i="3" s="1"/>
  <c r="AP111" i="1"/>
  <c r="AQ111" i="1"/>
  <c r="M110" i="3" s="1"/>
  <c r="AR111" i="1"/>
  <c r="AS111" i="1"/>
  <c r="O110" i="3" s="1"/>
  <c r="AT111" i="1"/>
  <c r="AU111" i="1"/>
  <c r="AV111" i="1"/>
  <c r="D112" i="1"/>
  <c r="E112" i="1"/>
  <c r="F112" i="1"/>
  <c r="H112" i="1"/>
  <c r="I112" i="1"/>
  <c r="AD112" i="1"/>
  <c r="AF112" i="1"/>
  <c r="AG112" i="1"/>
  <c r="AH112" i="1"/>
  <c r="D111" i="3" s="1"/>
  <c r="AI112" i="1"/>
  <c r="AJ112" i="1"/>
  <c r="F111" i="3" s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R111" i="3" s="1"/>
  <c r="AW112" i="1"/>
  <c r="G112" i="1" s="1"/>
  <c r="D113" i="1"/>
  <c r="E113" i="1"/>
  <c r="F113" i="1"/>
  <c r="H113" i="1"/>
  <c r="I113" i="1"/>
  <c r="AD113" i="1"/>
  <c r="AF113" i="1"/>
  <c r="B112" i="3" s="1"/>
  <c r="AG113" i="1"/>
  <c r="C112" i="3" s="1"/>
  <c r="AH113" i="1"/>
  <c r="D112" i="3" s="1"/>
  <c r="AI113" i="1"/>
  <c r="E112" i="3" s="1"/>
  <c r="AJ113" i="1"/>
  <c r="AK113" i="1"/>
  <c r="G112" i="3" s="1"/>
  <c r="AL113" i="1"/>
  <c r="H112" i="3" s="1"/>
  <c r="AM113" i="1"/>
  <c r="I112" i="3" s="1"/>
  <c r="AN113" i="1"/>
  <c r="J112" i="3" s="1"/>
  <c r="AO113" i="1"/>
  <c r="K112" i="3" s="1"/>
  <c r="AP113" i="1"/>
  <c r="L112" i="3" s="1"/>
  <c r="AQ113" i="1"/>
  <c r="M112" i="3" s="1"/>
  <c r="AR113" i="1"/>
  <c r="N112" i="3" s="1"/>
  <c r="AS113" i="1"/>
  <c r="O112" i="3" s="1"/>
  <c r="AT113" i="1"/>
  <c r="P112" i="3" s="1"/>
  <c r="AU113" i="1"/>
  <c r="Q112" i="3" s="1"/>
  <c r="AV113" i="1"/>
  <c r="R112" i="3" s="1"/>
  <c r="D114" i="1"/>
  <c r="E114" i="1"/>
  <c r="F114" i="1"/>
  <c r="H114" i="1"/>
  <c r="I114" i="1"/>
  <c r="AD114" i="1"/>
  <c r="AF114" i="1"/>
  <c r="AG114" i="1"/>
  <c r="AH114" i="1"/>
  <c r="AI114" i="1"/>
  <c r="AJ114" i="1"/>
  <c r="F113" i="3" s="1"/>
  <c r="AK114" i="1"/>
  <c r="G113" i="3" s="1"/>
  <c r="AL114" i="1"/>
  <c r="AM114" i="1"/>
  <c r="AN114" i="1"/>
  <c r="AO114" i="1"/>
  <c r="AP114" i="1"/>
  <c r="AQ114" i="1"/>
  <c r="AR114" i="1"/>
  <c r="N113" i="3" s="1"/>
  <c r="AS114" i="1"/>
  <c r="AT114" i="1"/>
  <c r="AU114" i="1"/>
  <c r="AV114" i="1"/>
  <c r="D115" i="1"/>
  <c r="E115" i="1"/>
  <c r="F115" i="1"/>
  <c r="H115" i="1"/>
  <c r="I115" i="1"/>
  <c r="AD115" i="1"/>
  <c r="AF115" i="1"/>
  <c r="B114" i="3" s="1"/>
  <c r="AG115" i="1"/>
  <c r="C114" i="3" s="1"/>
  <c r="AH115" i="1"/>
  <c r="AI115" i="1"/>
  <c r="E114" i="3" s="1"/>
  <c r="AJ115" i="1"/>
  <c r="F114" i="3" s="1"/>
  <c r="AK115" i="1"/>
  <c r="AL115" i="1"/>
  <c r="H114" i="3" s="1"/>
  <c r="AM115" i="1"/>
  <c r="I114" i="3" s="1"/>
  <c r="AN115" i="1"/>
  <c r="J114" i="3" s="1"/>
  <c r="AO115" i="1"/>
  <c r="K114" i="3" s="1"/>
  <c r="AP115" i="1"/>
  <c r="AQ115" i="1"/>
  <c r="M114" i="3" s="1"/>
  <c r="AR115" i="1"/>
  <c r="AS115" i="1"/>
  <c r="O114" i="3" s="1"/>
  <c r="AT115" i="1"/>
  <c r="P114" i="3" s="1"/>
  <c r="AU115" i="1"/>
  <c r="Q114" i="3" s="1"/>
  <c r="AV115" i="1"/>
  <c r="AW115" i="1"/>
  <c r="G115" i="1" s="1"/>
  <c r="D116" i="1"/>
  <c r="E116" i="1"/>
  <c r="F116" i="1"/>
  <c r="H116" i="1"/>
  <c r="I116" i="1"/>
  <c r="AD116" i="1"/>
  <c r="AD124" i="1" s="1"/>
  <c r="AF116" i="1"/>
  <c r="AG116" i="1"/>
  <c r="C115" i="3" s="1"/>
  <c r="AH116" i="1"/>
  <c r="D115" i="3" s="1"/>
  <c r="AI116" i="1"/>
  <c r="E115" i="3" s="1"/>
  <c r="AJ116" i="1"/>
  <c r="F115" i="3" s="1"/>
  <c r="AK116" i="1"/>
  <c r="G115" i="3" s="1"/>
  <c r="AL116" i="1"/>
  <c r="H115" i="3" s="1"/>
  <c r="AM116" i="1"/>
  <c r="AN116" i="1"/>
  <c r="J115" i="3" s="1"/>
  <c r="AO116" i="1"/>
  <c r="K115" i="3" s="1"/>
  <c r="AP116" i="1"/>
  <c r="L115" i="3" s="1"/>
  <c r="AQ116" i="1"/>
  <c r="AR116" i="1"/>
  <c r="AS116" i="1"/>
  <c r="AT116" i="1"/>
  <c r="AU116" i="1"/>
  <c r="Q115" i="3" s="1"/>
  <c r="AV116" i="1"/>
  <c r="R115" i="3" s="1"/>
  <c r="D117" i="1"/>
  <c r="E117" i="1"/>
  <c r="F117" i="1"/>
  <c r="H117" i="1"/>
  <c r="I117" i="1"/>
  <c r="AD117" i="1"/>
  <c r="AF117" i="1"/>
  <c r="B116" i="3" s="1"/>
  <c r="AG117" i="1"/>
  <c r="C116" i="3" s="1"/>
  <c r="AH117" i="1"/>
  <c r="AI117" i="1"/>
  <c r="AJ117" i="1"/>
  <c r="AK117" i="1"/>
  <c r="AL117" i="1"/>
  <c r="AM117" i="1"/>
  <c r="I116" i="3" s="1"/>
  <c r="AN117" i="1"/>
  <c r="AO117" i="1"/>
  <c r="AP117" i="1"/>
  <c r="AQ117" i="1"/>
  <c r="AR117" i="1"/>
  <c r="AS117" i="1"/>
  <c r="AT117" i="1"/>
  <c r="AU117" i="1"/>
  <c r="Q116" i="3" s="1"/>
  <c r="AV117" i="1"/>
  <c r="R116" i="3" s="1"/>
  <c r="D118" i="1"/>
  <c r="E118" i="1"/>
  <c r="F118" i="1"/>
  <c r="H118" i="1"/>
  <c r="I118" i="1"/>
  <c r="AD118" i="1"/>
  <c r="AF118" i="1"/>
  <c r="B117" i="3" s="1"/>
  <c r="AG118" i="1"/>
  <c r="AH118" i="1"/>
  <c r="D117" i="3" s="1"/>
  <c r="AI118" i="1"/>
  <c r="E117" i="3" s="1"/>
  <c r="AJ118" i="1"/>
  <c r="AK118" i="1"/>
  <c r="AL118" i="1"/>
  <c r="AM118" i="1"/>
  <c r="AN118" i="1"/>
  <c r="AO118" i="1"/>
  <c r="K117" i="3" s="1"/>
  <c r="AP118" i="1"/>
  <c r="L117" i="3" s="1"/>
  <c r="AQ118" i="1"/>
  <c r="M117" i="3" s="1"/>
  <c r="AR118" i="1"/>
  <c r="AS118" i="1"/>
  <c r="AT118" i="1"/>
  <c r="P117" i="3" s="1"/>
  <c r="AU118" i="1"/>
  <c r="Q117" i="3" s="1"/>
  <c r="AV118" i="1"/>
  <c r="R117" i="3" s="1"/>
  <c r="AW118" i="1"/>
  <c r="G118" i="1" s="1"/>
  <c r="J118" i="1" s="1"/>
  <c r="D119" i="1"/>
  <c r="E119" i="1"/>
  <c r="F119" i="1"/>
  <c r="H119" i="1"/>
  <c r="I119" i="1"/>
  <c r="AD119" i="1"/>
  <c r="AF119" i="1"/>
  <c r="AG119" i="1"/>
  <c r="AH119" i="1"/>
  <c r="D118" i="3" s="1"/>
  <c r="AI119" i="1"/>
  <c r="E118" i="3" s="1"/>
  <c r="AJ119" i="1"/>
  <c r="F118" i="3" s="1"/>
  <c r="AK119" i="1"/>
  <c r="G118" i="3" s="1"/>
  <c r="AL119" i="1"/>
  <c r="H118" i="3" s="1"/>
  <c r="AM119" i="1"/>
  <c r="AN119" i="1"/>
  <c r="AO119" i="1"/>
  <c r="AP119" i="1"/>
  <c r="AQ119" i="1"/>
  <c r="AR119" i="1"/>
  <c r="AS119" i="1"/>
  <c r="AT119" i="1"/>
  <c r="AU119" i="1"/>
  <c r="AV119" i="1"/>
  <c r="D120" i="1"/>
  <c r="E120" i="1"/>
  <c r="F120" i="1"/>
  <c r="H120" i="1"/>
  <c r="I120" i="1"/>
  <c r="AD120" i="1"/>
  <c r="AF120" i="1"/>
  <c r="AG120" i="1"/>
  <c r="AH120" i="1"/>
  <c r="D119" i="3" s="1"/>
  <c r="AI120" i="1"/>
  <c r="AJ120" i="1"/>
  <c r="AK120" i="1"/>
  <c r="G119" i="3" s="1"/>
  <c r="AL120" i="1"/>
  <c r="H119" i="3" s="1"/>
  <c r="AM120" i="1"/>
  <c r="AN120" i="1"/>
  <c r="J119" i="3" s="1"/>
  <c r="AO120" i="1"/>
  <c r="K119" i="3" s="1"/>
  <c r="AP120" i="1"/>
  <c r="AQ120" i="1"/>
  <c r="M119" i="3" s="1"/>
  <c r="AR120" i="1"/>
  <c r="N119" i="3" s="1"/>
  <c r="AS120" i="1"/>
  <c r="O119" i="3" s="1"/>
  <c r="AT120" i="1"/>
  <c r="P119" i="3" s="1"/>
  <c r="AU120" i="1"/>
  <c r="Q119" i="3" s="1"/>
  <c r="AV120" i="1"/>
  <c r="R119" i="3" s="1"/>
  <c r="D121" i="1"/>
  <c r="E121" i="1"/>
  <c r="F121" i="1"/>
  <c r="H121" i="1"/>
  <c r="I121" i="1"/>
  <c r="AD121" i="1"/>
  <c r="AF121" i="1"/>
  <c r="B120" i="3" s="1"/>
  <c r="AG121" i="1"/>
  <c r="C120" i="3" s="1"/>
  <c r="AH121" i="1"/>
  <c r="D120" i="3" s="1"/>
  <c r="AI121" i="1"/>
  <c r="E120" i="3" s="1"/>
  <c r="AJ121" i="1"/>
  <c r="F120" i="3" s="1"/>
  <c r="AK121" i="1"/>
  <c r="G120" i="3" s="1"/>
  <c r="AL121" i="1"/>
  <c r="H120" i="3" s="1"/>
  <c r="AM121" i="1"/>
  <c r="I120" i="3" s="1"/>
  <c r="AN121" i="1"/>
  <c r="J120" i="3" s="1"/>
  <c r="AO121" i="1"/>
  <c r="K120" i="3" s="1"/>
  <c r="AP121" i="1"/>
  <c r="AQ121" i="1"/>
  <c r="AR121" i="1"/>
  <c r="AS121" i="1"/>
  <c r="O120" i="3" s="1"/>
  <c r="AT121" i="1"/>
  <c r="AU121" i="1"/>
  <c r="AV121" i="1"/>
  <c r="D122" i="1"/>
  <c r="E122" i="1"/>
  <c r="F122" i="1"/>
  <c r="H122" i="1"/>
  <c r="I122" i="1"/>
  <c r="AD122" i="1"/>
  <c r="AF122" i="1"/>
  <c r="B121" i="3" s="1"/>
  <c r="AG122" i="1"/>
  <c r="C121" i="3" s="1"/>
  <c r="AH122" i="1"/>
  <c r="D121" i="3" s="1"/>
  <c r="AI122" i="1"/>
  <c r="E121" i="3" s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G122" i="1" s="1"/>
  <c r="B124" i="1"/>
  <c r="C124" i="1"/>
  <c r="B125" i="1" s="1"/>
  <c r="M124" i="1"/>
  <c r="M127" i="1" s="1"/>
  <c r="N124" i="1"/>
  <c r="O124" i="1"/>
  <c r="P124" i="1"/>
  <c r="Q124" i="1"/>
  <c r="R124" i="1"/>
  <c r="S124" i="1"/>
  <c r="T124" i="1"/>
  <c r="U124" i="1"/>
  <c r="U126" i="1" s="1"/>
  <c r="V124" i="1"/>
  <c r="V126" i="1" s="1"/>
  <c r="V132" i="1" s="1"/>
  <c r="W124" i="1"/>
  <c r="X124" i="1"/>
  <c r="B21" i="17" s="1"/>
  <c r="Y124" i="1"/>
  <c r="B22" i="17" s="1"/>
  <c r="Z124" i="1"/>
  <c r="AA124" i="1"/>
  <c r="AB124" i="1"/>
  <c r="AC124" i="1"/>
  <c r="M126" i="1"/>
  <c r="M132" i="1" s="1"/>
  <c r="O126" i="1"/>
  <c r="T127" i="1"/>
  <c r="V127" i="1"/>
  <c r="J128" i="1"/>
  <c r="J130" i="1"/>
  <c r="AB136" i="1"/>
  <c r="AB137" i="1" s="1"/>
  <c r="A2" i="3"/>
  <c r="D12" i="3"/>
  <c r="E12" i="3"/>
  <c r="F12" i="3"/>
  <c r="G12" i="3"/>
  <c r="H12" i="3"/>
  <c r="I12" i="3"/>
  <c r="J12" i="3"/>
  <c r="N12" i="3"/>
  <c r="O12" i="3"/>
  <c r="P12" i="3"/>
  <c r="Q12" i="3"/>
  <c r="R12" i="3"/>
  <c r="B13" i="3"/>
  <c r="C13" i="3"/>
  <c r="E13" i="3"/>
  <c r="G13" i="3"/>
  <c r="I13" i="3"/>
  <c r="L13" i="3"/>
  <c r="M13" i="3"/>
  <c r="N13" i="3"/>
  <c r="O13" i="3"/>
  <c r="P13" i="3"/>
  <c r="Q13" i="3"/>
  <c r="E14" i="3"/>
  <c r="L14" i="3"/>
  <c r="M14" i="3"/>
  <c r="N14" i="3"/>
  <c r="O14" i="3"/>
  <c r="P14" i="3"/>
  <c r="Q14" i="3"/>
  <c r="R14" i="3"/>
  <c r="B15" i="3"/>
  <c r="C15" i="3"/>
  <c r="D15" i="3"/>
  <c r="E15" i="3"/>
  <c r="F15" i="3"/>
  <c r="G15" i="3"/>
  <c r="H15" i="3"/>
  <c r="J15" i="3"/>
  <c r="L15" i="3"/>
  <c r="M15" i="3"/>
  <c r="N15" i="3"/>
  <c r="O15" i="3"/>
  <c r="P15" i="3"/>
  <c r="Q15" i="3"/>
  <c r="B16" i="3"/>
  <c r="C16" i="3"/>
  <c r="E16" i="3"/>
  <c r="K16" i="3"/>
  <c r="L16" i="3"/>
  <c r="R16" i="3"/>
  <c r="B17" i="3"/>
  <c r="C17" i="3"/>
  <c r="D17" i="3"/>
  <c r="E17" i="3"/>
  <c r="G17" i="3"/>
  <c r="H17" i="3"/>
  <c r="I17" i="3"/>
  <c r="J17" i="3"/>
  <c r="K17" i="3"/>
  <c r="L17" i="3"/>
  <c r="M17" i="3"/>
  <c r="N17" i="3"/>
  <c r="O17" i="3"/>
  <c r="P17" i="3"/>
  <c r="Q17" i="3"/>
  <c r="R17" i="3"/>
  <c r="E18" i="3"/>
  <c r="F18" i="3"/>
  <c r="I18" i="3"/>
  <c r="J18" i="3"/>
  <c r="K18" i="3"/>
  <c r="L18" i="3"/>
  <c r="M18" i="3"/>
  <c r="N18" i="3"/>
  <c r="O18" i="3"/>
  <c r="P18" i="3"/>
  <c r="Q18" i="3"/>
  <c r="B19" i="3"/>
  <c r="E19" i="3"/>
  <c r="N19" i="3"/>
  <c r="O19" i="3"/>
  <c r="P19" i="3"/>
  <c r="Q19" i="3"/>
  <c r="D20" i="3"/>
  <c r="J20" i="3"/>
  <c r="K20" i="3"/>
  <c r="L20" i="3"/>
  <c r="M20" i="3"/>
  <c r="O20" i="3"/>
  <c r="Q20" i="3"/>
  <c r="R20" i="3"/>
  <c r="B21" i="3"/>
  <c r="C21" i="3"/>
  <c r="D21" i="3"/>
  <c r="F21" i="3"/>
  <c r="G21" i="3"/>
  <c r="H21" i="3"/>
  <c r="I21" i="3"/>
  <c r="J21" i="3"/>
  <c r="N21" i="3"/>
  <c r="O21" i="3"/>
  <c r="P21" i="3"/>
  <c r="R21" i="3"/>
  <c r="B22" i="3"/>
  <c r="C22" i="3"/>
  <c r="D22" i="3"/>
  <c r="E22" i="3"/>
  <c r="F22" i="3"/>
  <c r="H22" i="3"/>
  <c r="K22" i="3"/>
  <c r="L22" i="3"/>
  <c r="M22" i="3"/>
  <c r="N22" i="3"/>
  <c r="O22" i="3"/>
  <c r="P22" i="3"/>
  <c r="Q22" i="3"/>
  <c r="R22" i="3"/>
  <c r="C23" i="3"/>
  <c r="E23" i="3"/>
  <c r="F23" i="3"/>
  <c r="G23" i="3"/>
  <c r="H23" i="3"/>
  <c r="J23" i="3"/>
  <c r="K23" i="3"/>
  <c r="L23" i="3"/>
  <c r="M23" i="3"/>
  <c r="B24" i="3"/>
  <c r="C24" i="3"/>
  <c r="E24" i="3"/>
  <c r="L24" i="3"/>
  <c r="M24" i="3"/>
  <c r="N24" i="3"/>
  <c r="O24" i="3"/>
  <c r="Q24" i="3"/>
  <c r="R24" i="3"/>
  <c r="B25" i="3"/>
  <c r="F25" i="3"/>
  <c r="G25" i="3"/>
  <c r="I25" i="3"/>
  <c r="J25" i="3"/>
  <c r="K25" i="3"/>
  <c r="L25" i="3"/>
  <c r="M25" i="3"/>
  <c r="N25" i="3"/>
  <c r="O25" i="3"/>
  <c r="P25" i="3"/>
  <c r="R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R26" i="3"/>
  <c r="B27" i="3"/>
  <c r="E27" i="3"/>
  <c r="F27" i="3"/>
  <c r="G27" i="3"/>
  <c r="H27" i="3"/>
  <c r="K27" i="3"/>
  <c r="L27" i="3"/>
  <c r="M27" i="3"/>
  <c r="N27" i="3"/>
  <c r="O27" i="3"/>
  <c r="P27" i="3"/>
  <c r="Q27" i="3"/>
  <c r="R27" i="3"/>
  <c r="G28" i="3"/>
  <c r="I28" i="3"/>
  <c r="J28" i="3"/>
  <c r="L28" i="3"/>
  <c r="P28" i="3"/>
  <c r="Q28" i="3"/>
  <c r="R28" i="3"/>
  <c r="E29" i="3"/>
  <c r="H29" i="3"/>
  <c r="J29" i="3"/>
  <c r="K29" i="3"/>
  <c r="L29" i="3"/>
  <c r="N29" i="3"/>
  <c r="Q29" i="3"/>
  <c r="R29" i="3"/>
  <c r="B30" i="3"/>
  <c r="C30" i="3"/>
  <c r="D30" i="3"/>
  <c r="E30" i="3"/>
  <c r="H30" i="3"/>
  <c r="I30" i="3"/>
  <c r="J30" i="3"/>
  <c r="L30" i="3"/>
  <c r="M30" i="3"/>
  <c r="N30" i="3"/>
  <c r="O30" i="3"/>
  <c r="P30" i="3"/>
  <c r="Q30" i="3"/>
  <c r="R30" i="3"/>
  <c r="B31" i="3"/>
  <c r="C31" i="3"/>
  <c r="J31" i="3"/>
  <c r="L31" i="3"/>
  <c r="M31" i="3"/>
  <c r="P31" i="3"/>
  <c r="Q31" i="3"/>
  <c r="R31" i="3"/>
  <c r="C32" i="3"/>
  <c r="J32" i="3"/>
  <c r="K32" i="3"/>
  <c r="L32" i="3"/>
  <c r="M32" i="3"/>
  <c r="N32" i="3"/>
  <c r="O32" i="3"/>
  <c r="R32" i="3"/>
  <c r="B33" i="3"/>
  <c r="D33" i="3"/>
  <c r="F33" i="3"/>
  <c r="J33" i="3"/>
  <c r="K33" i="3"/>
  <c r="M33" i="3"/>
  <c r="N33" i="3"/>
  <c r="O33" i="3"/>
  <c r="P33" i="3"/>
  <c r="Q33" i="3"/>
  <c r="R33" i="3"/>
  <c r="B34" i="3"/>
  <c r="F34" i="3"/>
  <c r="H34" i="3"/>
  <c r="I34" i="3"/>
  <c r="J34" i="3"/>
  <c r="O34" i="3"/>
  <c r="D35" i="3"/>
  <c r="G35" i="3"/>
  <c r="H35" i="3"/>
  <c r="I35" i="3"/>
  <c r="J35" i="3"/>
  <c r="N35" i="3"/>
  <c r="R35" i="3"/>
  <c r="B36" i="3"/>
  <c r="C36" i="3"/>
  <c r="E36" i="3"/>
  <c r="K36" i="3"/>
  <c r="M36" i="3"/>
  <c r="O36" i="3"/>
  <c r="Q36" i="3"/>
  <c r="R36" i="3"/>
  <c r="B37" i="3"/>
  <c r="C37" i="3"/>
  <c r="D37" i="3"/>
  <c r="F37" i="3"/>
  <c r="G37" i="3"/>
  <c r="H37" i="3"/>
  <c r="I37" i="3"/>
  <c r="J37" i="3"/>
  <c r="K37" i="3"/>
  <c r="L37" i="3"/>
  <c r="M37" i="3"/>
  <c r="O37" i="3"/>
  <c r="P37" i="3"/>
  <c r="R37" i="3"/>
  <c r="D38" i="3"/>
  <c r="G38" i="3"/>
  <c r="H38" i="3"/>
  <c r="Q38" i="3"/>
  <c r="R38" i="3"/>
  <c r="C39" i="3"/>
  <c r="D39" i="3"/>
  <c r="E39" i="3"/>
  <c r="F39" i="3"/>
  <c r="G39" i="3"/>
  <c r="J39" i="3"/>
  <c r="K39" i="3"/>
  <c r="O39" i="3"/>
  <c r="B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N41" i="3"/>
  <c r="O41" i="3"/>
  <c r="P41" i="3"/>
  <c r="Q41" i="3"/>
  <c r="R41" i="3"/>
  <c r="S41" i="3"/>
  <c r="B42" i="3"/>
  <c r="C42" i="3"/>
  <c r="G42" i="3"/>
  <c r="H42" i="3"/>
  <c r="I42" i="3"/>
  <c r="J42" i="3"/>
  <c r="K42" i="3"/>
  <c r="M42" i="3"/>
  <c r="N42" i="3"/>
  <c r="O42" i="3"/>
  <c r="P42" i="3"/>
  <c r="B43" i="3"/>
  <c r="G43" i="3"/>
  <c r="M43" i="3"/>
  <c r="N43" i="3"/>
  <c r="O43" i="3"/>
  <c r="P43" i="3"/>
  <c r="D44" i="3"/>
  <c r="E44" i="3"/>
  <c r="F44" i="3"/>
  <c r="G44" i="3"/>
  <c r="O44" i="3"/>
  <c r="Q44" i="3"/>
  <c r="B45" i="3"/>
  <c r="C45" i="3"/>
  <c r="E45" i="3"/>
  <c r="H45" i="3"/>
  <c r="L45" i="3"/>
  <c r="M45" i="3"/>
  <c r="N45" i="3"/>
  <c r="O45" i="3"/>
  <c r="R45" i="3"/>
  <c r="F46" i="3"/>
  <c r="G46" i="3"/>
  <c r="H46" i="3"/>
  <c r="L46" i="3"/>
  <c r="M46" i="3"/>
  <c r="O46" i="3"/>
  <c r="P46" i="3"/>
  <c r="Q46" i="3"/>
  <c r="R46" i="3"/>
  <c r="C47" i="3"/>
  <c r="E47" i="3"/>
  <c r="F47" i="3"/>
  <c r="G47" i="3"/>
  <c r="H47" i="3"/>
  <c r="I47" i="3"/>
  <c r="O47" i="3"/>
  <c r="P47" i="3"/>
  <c r="E48" i="3"/>
  <c r="G48" i="3"/>
  <c r="H48" i="3"/>
  <c r="M48" i="3"/>
  <c r="N48" i="3"/>
  <c r="O48" i="3"/>
  <c r="P48" i="3"/>
  <c r="Q48" i="3"/>
  <c r="B49" i="3"/>
  <c r="C49" i="3"/>
  <c r="D49" i="3"/>
  <c r="E49" i="3"/>
  <c r="F49" i="3"/>
  <c r="G49" i="3"/>
  <c r="H49" i="3"/>
  <c r="J49" i="3"/>
  <c r="M49" i="3"/>
  <c r="Q49" i="3"/>
  <c r="R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B52" i="3"/>
  <c r="C52" i="3"/>
  <c r="D52" i="3"/>
  <c r="E52" i="3"/>
  <c r="F52" i="3"/>
  <c r="G52" i="3"/>
  <c r="H52" i="3"/>
  <c r="J52" i="3"/>
  <c r="K52" i="3"/>
  <c r="L52" i="3"/>
  <c r="R52" i="3"/>
  <c r="B53" i="3"/>
  <c r="C53" i="3"/>
  <c r="D53" i="3"/>
  <c r="E53" i="3"/>
  <c r="F53" i="3"/>
  <c r="H53" i="3"/>
  <c r="Q53" i="3"/>
  <c r="B54" i="3"/>
  <c r="C54" i="3"/>
  <c r="F54" i="3"/>
  <c r="G54" i="3"/>
  <c r="H54" i="3"/>
  <c r="O54" i="3"/>
  <c r="P54" i="3"/>
  <c r="Q54" i="3"/>
  <c r="R54" i="3"/>
  <c r="F55" i="3"/>
  <c r="G55" i="3"/>
  <c r="H55" i="3"/>
  <c r="I55" i="3"/>
  <c r="J55" i="3"/>
  <c r="K55" i="3"/>
  <c r="M55" i="3"/>
  <c r="N55" i="3"/>
  <c r="B56" i="3"/>
  <c r="C56" i="3"/>
  <c r="D56" i="3"/>
  <c r="E56" i="3"/>
  <c r="F56" i="3"/>
  <c r="J56" i="3"/>
  <c r="K56" i="3"/>
  <c r="L56" i="3"/>
  <c r="M56" i="3"/>
  <c r="N56" i="3"/>
  <c r="O56" i="3"/>
  <c r="Q56" i="3"/>
  <c r="R56" i="3"/>
  <c r="B57" i="3"/>
  <c r="F57" i="3"/>
  <c r="L57" i="3"/>
  <c r="M57" i="3"/>
  <c r="N57" i="3"/>
  <c r="D58" i="3"/>
  <c r="E58" i="3"/>
  <c r="F58" i="3"/>
  <c r="K58" i="3"/>
  <c r="L58" i="3"/>
  <c r="M58" i="3"/>
  <c r="N58" i="3"/>
  <c r="O58" i="3"/>
  <c r="P58" i="3"/>
  <c r="Q58" i="3"/>
  <c r="R58" i="3"/>
  <c r="F59" i="3"/>
  <c r="J59" i="3"/>
  <c r="K59" i="3"/>
  <c r="L59" i="3"/>
  <c r="N59" i="3"/>
  <c r="O59" i="3"/>
  <c r="P59" i="3"/>
  <c r="Q59" i="3"/>
  <c r="R59" i="3"/>
  <c r="D60" i="3"/>
  <c r="H60" i="3"/>
  <c r="J60" i="3"/>
  <c r="K60" i="3"/>
  <c r="L60" i="3"/>
  <c r="P60" i="3"/>
  <c r="R60" i="3"/>
  <c r="G61" i="3"/>
  <c r="H61" i="3"/>
  <c r="I61" i="3"/>
  <c r="J61" i="3"/>
  <c r="K61" i="3"/>
  <c r="L61" i="3"/>
  <c r="M61" i="3"/>
  <c r="P61" i="3"/>
  <c r="Q61" i="3"/>
  <c r="B62" i="3"/>
  <c r="C62" i="3"/>
  <c r="D62" i="3"/>
  <c r="E62" i="3"/>
  <c r="F62" i="3"/>
  <c r="G62" i="3"/>
  <c r="H62" i="3"/>
  <c r="I62" i="3"/>
  <c r="L62" i="3"/>
  <c r="M62" i="3"/>
  <c r="O62" i="3"/>
  <c r="P62" i="3"/>
  <c r="F63" i="3"/>
  <c r="G63" i="3"/>
  <c r="H63" i="3"/>
  <c r="L63" i="3"/>
  <c r="M63" i="3"/>
  <c r="N63" i="3"/>
  <c r="P63" i="3"/>
  <c r="D64" i="3"/>
  <c r="N64" i="3"/>
  <c r="O64" i="3"/>
  <c r="R64" i="3"/>
  <c r="B65" i="3"/>
  <c r="I65" i="3"/>
  <c r="J65" i="3"/>
  <c r="K65" i="3"/>
  <c r="L65" i="3"/>
  <c r="N65" i="3"/>
  <c r="O65" i="3"/>
  <c r="B66" i="3"/>
  <c r="C66" i="3"/>
  <c r="D66" i="3"/>
  <c r="H66" i="3"/>
  <c r="I66" i="3"/>
  <c r="J66" i="3"/>
  <c r="K66" i="3"/>
  <c r="N66" i="3"/>
  <c r="O66" i="3"/>
  <c r="P66" i="3"/>
  <c r="Q66" i="3"/>
  <c r="R66" i="3"/>
  <c r="B67" i="3"/>
  <c r="C67" i="3"/>
  <c r="D67" i="3"/>
  <c r="E67" i="3"/>
  <c r="F67" i="3"/>
  <c r="G67" i="3"/>
  <c r="H67" i="3"/>
  <c r="I67" i="3"/>
  <c r="J67" i="3"/>
  <c r="K67" i="3"/>
  <c r="L67" i="3"/>
  <c r="D68" i="3"/>
  <c r="E68" i="3"/>
  <c r="F68" i="3"/>
  <c r="G68" i="3"/>
  <c r="O68" i="3"/>
  <c r="P68" i="3"/>
  <c r="Q68" i="3"/>
  <c r="R68" i="3"/>
  <c r="C69" i="3"/>
  <c r="E69" i="3"/>
  <c r="F69" i="3"/>
  <c r="G69" i="3"/>
  <c r="H69" i="3"/>
  <c r="J69" i="3"/>
  <c r="K69" i="3"/>
  <c r="L69" i="3"/>
  <c r="M69" i="3"/>
  <c r="N69" i="3"/>
  <c r="O69" i="3"/>
  <c r="P69" i="3"/>
  <c r="R69" i="3"/>
  <c r="D70" i="3"/>
  <c r="I70" i="3"/>
  <c r="J70" i="3"/>
  <c r="K70" i="3"/>
  <c r="L70" i="3"/>
  <c r="N70" i="3"/>
  <c r="B71" i="3"/>
  <c r="C71" i="3"/>
  <c r="F71" i="3"/>
  <c r="J71" i="3"/>
  <c r="N71" i="3"/>
  <c r="Q71" i="3"/>
  <c r="B72" i="3"/>
  <c r="D72" i="3"/>
  <c r="J72" i="3"/>
  <c r="K72" i="3"/>
  <c r="L72" i="3"/>
  <c r="N72" i="3"/>
  <c r="P72" i="3"/>
  <c r="Q72" i="3"/>
  <c r="R72" i="3"/>
  <c r="B73" i="3"/>
  <c r="C73" i="3"/>
  <c r="I73" i="3"/>
  <c r="K73" i="3"/>
  <c r="L73" i="3"/>
  <c r="M73" i="3"/>
  <c r="N73" i="3"/>
  <c r="O73" i="3"/>
  <c r="P73" i="3"/>
  <c r="R73" i="3"/>
  <c r="S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D75" i="3"/>
  <c r="E75" i="3"/>
  <c r="H75" i="3"/>
  <c r="J75" i="3"/>
  <c r="K75" i="3"/>
  <c r="L75" i="3"/>
  <c r="M75" i="3"/>
  <c r="N75" i="3"/>
  <c r="O75" i="3"/>
  <c r="D76" i="3"/>
  <c r="E76" i="3"/>
  <c r="F76" i="3"/>
  <c r="H76" i="3"/>
  <c r="I76" i="3"/>
  <c r="J76" i="3"/>
  <c r="M76" i="3"/>
  <c r="O76" i="3"/>
  <c r="Q76" i="3"/>
  <c r="B77" i="3"/>
  <c r="E77" i="3"/>
  <c r="F77" i="3"/>
  <c r="G77" i="3"/>
  <c r="H77" i="3"/>
  <c r="I77" i="3"/>
  <c r="J77" i="3"/>
  <c r="P77" i="3"/>
  <c r="B78" i="3"/>
  <c r="D78" i="3"/>
  <c r="E78" i="3"/>
  <c r="G78" i="3"/>
  <c r="H78" i="3"/>
  <c r="L78" i="3"/>
  <c r="M78" i="3"/>
  <c r="N78" i="3"/>
  <c r="O78" i="3"/>
  <c r="P78" i="3"/>
  <c r="Q78" i="3"/>
  <c r="R78" i="3"/>
  <c r="C79" i="3"/>
  <c r="D79" i="3"/>
  <c r="E79" i="3"/>
  <c r="F79" i="3"/>
  <c r="G79" i="3"/>
  <c r="H79" i="3"/>
  <c r="I79" i="3"/>
  <c r="J79" i="3"/>
  <c r="K79" i="3"/>
  <c r="L79" i="3"/>
  <c r="R79" i="3"/>
  <c r="H80" i="3"/>
  <c r="K80" i="3"/>
  <c r="M80" i="3"/>
  <c r="O80" i="3"/>
  <c r="P80" i="3"/>
  <c r="Q80" i="3"/>
  <c r="R80" i="3"/>
  <c r="S80" i="3"/>
  <c r="B81" i="3"/>
  <c r="C81" i="3"/>
  <c r="D81" i="3"/>
  <c r="E81" i="3"/>
  <c r="H81" i="3"/>
  <c r="J81" i="3"/>
  <c r="M81" i="3"/>
  <c r="N81" i="3"/>
  <c r="O81" i="3"/>
  <c r="P81" i="3"/>
  <c r="Q81" i="3"/>
  <c r="R81" i="3"/>
  <c r="E82" i="3"/>
  <c r="F82" i="3"/>
  <c r="K82" i="3"/>
  <c r="N82" i="3"/>
  <c r="O82" i="3"/>
  <c r="P82" i="3"/>
  <c r="R82" i="3"/>
  <c r="D83" i="3"/>
  <c r="E83" i="3"/>
  <c r="M83" i="3"/>
  <c r="N83" i="3"/>
  <c r="O83" i="3"/>
  <c r="P83" i="3"/>
  <c r="R83" i="3"/>
  <c r="G84" i="3"/>
  <c r="H84" i="3"/>
  <c r="I84" i="3"/>
  <c r="J84" i="3"/>
  <c r="K84" i="3"/>
  <c r="M84" i="3"/>
  <c r="O84" i="3"/>
  <c r="P84" i="3"/>
  <c r="D85" i="3"/>
  <c r="E85" i="3"/>
  <c r="F85" i="3"/>
  <c r="G85" i="3"/>
  <c r="H85" i="3"/>
  <c r="I85" i="3"/>
  <c r="J85" i="3"/>
  <c r="N85" i="3"/>
  <c r="Q85" i="3"/>
  <c r="R85" i="3"/>
  <c r="B86" i="3"/>
  <c r="C86" i="3"/>
  <c r="D86" i="3"/>
  <c r="E86" i="3"/>
  <c r="F86" i="3"/>
  <c r="G86" i="3"/>
  <c r="H86" i="3"/>
  <c r="J86" i="3"/>
  <c r="Q86" i="3"/>
  <c r="I87" i="3"/>
  <c r="L87" i="3"/>
  <c r="M87" i="3"/>
  <c r="P87" i="3"/>
  <c r="R87" i="3"/>
  <c r="J88" i="3"/>
  <c r="K88" i="3"/>
  <c r="L88" i="3"/>
  <c r="M88" i="3"/>
  <c r="N88" i="3"/>
  <c r="O88" i="3"/>
  <c r="P88" i="3"/>
  <c r="F89" i="3"/>
  <c r="G89" i="3"/>
  <c r="H89" i="3"/>
  <c r="I89" i="3"/>
  <c r="J89" i="3"/>
  <c r="L89" i="3"/>
  <c r="M89" i="3"/>
  <c r="R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C91" i="3"/>
  <c r="E91" i="3"/>
  <c r="F91" i="3"/>
  <c r="H91" i="3"/>
  <c r="I91" i="3"/>
  <c r="J91" i="3"/>
  <c r="K91" i="3"/>
  <c r="L91" i="3"/>
  <c r="Q91" i="3"/>
  <c r="B93" i="3"/>
  <c r="C93" i="3"/>
  <c r="D93" i="3"/>
  <c r="E93" i="3"/>
  <c r="G93" i="3"/>
  <c r="I93" i="3"/>
  <c r="J93" i="3"/>
  <c r="K93" i="3"/>
  <c r="L93" i="3"/>
  <c r="M93" i="3"/>
  <c r="N93" i="3"/>
  <c r="O93" i="3"/>
  <c r="P93" i="3"/>
  <c r="Q93" i="3"/>
  <c r="B94" i="3"/>
  <c r="C94" i="3"/>
  <c r="D94" i="3"/>
  <c r="E94" i="3"/>
  <c r="F94" i="3"/>
  <c r="G94" i="3"/>
  <c r="H94" i="3"/>
  <c r="I94" i="3"/>
  <c r="J94" i="3"/>
  <c r="P94" i="3"/>
  <c r="Q94" i="3"/>
  <c r="R94" i="3"/>
  <c r="I95" i="3"/>
  <c r="J95" i="3"/>
  <c r="K95" i="3"/>
  <c r="L95" i="3"/>
  <c r="M95" i="3"/>
  <c r="N95" i="3"/>
  <c r="O95" i="3"/>
  <c r="P95" i="3"/>
  <c r="Q95" i="3"/>
  <c r="R95" i="3"/>
  <c r="C96" i="3"/>
  <c r="J96" i="3"/>
  <c r="K96" i="3"/>
  <c r="R96" i="3"/>
  <c r="B97" i="3"/>
  <c r="C97" i="3"/>
  <c r="K97" i="3"/>
  <c r="L97" i="3"/>
  <c r="M97" i="3"/>
  <c r="C98" i="3"/>
  <c r="D98" i="3"/>
  <c r="E98" i="3"/>
  <c r="H98" i="3"/>
  <c r="I98" i="3"/>
  <c r="J98" i="3"/>
  <c r="K98" i="3"/>
  <c r="L98" i="3"/>
  <c r="M98" i="3"/>
  <c r="N98" i="3"/>
  <c r="O98" i="3"/>
  <c r="P98" i="3"/>
  <c r="Q98" i="3"/>
  <c r="D99" i="3"/>
  <c r="E99" i="3"/>
  <c r="F99" i="3"/>
  <c r="G99" i="3"/>
  <c r="H99" i="3"/>
  <c r="I99" i="3"/>
  <c r="J99" i="3"/>
  <c r="K99" i="3"/>
  <c r="L99" i="3"/>
  <c r="M99" i="3"/>
  <c r="N99" i="3"/>
  <c r="R99" i="3"/>
  <c r="G100" i="3"/>
  <c r="H100" i="3"/>
  <c r="I100" i="3"/>
  <c r="J100" i="3"/>
  <c r="K100" i="3"/>
  <c r="M100" i="3"/>
  <c r="O100" i="3"/>
  <c r="P100" i="3"/>
  <c r="Q100" i="3"/>
  <c r="R100" i="3"/>
  <c r="B101" i="3"/>
  <c r="H101" i="3"/>
  <c r="J101" i="3"/>
  <c r="K101" i="3"/>
  <c r="O101" i="3"/>
  <c r="P101" i="3"/>
  <c r="Q101" i="3"/>
  <c r="R101" i="3"/>
  <c r="E103" i="3"/>
  <c r="F103" i="3"/>
  <c r="H103" i="3"/>
  <c r="J103" i="3"/>
  <c r="K103" i="3"/>
  <c r="L103" i="3"/>
  <c r="M103" i="3"/>
  <c r="N103" i="3"/>
  <c r="O103" i="3"/>
  <c r="P103" i="3"/>
  <c r="Q103" i="3"/>
  <c r="R103" i="3"/>
  <c r="B104" i="3"/>
  <c r="C104" i="3"/>
  <c r="D104" i="3"/>
  <c r="E104" i="3"/>
  <c r="F104" i="3"/>
  <c r="J104" i="3"/>
  <c r="M104" i="3"/>
  <c r="N104" i="3"/>
  <c r="P104" i="3"/>
  <c r="R104" i="3"/>
  <c r="C105" i="3"/>
  <c r="D105" i="3"/>
  <c r="E105" i="3"/>
  <c r="F105" i="3"/>
  <c r="J105" i="3"/>
  <c r="L105" i="3"/>
  <c r="R105" i="3"/>
  <c r="B106" i="3"/>
  <c r="C106" i="3"/>
  <c r="D106" i="3"/>
  <c r="F106" i="3"/>
  <c r="H106" i="3"/>
  <c r="I106" i="3"/>
  <c r="J106" i="3"/>
  <c r="K106" i="3"/>
  <c r="L106" i="3"/>
  <c r="M106" i="3"/>
  <c r="O106" i="3"/>
  <c r="P106" i="3"/>
  <c r="C107" i="3"/>
  <c r="E107" i="3"/>
  <c r="I107" i="3"/>
  <c r="N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B109" i="3"/>
  <c r="C109" i="3"/>
  <c r="D109" i="3"/>
  <c r="E109" i="3"/>
  <c r="M109" i="3"/>
  <c r="L110" i="3"/>
  <c r="N110" i="3"/>
  <c r="P110" i="3"/>
  <c r="Q110" i="3"/>
  <c r="R110" i="3"/>
  <c r="B111" i="3"/>
  <c r="C111" i="3"/>
  <c r="E111" i="3"/>
  <c r="G111" i="3"/>
  <c r="H111" i="3"/>
  <c r="I111" i="3"/>
  <c r="J111" i="3"/>
  <c r="K111" i="3"/>
  <c r="L111" i="3"/>
  <c r="M111" i="3"/>
  <c r="N111" i="3"/>
  <c r="O111" i="3"/>
  <c r="P111" i="3"/>
  <c r="Q111" i="3"/>
  <c r="F112" i="3"/>
  <c r="B113" i="3"/>
  <c r="C113" i="3"/>
  <c r="D113" i="3"/>
  <c r="H113" i="3"/>
  <c r="I113" i="3"/>
  <c r="J113" i="3"/>
  <c r="K113" i="3"/>
  <c r="L113" i="3"/>
  <c r="M113" i="3"/>
  <c r="O113" i="3"/>
  <c r="P113" i="3"/>
  <c r="Q113" i="3"/>
  <c r="R113" i="3"/>
  <c r="D114" i="3"/>
  <c r="G114" i="3"/>
  <c r="L114" i="3"/>
  <c r="N114" i="3"/>
  <c r="R114" i="3"/>
  <c r="I115" i="3"/>
  <c r="M115" i="3"/>
  <c r="N115" i="3"/>
  <c r="O115" i="3"/>
  <c r="P115" i="3"/>
  <c r="D116" i="3"/>
  <c r="E116" i="3"/>
  <c r="F116" i="3"/>
  <c r="G116" i="3"/>
  <c r="H116" i="3"/>
  <c r="J116" i="3"/>
  <c r="K116" i="3"/>
  <c r="L116" i="3"/>
  <c r="M116" i="3"/>
  <c r="N116" i="3"/>
  <c r="O116" i="3"/>
  <c r="C117" i="3"/>
  <c r="F117" i="3"/>
  <c r="G117" i="3"/>
  <c r="H117" i="3"/>
  <c r="I117" i="3"/>
  <c r="J117" i="3"/>
  <c r="N117" i="3"/>
  <c r="O117" i="3"/>
  <c r="B118" i="3"/>
  <c r="C118" i="3"/>
  <c r="I118" i="3"/>
  <c r="J118" i="3"/>
  <c r="K118" i="3"/>
  <c r="L118" i="3"/>
  <c r="M118" i="3"/>
  <c r="N118" i="3"/>
  <c r="O118" i="3"/>
  <c r="P118" i="3"/>
  <c r="Q118" i="3"/>
  <c r="R118" i="3"/>
  <c r="B119" i="3"/>
  <c r="C119" i="3"/>
  <c r="F119" i="3"/>
  <c r="I119" i="3"/>
  <c r="L119" i="3"/>
  <c r="L120" i="3"/>
  <c r="M120" i="3"/>
  <c r="N120" i="3"/>
  <c r="P120" i="3"/>
  <c r="Q120" i="3"/>
  <c r="R120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Q127" i="3"/>
  <c r="A2" i="4"/>
  <c r="B13" i="4"/>
  <c r="C13" i="4"/>
  <c r="D13" i="4"/>
  <c r="E13" i="4"/>
  <c r="F13" i="4"/>
  <c r="G13" i="4"/>
  <c r="H13" i="4"/>
  <c r="I13" i="4"/>
  <c r="J13" i="4"/>
  <c r="J123" i="4" s="1"/>
  <c r="B32" i="6" s="1"/>
  <c r="G32" i="6" s="1"/>
  <c r="K13" i="4"/>
  <c r="L13" i="4"/>
  <c r="M13" i="4"/>
  <c r="N13" i="4"/>
  <c r="O13" i="4"/>
  <c r="P13" i="4"/>
  <c r="Q13" i="4"/>
  <c r="R13" i="4"/>
  <c r="B14" i="4"/>
  <c r="S14" i="4" s="1"/>
  <c r="C14" i="4"/>
  <c r="C123" i="4" s="1"/>
  <c r="B18" i="6" s="1"/>
  <c r="G18" i="6" s="1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B17" i="4"/>
  <c r="C17" i="4"/>
  <c r="D17" i="4"/>
  <c r="E17" i="4"/>
  <c r="S17" i="4" s="1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B19" i="4"/>
  <c r="C19" i="4"/>
  <c r="S19" i="4" s="1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B21" i="4"/>
  <c r="C21" i="4"/>
  <c r="D21" i="4"/>
  <c r="E21" i="4"/>
  <c r="F21" i="4"/>
  <c r="G21" i="4"/>
  <c r="H21" i="4"/>
  <c r="I21" i="4"/>
  <c r="I123" i="4" s="1"/>
  <c r="B30" i="6" s="1"/>
  <c r="G30" i="6" s="1"/>
  <c r="J21" i="4"/>
  <c r="K21" i="4"/>
  <c r="L21" i="4"/>
  <c r="M21" i="4"/>
  <c r="N21" i="4"/>
  <c r="O21" i="4"/>
  <c r="P21" i="4"/>
  <c r="Q21" i="4"/>
  <c r="R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B25" i="4"/>
  <c r="S25" i="4" s="1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B28" i="4"/>
  <c r="S28" i="4" s="1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B32" i="4"/>
  <c r="C32" i="4"/>
  <c r="S32" i="4" s="1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B36" i="4"/>
  <c r="S36" i="4" s="1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B39" i="4"/>
  <c r="S39" i="4" s="1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B43" i="4"/>
  <c r="S43" i="4" s="1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B50" i="4"/>
  <c r="C50" i="4"/>
  <c r="S50" i="4" s="1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B55" i="4"/>
  <c r="C55" i="4"/>
  <c r="D55" i="4"/>
  <c r="E55" i="4"/>
  <c r="F55" i="4"/>
  <c r="G55" i="4"/>
  <c r="S55" i="4" s="1"/>
  <c r="H55" i="4"/>
  <c r="I55" i="4"/>
  <c r="J55" i="4"/>
  <c r="K55" i="4"/>
  <c r="L55" i="4"/>
  <c r="M55" i="4"/>
  <c r="N55" i="4"/>
  <c r="O55" i="4"/>
  <c r="P55" i="4"/>
  <c r="Q55" i="4"/>
  <c r="R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S56" i="4" s="1"/>
  <c r="Q56" i="4"/>
  <c r="R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B61" i="4"/>
  <c r="S61" i="4" s="1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B65" i="4"/>
  <c r="S65" i="4" s="1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B70" i="4"/>
  <c r="S70" i="4" s="1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B81" i="4"/>
  <c r="C81" i="4"/>
  <c r="S81" i="4" s="1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B84" i="4"/>
  <c r="C84" i="4"/>
  <c r="S84" i="4" s="1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B91" i="4"/>
  <c r="S91" i="4" s="1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B92" i="4"/>
  <c r="S92" i="4" s="1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B95" i="4"/>
  <c r="S95" i="4" s="1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B102" i="4"/>
  <c r="C102" i="4"/>
  <c r="D102" i="4"/>
  <c r="E102" i="4"/>
  <c r="S102" i="4" s="1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B113" i="4"/>
  <c r="C113" i="4"/>
  <c r="D113" i="4"/>
  <c r="E113" i="4"/>
  <c r="F113" i="4"/>
  <c r="S113" i="4" s="1"/>
  <c r="G113" i="4"/>
  <c r="H113" i="4"/>
  <c r="I113" i="4"/>
  <c r="J113" i="4"/>
  <c r="K113" i="4"/>
  <c r="L113" i="4"/>
  <c r="M113" i="4"/>
  <c r="N113" i="4"/>
  <c r="O113" i="4"/>
  <c r="P113" i="4"/>
  <c r="Q113" i="4"/>
  <c r="R113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A2" i="17"/>
  <c r="K2" i="17"/>
  <c r="I3" i="17"/>
  <c r="I4" i="17"/>
  <c r="B10" i="17"/>
  <c r="N10" i="17"/>
  <c r="N27" i="17" s="1"/>
  <c r="B11" i="17"/>
  <c r="D9" i="18" s="1"/>
  <c r="N11" i="17"/>
  <c r="N12" i="17"/>
  <c r="N13" i="17"/>
  <c r="N14" i="17"/>
  <c r="B15" i="17"/>
  <c r="N15" i="17"/>
  <c r="N16" i="17"/>
  <c r="N17" i="17"/>
  <c r="N18" i="17"/>
  <c r="B19" i="17"/>
  <c r="N19" i="17"/>
  <c r="E20" i="17"/>
  <c r="E27" i="17" s="1"/>
  <c r="N20" i="17"/>
  <c r="N21" i="17"/>
  <c r="N22" i="17"/>
  <c r="N23" i="17"/>
  <c r="N24" i="17"/>
  <c r="N25" i="17"/>
  <c r="N26" i="17"/>
  <c r="A31" i="17"/>
  <c r="E54" i="17"/>
  <c r="B4" i="19" s="1"/>
  <c r="A59" i="17"/>
  <c r="D85" i="17"/>
  <c r="E85" i="17"/>
  <c r="B4" i="20" s="1"/>
  <c r="F85" i="17"/>
  <c r="A101" i="17"/>
  <c r="N107" i="17"/>
  <c r="N108" i="17"/>
  <c r="N109" i="17"/>
  <c r="S109" i="17"/>
  <c r="L110" i="17"/>
  <c r="N111" i="17"/>
  <c r="N112" i="17"/>
  <c r="M113" i="17"/>
  <c r="A2" i="18"/>
  <c r="G8" i="18"/>
  <c r="G9" i="18"/>
  <c r="I11" i="18"/>
  <c r="G12" i="18"/>
  <c r="I18" i="18"/>
  <c r="G19" i="18"/>
  <c r="G20" i="18"/>
  <c r="I25" i="18"/>
  <c r="D26" i="18"/>
  <c r="G26" i="18"/>
  <c r="G27" i="18"/>
  <c r="G28" i="18"/>
  <c r="I30" i="18"/>
  <c r="G31" i="18"/>
  <c r="I33" i="18"/>
  <c r="D34" i="18"/>
  <c r="G34" i="18"/>
  <c r="I36" i="18"/>
  <c r="G37" i="18"/>
  <c r="I40" i="18"/>
  <c r="G41" i="18"/>
  <c r="G42" i="18"/>
  <c r="I46" i="18"/>
  <c r="G47" i="18"/>
  <c r="I49" i="18"/>
  <c r="G50" i="18"/>
  <c r="G51" i="18"/>
  <c r="I54" i="18"/>
  <c r="G55" i="18"/>
  <c r="I57" i="18"/>
  <c r="H4" i="19"/>
  <c r="H25" i="19" s="1"/>
  <c r="H5" i="19"/>
  <c r="H6" i="19"/>
  <c r="H27" i="19" s="1"/>
  <c r="H7" i="19"/>
  <c r="H28" i="19" s="1"/>
  <c r="H8" i="19"/>
  <c r="H29" i="19" s="1"/>
  <c r="H9" i="19"/>
  <c r="H10" i="19"/>
  <c r="H11" i="19"/>
  <c r="H32" i="19" s="1"/>
  <c r="H12" i="19"/>
  <c r="H33" i="19" s="1"/>
  <c r="H13" i="19"/>
  <c r="H34" i="19" s="1"/>
  <c r="H14" i="19"/>
  <c r="H15" i="19"/>
  <c r="H36" i="19" s="1"/>
  <c r="H16" i="19"/>
  <c r="H17" i="19"/>
  <c r="H38" i="19" s="1"/>
  <c r="H18" i="19"/>
  <c r="H39" i="19" s="1"/>
  <c r="H19" i="19"/>
  <c r="H20" i="19"/>
  <c r="F21" i="19"/>
  <c r="H21" i="19"/>
  <c r="E25" i="19"/>
  <c r="J25" i="19"/>
  <c r="K25" i="19"/>
  <c r="E26" i="19"/>
  <c r="H26" i="19"/>
  <c r="J26" i="19"/>
  <c r="K26" i="19"/>
  <c r="T26" i="19"/>
  <c r="E27" i="19"/>
  <c r="J27" i="19"/>
  <c r="K27" i="19"/>
  <c r="E28" i="19"/>
  <c r="J28" i="19"/>
  <c r="K28" i="19" s="1"/>
  <c r="C29" i="19"/>
  <c r="E29" i="19"/>
  <c r="F29" i="19"/>
  <c r="J29" i="19"/>
  <c r="K29" i="19" s="1"/>
  <c r="T29" i="19"/>
  <c r="E30" i="19"/>
  <c r="H30" i="19"/>
  <c r="J30" i="19"/>
  <c r="K30" i="19"/>
  <c r="T30" i="19"/>
  <c r="E31" i="19"/>
  <c r="H31" i="19"/>
  <c r="J31" i="19"/>
  <c r="K31" i="19"/>
  <c r="E32" i="19"/>
  <c r="J32" i="19"/>
  <c r="K32" i="19" s="1"/>
  <c r="E33" i="19"/>
  <c r="J33" i="19"/>
  <c r="K33" i="19" s="1"/>
  <c r="E34" i="19"/>
  <c r="J34" i="19"/>
  <c r="K34" i="19" s="1"/>
  <c r="T34" i="19" s="1"/>
  <c r="E35" i="19"/>
  <c r="H35" i="19"/>
  <c r="J35" i="19"/>
  <c r="K35" i="19"/>
  <c r="E36" i="19"/>
  <c r="J36" i="19"/>
  <c r="K36" i="19"/>
  <c r="T36" i="19"/>
  <c r="E37" i="19"/>
  <c r="H37" i="19"/>
  <c r="J37" i="19"/>
  <c r="K37" i="19"/>
  <c r="E38" i="19"/>
  <c r="J38" i="19"/>
  <c r="K38" i="19"/>
  <c r="E39" i="19"/>
  <c r="J39" i="19"/>
  <c r="K39" i="19" s="1"/>
  <c r="E40" i="19"/>
  <c r="H40" i="19"/>
  <c r="J40" i="19"/>
  <c r="K40" i="19"/>
  <c r="E41" i="19"/>
  <c r="H41" i="19"/>
  <c r="J41" i="19"/>
  <c r="K41" i="19" s="1"/>
  <c r="T41" i="19"/>
  <c r="B42" i="19"/>
  <c r="C35" i="19" s="1"/>
  <c r="F35" i="19" s="1"/>
  <c r="D42" i="19"/>
  <c r="H4" i="20"/>
  <c r="H5" i="20"/>
  <c r="H6" i="20"/>
  <c r="H7" i="20"/>
  <c r="J34" i="20" s="1"/>
  <c r="H8" i="20"/>
  <c r="H9" i="20"/>
  <c r="J40" i="20" s="1"/>
  <c r="H10" i="20"/>
  <c r="H11" i="20"/>
  <c r="H12" i="20"/>
  <c r="H13" i="20"/>
  <c r="J45" i="20" s="1"/>
  <c r="H14" i="20"/>
  <c r="H15" i="20"/>
  <c r="H16" i="20"/>
  <c r="D103" i="20" s="1"/>
  <c r="H17" i="20"/>
  <c r="H18" i="20"/>
  <c r="J54" i="20" s="1"/>
  <c r="H19" i="20"/>
  <c r="D108" i="20" s="1"/>
  <c r="H20" i="20"/>
  <c r="J58" i="20" s="1"/>
  <c r="F21" i="20"/>
  <c r="E25" i="20"/>
  <c r="L25" i="20"/>
  <c r="M25" i="20"/>
  <c r="E26" i="20"/>
  <c r="J26" i="20"/>
  <c r="L26" i="20"/>
  <c r="M26" i="20"/>
  <c r="E27" i="20"/>
  <c r="W27" i="20"/>
  <c r="E28" i="20"/>
  <c r="G28" i="20"/>
  <c r="L28" i="20"/>
  <c r="M28" i="20"/>
  <c r="E29" i="20"/>
  <c r="W29" i="20"/>
  <c r="E30" i="20"/>
  <c r="W30" i="20"/>
  <c r="E31" i="20"/>
  <c r="W31" i="20"/>
  <c r="E32" i="20"/>
  <c r="W32" i="20"/>
  <c r="E33" i="20"/>
  <c r="W33" i="20"/>
  <c r="E34" i="20"/>
  <c r="L34" i="20"/>
  <c r="M34" i="20"/>
  <c r="E35" i="20"/>
  <c r="J35" i="20"/>
  <c r="L35" i="20"/>
  <c r="M35" i="20" s="1"/>
  <c r="E36" i="20"/>
  <c r="W36" i="20"/>
  <c r="E37" i="20"/>
  <c r="W37" i="20"/>
  <c r="E38" i="20"/>
  <c r="W38" i="20"/>
  <c r="E39" i="20"/>
  <c r="W39" i="20"/>
  <c r="E40" i="20"/>
  <c r="L40" i="20"/>
  <c r="M40" i="20"/>
  <c r="E41" i="20"/>
  <c r="G41" i="20"/>
  <c r="L41" i="20"/>
  <c r="M41" i="20"/>
  <c r="E42" i="20"/>
  <c r="L42" i="20"/>
  <c r="M42" i="20"/>
  <c r="E43" i="20"/>
  <c r="W43" i="20"/>
  <c r="E44" i="20"/>
  <c r="L44" i="20"/>
  <c r="M44" i="20" s="1"/>
  <c r="E45" i="20"/>
  <c r="L45" i="20"/>
  <c r="M45" i="20"/>
  <c r="E46" i="20"/>
  <c r="W46" i="20"/>
  <c r="E47" i="20"/>
  <c r="G47" i="20"/>
  <c r="J47" i="20"/>
  <c r="L47" i="20"/>
  <c r="M47" i="20" s="1"/>
  <c r="E48" i="20"/>
  <c r="W48" i="20"/>
  <c r="E49" i="20"/>
  <c r="W49" i="20"/>
  <c r="C50" i="20"/>
  <c r="E50" i="20"/>
  <c r="L50" i="20"/>
  <c r="M50" i="20"/>
  <c r="E51" i="20"/>
  <c r="G51" i="20"/>
  <c r="J51" i="20"/>
  <c r="L51" i="20"/>
  <c r="M51" i="20" s="1"/>
  <c r="E52" i="20"/>
  <c r="G52" i="20"/>
  <c r="J52" i="20"/>
  <c r="L52" i="20"/>
  <c r="M52" i="20"/>
  <c r="E53" i="20"/>
  <c r="W53" i="20"/>
  <c r="E54" i="20"/>
  <c r="L54" i="20"/>
  <c r="M54" i="20"/>
  <c r="E55" i="20"/>
  <c r="J55" i="20"/>
  <c r="L55" i="20"/>
  <c r="M55" i="20"/>
  <c r="E56" i="20"/>
  <c r="W56" i="20"/>
  <c r="E57" i="20"/>
  <c r="W57" i="20"/>
  <c r="E58" i="20"/>
  <c r="G58" i="20"/>
  <c r="L58" i="20"/>
  <c r="M58" i="20" s="1"/>
  <c r="E59" i="20"/>
  <c r="W59" i="20"/>
  <c r="B60" i="20"/>
  <c r="D60" i="20"/>
  <c r="F60" i="20"/>
  <c r="A64" i="20"/>
  <c r="D72" i="20"/>
  <c r="F74" i="20"/>
  <c r="I74" i="20"/>
  <c r="F81" i="20"/>
  <c r="I81" i="20"/>
  <c r="D82" i="20"/>
  <c r="D83" i="20"/>
  <c r="F88" i="20"/>
  <c r="I88" i="20"/>
  <c r="D89" i="20"/>
  <c r="F93" i="20"/>
  <c r="I93" i="20"/>
  <c r="D95" i="20"/>
  <c r="F97" i="20"/>
  <c r="I97" i="20"/>
  <c r="D98" i="20"/>
  <c r="I101" i="20"/>
  <c r="D104" i="20"/>
  <c r="F106" i="20"/>
  <c r="I106" i="20"/>
  <c r="D107" i="20"/>
  <c r="F111" i="20"/>
  <c r="I111" i="20"/>
  <c r="D112" i="20"/>
  <c r="F114" i="20"/>
  <c r="I114" i="20"/>
  <c r="A2" i="6"/>
  <c r="D49" i="6"/>
  <c r="B51" i="6"/>
  <c r="G51" i="6" s="1"/>
  <c r="C53" i="6"/>
  <c r="D53" i="6"/>
  <c r="C14" i="12" s="1"/>
  <c r="A2" i="7"/>
  <c r="C10" i="7"/>
  <c r="E10" i="7"/>
  <c r="F10" i="7"/>
  <c r="C11" i="7"/>
  <c r="E11" i="7"/>
  <c r="C12" i="7"/>
  <c r="E12" i="7"/>
  <c r="F12" i="7"/>
  <c r="C13" i="7"/>
  <c r="E13" i="7"/>
  <c r="F13" i="7"/>
  <c r="C14" i="7"/>
  <c r="E14" i="7"/>
  <c r="E40" i="7" s="1"/>
  <c r="F14" i="7"/>
  <c r="C15" i="7"/>
  <c r="E15" i="7"/>
  <c r="F15" i="7" s="1"/>
  <c r="C16" i="7"/>
  <c r="F16" i="7" s="1"/>
  <c r="E16" i="7"/>
  <c r="C17" i="7"/>
  <c r="F17" i="7" s="1"/>
  <c r="E17" i="7"/>
  <c r="C18" i="7"/>
  <c r="E18" i="7"/>
  <c r="F18" i="7"/>
  <c r="C19" i="7"/>
  <c r="E19" i="7"/>
  <c r="C20" i="7"/>
  <c r="F20" i="7" s="1"/>
  <c r="E20" i="7"/>
  <c r="C21" i="7"/>
  <c r="E21" i="7"/>
  <c r="F21" i="7"/>
  <c r="C22" i="7"/>
  <c r="E22" i="7"/>
  <c r="C23" i="7"/>
  <c r="E23" i="7"/>
  <c r="F23" i="7"/>
  <c r="C24" i="7"/>
  <c r="E24" i="7"/>
  <c r="F24" i="7"/>
  <c r="C25" i="7"/>
  <c r="F25" i="7" s="1"/>
  <c r="E25" i="7"/>
  <c r="C26" i="7"/>
  <c r="E26" i="7"/>
  <c r="C27" i="7"/>
  <c r="E27" i="7"/>
  <c r="F27" i="7"/>
  <c r="C28" i="7"/>
  <c r="E28" i="7"/>
  <c r="F28" i="7"/>
  <c r="C29" i="7"/>
  <c r="E29" i="7"/>
  <c r="F29" i="7"/>
  <c r="C30" i="7"/>
  <c r="E30" i="7"/>
  <c r="F30" i="7" s="1"/>
  <c r="C31" i="7"/>
  <c r="E31" i="7"/>
  <c r="F31" i="7"/>
  <c r="C32" i="7"/>
  <c r="F32" i="7" s="1"/>
  <c r="E32" i="7"/>
  <c r="C33" i="7"/>
  <c r="E33" i="7"/>
  <c r="F33" i="7"/>
  <c r="C34" i="7"/>
  <c r="F34" i="7" s="1"/>
  <c r="E34" i="7"/>
  <c r="C35" i="7"/>
  <c r="E35" i="7"/>
  <c r="C36" i="7"/>
  <c r="E36" i="7"/>
  <c r="F36" i="7"/>
  <c r="C37" i="7"/>
  <c r="E37" i="7"/>
  <c r="F37" i="7"/>
  <c r="C38" i="7"/>
  <c r="E38" i="7"/>
  <c r="F38" i="7" s="1"/>
  <c r="B40" i="7"/>
  <c r="D40" i="7"/>
  <c r="A2" i="8"/>
  <c r="T9" i="8"/>
  <c r="U9" i="8"/>
  <c r="V9" i="8"/>
  <c r="W9" i="8"/>
  <c r="T10" i="8"/>
  <c r="W10" i="8" s="1"/>
  <c r="U10" i="8"/>
  <c r="T11" i="8"/>
  <c r="U11" i="8"/>
  <c r="V11" i="8"/>
  <c r="T12" i="8"/>
  <c r="W12" i="8" s="1"/>
  <c r="U12" i="8"/>
  <c r="T13" i="8"/>
  <c r="U13" i="8"/>
  <c r="W13" i="8"/>
  <c r="D14" i="8"/>
  <c r="T14" i="8" s="1"/>
  <c r="E14" i="8"/>
  <c r="D15" i="8"/>
  <c r="E15" i="8"/>
  <c r="U15" i="8" s="1"/>
  <c r="T15" i="8"/>
  <c r="W15" i="8"/>
  <c r="F16" i="8"/>
  <c r="T16" i="8"/>
  <c r="U16" i="8"/>
  <c r="W16" i="8"/>
  <c r="G17" i="8"/>
  <c r="G27" i="8" s="1"/>
  <c r="T17" i="8"/>
  <c r="U17" i="8"/>
  <c r="T18" i="8"/>
  <c r="U18" i="8"/>
  <c r="W18" i="8" s="1"/>
  <c r="T19" i="8"/>
  <c r="U19" i="8"/>
  <c r="W19" i="8" s="1"/>
  <c r="T20" i="8"/>
  <c r="U20" i="8"/>
  <c r="W20" i="8"/>
  <c r="T21" i="8"/>
  <c r="U21" i="8"/>
  <c r="W21" i="8" s="1"/>
  <c r="T22" i="8"/>
  <c r="W22" i="8" s="1"/>
  <c r="U22" i="8"/>
  <c r="R23" i="8"/>
  <c r="R27" i="8" s="1"/>
  <c r="T23" i="8"/>
  <c r="U23" i="8"/>
  <c r="R24" i="8"/>
  <c r="T24" i="8"/>
  <c r="W24" i="8" s="1"/>
  <c r="U24" i="8"/>
  <c r="T25" i="8"/>
  <c r="W25" i="8" s="1"/>
  <c r="U25" i="8"/>
  <c r="B27" i="8"/>
  <c r="C27" i="8"/>
  <c r="D27" i="8"/>
  <c r="F27" i="8"/>
  <c r="H27" i="8"/>
  <c r="I27" i="8"/>
  <c r="J27" i="8"/>
  <c r="K27" i="8"/>
  <c r="L27" i="8"/>
  <c r="M27" i="8"/>
  <c r="N27" i="8"/>
  <c r="O27" i="8"/>
  <c r="P27" i="8"/>
  <c r="Q27" i="8"/>
  <c r="S27" i="8"/>
  <c r="T27" i="8"/>
  <c r="V27" i="8"/>
  <c r="A2" i="9"/>
  <c r="L2" i="9"/>
  <c r="J8" i="9"/>
  <c r="M8" i="9"/>
  <c r="J9" i="9"/>
  <c r="M9" i="9" s="1"/>
  <c r="J10" i="9"/>
  <c r="M10" i="9"/>
  <c r="J11" i="9"/>
  <c r="M11" i="9" s="1"/>
  <c r="R11" i="9"/>
  <c r="J12" i="9"/>
  <c r="M12" i="9"/>
  <c r="R12" i="9"/>
  <c r="R25" i="9" s="1"/>
  <c r="J13" i="9"/>
  <c r="M13" i="9"/>
  <c r="J14" i="9"/>
  <c r="M14" i="9"/>
  <c r="J15" i="9"/>
  <c r="M15" i="9"/>
  <c r="R15" i="9"/>
  <c r="J16" i="9"/>
  <c r="M16" i="9"/>
  <c r="J17" i="9"/>
  <c r="M17" i="9" s="1"/>
  <c r="J18" i="9"/>
  <c r="M18" i="9"/>
  <c r="J19" i="9"/>
  <c r="M19" i="9"/>
  <c r="J20" i="9"/>
  <c r="M20" i="9"/>
  <c r="J21" i="9"/>
  <c r="M21" i="9"/>
  <c r="J22" i="9"/>
  <c r="M22" i="9"/>
  <c r="J23" i="9"/>
  <c r="M23" i="9"/>
  <c r="J24" i="9"/>
  <c r="M24" i="9" s="1"/>
  <c r="B25" i="9"/>
  <c r="C25" i="9"/>
  <c r="D25" i="9"/>
  <c r="E25" i="9"/>
  <c r="F25" i="9"/>
  <c r="G25" i="9"/>
  <c r="H25" i="9"/>
  <c r="I25" i="9"/>
  <c r="T25" i="9"/>
  <c r="T27" i="9"/>
  <c r="J28" i="9"/>
  <c r="T30" i="9"/>
  <c r="A2" i="10"/>
  <c r="A7" i="10"/>
  <c r="S13" i="10"/>
  <c r="S14" i="10"/>
  <c r="T14" i="10"/>
  <c r="S15" i="10"/>
  <c r="T15" i="10"/>
  <c r="S16" i="10"/>
  <c r="T16" i="10"/>
  <c r="S17" i="10"/>
  <c r="T17" i="10" s="1"/>
  <c r="S18" i="10"/>
  <c r="T18" i="10" s="1"/>
  <c r="S19" i="10"/>
  <c r="T19" i="10"/>
  <c r="S20" i="10"/>
  <c r="T20" i="10"/>
  <c r="S21" i="10"/>
  <c r="T21" i="10"/>
  <c r="S22" i="10"/>
  <c r="T22" i="10"/>
  <c r="S23" i="10"/>
  <c r="T23" i="10"/>
  <c r="S24" i="10"/>
  <c r="T24" i="10"/>
  <c r="S25" i="10"/>
  <c r="T25" i="10"/>
  <c r="S26" i="10"/>
  <c r="T26" i="10" s="1"/>
  <c r="S27" i="10"/>
  <c r="T27" i="10"/>
  <c r="S28" i="10"/>
  <c r="T28" i="10" s="1"/>
  <c r="S29" i="10"/>
  <c r="T29" i="10"/>
  <c r="S30" i="10"/>
  <c r="T30" i="10" s="1"/>
  <c r="S31" i="10"/>
  <c r="T31" i="10" s="1"/>
  <c r="S32" i="10"/>
  <c r="T32" i="10" s="1"/>
  <c r="S33" i="10"/>
  <c r="T33" i="10"/>
  <c r="S34" i="10"/>
  <c r="T34" i="10"/>
  <c r="S35" i="10"/>
  <c r="T35" i="10" s="1"/>
  <c r="S36" i="10"/>
  <c r="T36" i="10"/>
  <c r="S37" i="10"/>
  <c r="T37" i="10"/>
  <c r="S38" i="10"/>
  <c r="T38" i="10" s="1"/>
  <c r="S39" i="10"/>
  <c r="T39" i="10"/>
  <c r="S40" i="10"/>
  <c r="T40" i="10" s="1"/>
  <c r="S41" i="10"/>
  <c r="T41" i="10"/>
  <c r="S42" i="10"/>
  <c r="T42" i="10"/>
  <c r="S43" i="10"/>
  <c r="T43" i="10"/>
  <c r="S44" i="10"/>
  <c r="T44" i="10"/>
  <c r="S45" i="10"/>
  <c r="T45" i="10"/>
  <c r="S46" i="10"/>
  <c r="T46" i="10"/>
  <c r="S47" i="10"/>
  <c r="T47" i="10"/>
  <c r="S48" i="10"/>
  <c r="T48" i="10"/>
  <c r="S49" i="10"/>
  <c r="T49" i="10"/>
  <c r="S50" i="10"/>
  <c r="T50" i="10" s="1"/>
  <c r="S51" i="10"/>
  <c r="T51" i="10" s="1"/>
  <c r="S52" i="10"/>
  <c r="T52" i="10"/>
  <c r="S53" i="10"/>
  <c r="T53" i="10"/>
  <c r="S54" i="10"/>
  <c r="T54" i="10" s="1"/>
  <c r="S55" i="10"/>
  <c r="T55" i="10"/>
  <c r="S56" i="10"/>
  <c r="T56" i="10"/>
  <c r="S57" i="10"/>
  <c r="T57" i="10" s="1"/>
  <c r="S58" i="10"/>
  <c r="T58" i="10"/>
  <c r="S59" i="10"/>
  <c r="T59" i="10"/>
  <c r="S60" i="10"/>
  <c r="T60" i="10"/>
  <c r="S61" i="10"/>
  <c r="T61" i="10"/>
  <c r="S62" i="10"/>
  <c r="T62" i="10"/>
  <c r="S63" i="10"/>
  <c r="T63" i="10"/>
  <c r="S64" i="10"/>
  <c r="T64" i="10"/>
  <c r="S65" i="10"/>
  <c r="T65" i="10"/>
  <c r="S66" i="10"/>
  <c r="T66" i="10"/>
  <c r="S67" i="10"/>
  <c r="T67" i="10"/>
  <c r="S68" i="10"/>
  <c r="T68" i="10"/>
  <c r="S69" i="10"/>
  <c r="T69" i="10" s="1"/>
  <c r="S70" i="10"/>
  <c r="T70" i="10" s="1"/>
  <c r="S71" i="10"/>
  <c r="T71" i="10" s="1"/>
  <c r="S72" i="10"/>
  <c r="T72" i="10" s="1"/>
  <c r="S73" i="10"/>
  <c r="T73" i="10"/>
  <c r="S74" i="10"/>
  <c r="T74" i="10"/>
  <c r="S75" i="10"/>
  <c r="T75" i="10" s="1"/>
  <c r="S76" i="10"/>
  <c r="T76" i="10"/>
  <c r="S77" i="10"/>
  <c r="T77" i="10" s="1"/>
  <c r="S78" i="10"/>
  <c r="T78" i="10" s="1"/>
  <c r="S79" i="10"/>
  <c r="T79" i="10" s="1"/>
  <c r="S80" i="10"/>
  <c r="T80" i="10"/>
  <c r="S81" i="10"/>
  <c r="T81" i="10"/>
  <c r="S82" i="10"/>
  <c r="T82" i="10"/>
  <c r="S83" i="10"/>
  <c r="T83" i="10" s="1"/>
  <c r="S84" i="10"/>
  <c r="T84" i="10"/>
  <c r="S85" i="10"/>
  <c r="T85" i="10"/>
  <c r="S86" i="10"/>
  <c r="T86" i="10"/>
  <c r="S87" i="10"/>
  <c r="T87" i="10"/>
  <c r="S88" i="10"/>
  <c r="T88" i="10"/>
  <c r="S89" i="10"/>
  <c r="T89" i="10"/>
  <c r="S90" i="10"/>
  <c r="T90" i="10" s="1"/>
  <c r="S91" i="10"/>
  <c r="T91" i="10" s="1"/>
  <c r="S92" i="10"/>
  <c r="T92" i="10"/>
  <c r="S93" i="10"/>
  <c r="T93" i="10"/>
  <c r="S94" i="10"/>
  <c r="T94" i="10"/>
  <c r="S95" i="10"/>
  <c r="T95" i="10" s="1"/>
  <c r="S96" i="10"/>
  <c r="T96" i="10" s="1"/>
  <c r="S97" i="10"/>
  <c r="T97" i="10" s="1"/>
  <c r="S98" i="10"/>
  <c r="T98" i="10"/>
  <c r="S99" i="10"/>
  <c r="T99" i="10" s="1"/>
  <c r="B101" i="10"/>
  <c r="C101" i="10"/>
  <c r="C15" i="11" s="1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B105" i="10"/>
  <c r="C105" i="10"/>
  <c r="C107" i="10" s="1"/>
  <c r="B107" i="10"/>
  <c r="B109" i="10"/>
  <c r="C109" i="10"/>
  <c r="B111" i="10"/>
  <c r="C111" i="10"/>
  <c r="A2" i="22"/>
  <c r="A7" i="22"/>
  <c r="H13" i="22"/>
  <c r="I13" i="22"/>
  <c r="J13" i="22"/>
  <c r="K13" i="22"/>
  <c r="L13" i="22"/>
  <c r="H14" i="22"/>
  <c r="I14" i="22"/>
  <c r="J14" i="22"/>
  <c r="K14" i="22"/>
  <c r="L14" i="22"/>
  <c r="H15" i="22"/>
  <c r="I15" i="22"/>
  <c r="L15" i="22" s="1"/>
  <c r="J15" i="22"/>
  <c r="K15" i="22"/>
  <c r="K128" i="22" s="1"/>
  <c r="K132" i="22" s="1"/>
  <c r="H16" i="22"/>
  <c r="I16" i="22"/>
  <c r="J16" i="22"/>
  <c r="K16" i="22"/>
  <c r="H17" i="22"/>
  <c r="I17" i="22"/>
  <c r="J17" i="22"/>
  <c r="K17" i="22"/>
  <c r="L17" i="22" s="1"/>
  <c r="H18" i="22"/>
  <c r="I18" i="22"/>
  <c r="L18" i="22" s="1"/>
  <c r="J18" i="22"/>
  <c r="K18" i="22"/>
  <c r="H19" i="22"/>
  <c r="I19" i="22"/>
  <c r="J19" i="22"/>
  <c r="K19" i="22"/>
  <c r="L19" i="22"/>
  <c r="H20" i="22"/>
  <c r="I20" i="22"/>
  <c r="J20" i="22"/>
  <c r="K20" i="22"/>
  <c r="L20" i="22"/>
  <c r="H21" i="22"/>
  <c r="I21" i="22"/>
  <c r="J21" i="22"/>
  <c r="K21" i="22"/>
  <c r="H22" i="22"/>
  <c r="I22" i="22"/>
  <c r="J22" i="22"/>
  <c r="K22" i="22"/>
  <c r="H23" i="22"/>
  <c r="I23" i="22"/>
  <c r="J23" i="22"/>
  <c r="K23" i="22"/>
  <c r="H24" i="22"/>
  <c r="I24" i="22"/>
  <c r="J24" i="22"/>
  <c r="K24" i="22"/>
  <c r="L24" i="22"/>
  <c r="H25" i="22"/>
  <c r="I25" i="22"/>
  <c r="J25" i="22"/>
  <c r="K25" i="22"/>
  <c r="L25" i="22"/>
  <c r="H26" i="22"/>
  <c r="I26" i="22"/>
  <c r="J26" i="22"/>
  <c r="K26" i="22"/>
  <c r="H27" i="22"/>
  <c r="I27" i="22"/>
  <c r="I128" i="22" s="1"/>
  <c r="I132" i="22" s="1"/>
  <c r="J27" i="22"/>
  <c r="K27" i="22"/>
  <c r="H28" i="22"/>
  <c r="I28" i="22"/>
  <c r="J28" i="22"/>
  <c r="K28" i="22"/>
  <c r="L28" i="22"/>
  <c r="H29" i="22"/>
  <c r="I29" i="22"/>
  <c r="J29" i="22"/>
  <c r="K29" i="22"/>
  <c r="L29" i="22"/>
  <c r="H30" i="22"/>
  <c r="I30" i="22"/>
  <c r="J30" i="22"/>
  <c r="K30" i="22"/>
  <c r="H31" i="22"/>
  <c r="I31" i="22"/>
  <c r="L31" i="22" s="1"/>
  <c r="J31" i="22"/>
  <c r="K31" i="22"/>
  <c r="H32" i="22"/>
  <c r="I32" i="22"/>
  <c r="J32" i="22"/>
  <c r="K32" i="22"/>
  <c r="L32" i="22"/>
  <c r="H33" i="22"/>
  <c r="I33" i="22"/>
  <c r="J33" i="22"/>
  <c r="K33" i="22"/>
  <c r="H34" i="22"/>
  <c r="I34" i="22"/>
  <c r="J34" i="22"/>
  <c r="K34" i="22"/>
  <c r="H35" i="22"/>
  <c r="I35" i="22"/>
  <c r="J35" i="22"/>
  <c r="K35" i="22"/>
  <c r="H36" i="22"/>
  <c r="I36" i="22"/>
  <c r="J36" i="22"/>
  <c r="K36" i="22"/>
  <c r="H37" i="22"/>
  <c r="L37" i="22" s="1"/>
  <c r="I37" i="22"/>
  <c r="J37" i="22"/>
  <c r="K37" i="22"/>
  <c r="H38" i="22"/>
  <c r="I38" i="22"/>
  <c r="J38" i="22"/>
  <c r="K38" i="22"/>
  <c r="L38" i="22"/>
  <c r="H39" i="22"/>
  <c r="I39" i="22"/>
  <c r="J39" i="22"/>
  <c r="K39" i="22"/>
  <c r="H40" i="22"/>
  <c r="I40" i="22"/>
  <c r="J40" i="22"/>
  <c r="L40" i="22" s="1"/>
  <c r="K40" i="22"/>
  <c r="H41" i="22"/>
  <c r="I41" i="22"/>
  <c r="J41" i="22"/>
  <c r="K41" i="22"/>
  <c r="H42" i="22"/>
  <c r="I42" i="22"/>
  <c r="J42" i="22"/>
  <c r="J128" i="22" s="1"/>
  <c r="J132" i="22" s="1"/>
  <c r="K42" i="22"/>
  <c r="H43" i="22"/>
  <c r="I43" i="22"/>
  <c r="J43" i="22"/>
  <c r="K43" i="22"/>
  <c r="L43" i="22"/>
  <c r="H44" i="22"/>
  <c r="I44" i="22"/>
  <c r="L44" i="22" s="1"/>
  <c r="J44" i="22"/>
  <c r="K44" i="22"/>
  <c r="H45" i="22"/>
  <c r="L45" i="22" s="1"/>
  <c r="I45" i="22"/>
  <c r="J45" i="22"/>
  <c r="K45" i="22"/>
  <c r="H46" i="22"/>
  <c r="I46" i="22"/>
  <c r="J46" i="22"/>
  <c r="K46" i="22"/>
  <c r="H47" i="22"/>
  <c r="L47" i="22" s="1"/>
  <c r="I47" i="22"/>
  <c r="J47" i="22"/>
  <c r="K47" i="22"/>
  <c r="H48" i="22"/>
  <c r="I48" i="22"/>
  <c r="J48" i="22"/>
  <c r="K48" i="22"/>
  <c r="H49" i="22"/>
  <c r="I49" i="22"/>
  <c r="J49" i="22"/>
  <c r="K49" i="22"/>
  <c r="L49" i="22"/>
  <c r="H50" i="22"/>
  <c r="I50" i="22"/>
  <c r="J50" i="22"/>
  <c r="K50" i="22"/>
  <c r="H51" i="22"/>
  <c r="I51" i="22"/>
  <c r="J51" i="22"/>
  <c r="K51" i="22"/>
  <c r="H52" i="22"/>
  <c r="I52" i="22"/>
  <c r="J52" i="22"/>
  <c r="K52" i="22"/>
  <c r="L52" i="22"/>
  <c r="H53" i="22"/>
  <c r="L53" i="22" s="1"/>
  <c r="I53" i="22"/>
  <c r="J53" i="22"/>
  <c r="K53" i="22"/>
  <c r="H54" i="22"/>
  <c r="I54" i="22"/>
  <c r="J54" i="22"/>
  <c r="K54" i="22"/>
  <c r="H55" i="22"/>
  <c r="I55" i="22"/>
  <c r="J55" i="22"/>
  <c r="K55" i="22"/>
  <c r="L55" i="22"/>
  <c r="H56" i="22"/>
  <c r="I56" i="22"/>
  <c r="J56" i="22"/>
  <c r="K56" i="22"/>
  <c r="L56" i="22"/>
  <c r="H57" i="22"/>
  <c r="I57" i="22"/>
  <c r="L57" i="22" s="1"/>
  <c r="J57" i="22"/>
  <c r="K57" i="22"/>
  <c r="H58" i="22"/>
  <c r="I58" i="22"/>
  <c r="J58" i="22"/>
  <c r="K58" i="22"/>
  <c r="L58" i="22"/>
  <c r="H59" i="22"/>
  <c r="I59" i="22"/>
  <c r="L59" i="22" s="1"/>
  <c r="J59" i="22"/>
  <c r="K59" i="22"/>
  <c r="H60" i="22"/>
  <c r="L60" i="22" s="1"/>
  <c r="I60" i="22"/>
  <c r="J60" i="22"/>
  <c r="K60" i="22"/>
  <c r="H61" i="22"/>
  <c r="I61" i="22"/>
  <c r="J61" i="22"/>
  <c r="K61" i="22"/>
  <c r="L61" i="22"/>
  <c r="H62" i="22"/>
  <c r="I62" i="22"/>
  <c r="J62" i="22"/>
  <c r="K62" i="22"/>
  <c r="L62" i="22"/>
  <c r="H63" i="22"/>
  <c r="I63" i="22"/>
  <c r="J63" i="22"/>
  <c r="K63" i="22"/>
  <c r="L63" i="22"/>
  <c r="H64" i="22"/>
  <c r="L64" i="22" s="1"/>
  <c r="I64" i="22"/>
  <c r="J64" i="22"/>
  <c r="K64" i="22"/>
  <c r="H65" i="22"/>
  <c r="I65" i="22"/>
  <c r="J65" i="22"/>
  <c r="K65" i="22"/>
  <c r="L65" i="22"/>
  <c r="H66" i="22"/>
  <c r="I66" i="22"/>
  <c r="L66" i="22" s="1"/>
  <c r="J66" i="22"/>
  <c r="K66" i="22"/>
  <c r="H67" i="22"/>
  <c r="I67" i="22"/>
  <c r="J67" i="22"/>
  <c r="K67" i="22"/>
  <c r="L67" i="22"/>
  <c r="H68" i="22"/>
  <c r="I68" i="22"/>
  <c r="J68" i="22"/>
  <c r="K68" i="22"/>
  <c r="L68" i="22"/>
  <c r="H69" i="22"/>
  <c r="I69" i="22"/>
  <c r="J69" i="22"/>
  <c r="K69" i="22"/>
  <c r="H70" i="22"/>
  <c r="I70" i="22"/>
  <c r="J70" i="22"/>
  <c r="K70" i="22"/>
  <c r="L70" i="22"/>
  <c r="H71" i="22"/>
  <c r="L71" i="22" s="1"/>
  <c r="I71" i="22"/>
  <c r="J71" i="22"/>
  <c r="K71" i="22"/>
  <c r="H72" i="22"/>
  <c r="I72" i="22"/>
  <c r="J72" i="22"/>
  <c r="K72" i="22"/>
  <c r="H73" i="22"/>
  <c r="I73" i="22"/>
  <c r="J73" i="22"/>
  <c r="K73" i="22"/>
  <c r="L73" i="22"/>
  <c r="H74" i="22"/>
  <c r="I74" i="22"/>
  <c r="K74" i="22"/>
  <c r="L74" i="22" s="1"/>
  <c r="H75" i="22"/>
  <c r="I75" i="22"/>
  <c r="K75" i="22"/>
  <c r="H76" i="22"/>
  <c r="I76" i="22"/>
  <c r="K76" i="22"/>
  <c r="H77" i="22"/>
  <c r="I77" i="22"/>
  <c r="J77" i="22"/>
  <c r="K77" i="22"/>
  <c r="L77" i="22"/>
  <c r="H78" i="22"/>
  <c r="I78" i="22"/>
  <c r="J78" i="22"/>
  <c r="K78" i="22"/>
  <c r="H79" i="22"/>
  <c r="L79" i="22" s="1"/>
  <c r="I79" i="22"/>
  <c r="J79" i="22"/>
  <c r="K79" i="22"/>
  <c r="H80" i="22"/>
  <c r="I80" i="22"/>
  <c r="J80" i="22"/>
  <c r="K80" i="22"/>
  <c r="H81" i="22"/>
  <c r="I81" i="22"/>
  <c r="J81" i="22"/>
  <c r="K81" i="22"/>
  <c r="L81" i="22"/>
  <c r="H82" i="22"/>
  <c r="I82" i="22"/>
  <c r="J82" i="22"/>
  <c r="K82" i="22"/>
  <c r="H83" i="22"/>
  <c r="L83" i="22" s="1"/>
  <c r="I83" i="22"/>
  <c r="J83" i="22"/>
  <c r="K83" i="22"/>
  <c r="H84" i="22"/>
  <c r="I84" i="22"/>
  <c r="J84" i="22"/>
  <c r="K84" i="22"/>
  <c r="L84" i="22"/>
  <c r="H85" i="22"/>
  <c r="I85" i="22"/>
  <c r="J85" i="22"/>
  <c r="K85" i="22"/>
  <c r="L85" i="22"/>
  <c r="H86" i="22"/>
  <c r="I86" i="22"/>
  <c r="J86" i="22"/>
  <c r="K86" i="22"/>
  <c r="H87" i="22"/>
  <c r="I87" i="22"/>
  <c r="J87" i="22"/>
  <c r="K87" i="22"/>
  <c r="L87" i="22"/>
  <c r="H88" i="22"/>
  <c r="I88" i="22"/>
  <c r="J88" i="22"/>
  <c r="K88" i="22"/>
  <c r="H89" i="22"/>
  <c r="I89" i="22"/>
  <c r="J89" i="22"/>
  <c r="L89" i="22" s="1"/>
  <c r="K89" i="22"/>
  <c r="H90" i="22"/>
  <c r="I90" i="22"/>
  <c r="J90" i="22"/>
  <c r="K90" i="22"/>
  <c r="L90" i="22"/>
  <c r="H91" i="22"/>
  <c r="I91" i="22"/>
  <c r="J91" i="22"/>
  <c r="K91" i="22"/>
  <c r="L91" i="22"/>
  <c r="H92" i="22"/>
  <c r="I92" i="22"/>
  <c r="J92" i="22"/>
  <c r="L92" i="22" s="1"/>
  <c r="K92" i="22"/>
  <c r="H93" i="22"/>
  <c r="L93" i="22" s="1"/>
  <c r="I93" i="22"/>
  <c r="J93" i="22"/>
  <c r="K93" i="22"/>
  <c r="H94" i="22"/>
  <c r="I94" i="22"/>
  <c r="J94" i="22"/>
  <c r="K94" i="22"/>
  <c r="L94" i="22"/>
  <c r="H95" i="22"/>
  <c r="I95" i="22"/>
  <c r="J95" i="22"/>
  <c r="K95" i="22"/>
  <c r="L95" i="22"/>
  <c r="H96" i="22"/>
  <c r="L96" i="22" s="1"/>
  <c r="I96" i="22"/>
  <c r="J96" i="22"/>
  <c r="K96" i="22"/>
  <c r="H97" i="22"/>
  <c r="I97" i="22"/>
  <c r="J97" i="22"/>
  <c r="K97" i="22"/>
  <c r="L97" i="22"/>
  <c r="H98" i="22"/>
  <c r="I98" i="22"/>
  <c r="J98" i="22"/>
  <c r="K98" i="22"/>
  <c r="L98" i="22"/>
  <c r="H99" i="22"/>
  <c r="L99" i="22" s="1"/>
  <c r="I99" i="22"/>
  <c r="J99" i="22"/>
  <c r="K99" i="22"/>
  <c r="H100" i="22"/>
  <c r="I100" i="22"/>
  <c r="J100" i="22"/>
  <c r="K100" i="22"/>
  <c r="H101" i="22"/>
  <c r="I101" i="22"/>
  <c r="J101" i="22"/>
  <c r="K101" i="22"/>
  <c r="L101" i="22"/>
  <c r="H102" i="22"/>
  <c r="L102" i="22" s="1"/>
  <c r="I102" i="22"/>
  <c r="J102" i="22"/>
  <c r="K102" i="22"/>
  <c r="H103" i="22"/>
  <c r="I103" i="22"/>
  <c r="J103" i="22"/>
  <c r="K103" i="22"/>
  <c r="L103" i="22"/>
  <c r="H104" i="22"/>
  <c r="I104" i="22"/>
  <c r="J104" i="22"/>
  <c r="K104" i="22"/>
  <c r="H105" i="22"/>
  <c r="I105" i="22"/>
  <c r="L105" i="22" s="1"/>
  <c r="J105" i="22"/>
  <c r="K105" i="22"/>
  <c r="H106" i="22"/>
  <c r="I106" i="22"/>
  <c r="J106" i="22"/>
  <c r="K106" i="22"/>
  <c r="H107" i="22"/>
  <c r="I107" i="22"/>
  <c r="J107" i="22"/>
  <c r="K107" i="22"/>
  <c r="L107" i="22"/>
  <c r="H108" i="22"/>
  <c r="I108" i="22"/>
  <c r="J108" i="22"/>
  <c r="K108" i="22"/>
  <c r="L108" i="22"/>
  <c r="H109" i="22"/>
  <c r="I109" i="22"/>
  <c r="L109" i="22" s="1"/>
  <c r="J109" i="22"/>
  <c r="K109" i="22"/>
  <c r="H110" i="22"/>
  <c r="I110" i="22"/>
  <c r="J110" i="22"/>
  <c r="K110" i="22"/>
  <c r="L110" i="22"/>
  <c r="H111" i="22"/>
  <c r="I111" i="22"/>
  <c r="J111" i="22"/>
  <c r="K111" i="22"/>
  <c r="L111" i="22"/>
  <c r="H112" i="22"/>
  <c r="I112" i="22"/>
  <c r="J112" i="22"/>
  <c r="K112" i="22"/>
  <c r="L112" i="22" s="1"/>
  <c r="H113" i="22"/>
  <c r="I113" i="22"/>
  <c r="J113" i="22"/>
  <c r="K113" i="22"/>
  <c r="H114" i="22"/>
  <c r="I114" i="22"/>
  <c r="J114" i="22"/>
  <c r="K114" i="22"/>
  <c r="L114" i="22"/>
  <c r="H115" i="22"/>
  <c r="I115" i="22"/>
  <c r="J115" i="22"/>
  <c r="K115" i="22"/>
  <c r="L115" i="22"/>
  <c r="H116" i="22"/>
  <c r="I116" i="22"/>
  <c r="J116" i="22"/>
  <c r="K116" i="22"/>
  <c r="L116" i="22"/>
  <c r="H117" i="22"/>
  <c r="I117" i="22"/>
  <c r="J117" i="22"/>
  <c r="K117" i="22"/>
  <c r="H118" i="22"/>
  <c r="I118" i="22"/>
  <c r="J118" i="22"/>
  <c r="K118" i="22"/>
  <c r="H119" i="22"/>
  <c r="L119" i="22" s="1"/>
  <c r="I119" i="22"/>
  <c r="J119" i="22"/>
  <c r="K119" i="22"/>
  <c r="H120" i="22"/>
  <c r="I120" i="22"/>
  <c r="J120" i="22"/>
  <c r="K120" i="22"/>
  <c r="L120" i="22"/>
  <c r="H121" i="22"/>
  <c r="I121" i="22"/>
  <c r="J121" i="22"/>
  <c r="K121" i="22"/>
  <c r="L121" i="22"/>
  <c r="H122" i="22"/>
  <c r="I122" i="22"/>
  <c r="L122" i="22" s="1"/>
  <c r="J122" i="22"/>
  <c r="K122" i="22"/>
  <c r="H123" i="22"/>
  <c r="I123" i="22"/>
  <c r="J123" i="22"/>
  <c r="K123" i="22"/>
  <c r="L123" i="22"/>
  <c r="H124" i="22"/>
  <c r="I124" i="22"/>
  <c r="J124" i="22"/>
  <c r="K124" i="22"/>
  <c r="L124" i="22"/>
  <c r="H125" i="22"/>
  <c r="I125" i="22"/>
  <c r="J125" i="22"/>
  <c r="K125" i="22"/>
  <c r="L125" i="22" s="1"/>
  <c r="H126" i="22"/>
  <c r="I126" i="22"/>
  <c r="J126" i="22"/>
  <c r="K126" i="22"/>
  <c r="L126" i="22"/>
  <c r="B128" i="22"/>
  <c r="B132" i="22" s="1"/>
  <c r="C128" i="22"/>
  <c r="D128" i="22"/>
  <c r="D132" i="22" s="1"/>
  <c r="E128" i="22"/>
  <c r="E132" i="22" s="1"/>
  <c r="F128" i="22"/>
  <c r="F132" i="22" s="1"/>
  <c r="G128" i="22"/>
  <c r="G132" i="22" s="1"/>
  <c r="C132" i="22"/>
  <c r="L134" i="22"/>
  <c r="A2" i="2"/>
  <c r="D42" i="18" l="1"/>
  <c r="Q18" i="17"/>
  <c r="H94" i="20"/>
  <c r="G129" i="17" s="1"/>
  <c r="G131" i="17" s="1"/>
  <c r="D41" i="18"/>
  <c r="B14" i="6"/>
  <c r="G14" i="6" s="1"/>
  <c r="C11" i="12"/>
  <c r="S104" i="3"/>
  <c r="Q17" i="17"/>
  <c r="H91" i="20"/>
  <c r="H92" i="20"/>
  <c r="G127" i="17" s="1"/>
  <c r="Q11" i="17"/>
  <c r="H72" i="20"/>
  <c r="H73" i="20"/>
  <c r="G108" i="17" s="1"/>
  <c r="J90" i="1"/>
  <c r="P123" i="4"/>
  <c r="B44" i="6" s="1"/>
  <c r="G44" i="6" s="1"/>
  <c r="S80" i="4"/>
  <c r="S107" i="3"/>
  <c r="I88" i="3"/>
  <c r="S61" i="3"/>
  <c r="S98" i="4"/>
  <c r="G123" i="4"/>
  <c r="B26" i="6" s="1"/>
  <c r="G26" i="6" s="1"/>
  <c r="F123" i="4"/>
  <c r="B24" i="6" s="1"/>
  <c r="G24" i="6" s="1"/>
  <c r="S74" i="3"/>
  <c r="AC126" i="1"/>
  <c r="AC127" i="1"/>
  <c r="B26" i="17"/>
  <c r="S109" i="4"/>
  <c r="E123" i="4"/>
  <c r="B22" i="6" s="1"/>
  <c r="G22" i="6" s="1"/>
  <c r="B24" i="17"/>
  <c r="AA127" i="1"/>
  <c r="L86" i="22"/>
  <c r="S46" i="4"/>
  <c r="J15" i="1"/>
  <c r="S112" i="4"/>
  <c r="AW39" i="1"/>
  <c r="G39" i="1" s="1"/>
  <c r="J39" i="1" s="1"/>
  <c r="B38" i="3"/>
  <c r="S38" i="3" s="1"/>
  <c r="K122" i="3"/>
  <c r="S31" i="3"/>
  <c r="AW14" i="1"/>
  <c r="G14" i="1" s="1"/>
  <c r="J14" i="1" s="1"/>
  <c r="D13" i="3"/>
  <c r="L82" i="22"/>
  <c r="D91" i="3"/>
  <c r="T39" i="19"/>
  <c r="N110" i="17"/>
  <c r="N113" i="17" s="1"/>
  <c r="L113" i="17"/>
  <c r="L34" i="22"/>
  <c r="AW57" i="1"/>
  <c r="G57" i="1" s="1"/>
  <c r="AW40" i="1"/>
  <c r="G40" i="1" s="1"/>
  <c r="J40" i="1" s="1"/>
  <c r="AW38" i="1"/>
  <c r="G38" i="1" s="1"/>
  <c r="J38" i="1" s="1"/>
  <c r="S56" i="3"/>
  <c r="D97" i="3"/>
  <c r="S97" i="3" s="1"/>
  <c r="AW98" i="1"/>
  <c r="G98" i="1" s="1"/>
  <c r="J98" i="1" s="1"/>
  <c r="S33" i="4"/>
  <c r="AW108" i="1"/>
  <c r="G108" i="1" s="1"/>
  <c r="J108" i="1" s="1"/>
  <c r="J71" i="1"/>
  <c r="AG124" i="1"/>
  <c r="S112" i="3"/>
  <c r="S67" i="3"/>
  <c r="S72" i="4"/>
  <c r="P16" i="3"/>
  <c r="AW17" i="1"/>
  <c r="G17" i="1" s="1"/>
  <c r="J17" i="1" s="1"/>
  <c r="L100" i="22"/>
  <c r="O122" i="3"/>
  <c r="S46" i="3"/>
  <c r="S19" i="3"/>
  <c r="AW30" i="1"/>
  <c r="G30" i="1" s="1"/>
  <c r="B29" i="3"/>
  <c r="S29" i="3" s="1"/>
  <c r="S62" i="4"/>
  <c r="S120" i="3"/>
  <c r="S21" i="3"/>
  <c r="X126" i="1"/>
  <c r="X127" i="1"/>
  <c r="S26" i="3"/>
  <c r="Q122" i="3"/>
  <c r="V101" i="10"/>
  <c r="AW19" i="1"/>
  <c r="G19" i="1" s="1"/>
  <c r="J19" i="1" s="1"/>
  <c r="G18" i="3"/>
  <c r="S18" i="3" s="1"/>
  <c r="S103" i="4"/>
  <c r="S44" i="4"/>
  <c r="E42" i="19"/>
  <c r="AW89" i="1"/>
  <c r="G89" i="1" s="1"/>
  <c r="J89" i="1" s="1"/>
  <c r="AN124" i="1"/>
  <c r="J22" i="3"/>
  <c r="S22" i="3" s="1"/>
  <c r="AW23" i="1"/>
  <c r="G23" i="1" s="1"/>
  <c r="J23" i="1" s="1"/>
  <c r="I122" i="3"/>
  <c r="AB126" i="1"/>
  <c r="B25" i="17"/>
  <c r="AB127" i="1"/>
  <c r="AB128" i="1"/>
  <c r="AB133" i="1" s="1"/>
  <c r="B23" i="17"/>
  <c r="Z126" i="1"/>
  <c r="Z127" i="1"/>
  <c r="AW31" i="1"/>
  <c r="G31" i="1" s="1"/>
  <c r="J31" i="1" s="1"/>
  <c r="D91" i="20"/>
  <c r="J42" i="20"/>
  <c r="Q126" i="1"/>
  <c r="Q127" i="1"/>
  <c r="S45" i="3"/>
  <c r="AW63" i="1"/>
  <c r="G63" i="1" s="1"/>
  <c r="L22" i="22"/>
  <c r="C55" i="20"/>
  <c r="C34" i="20"/>
  <c r="C45" i="20"/>
  <c r="C54" i="20"/>
  <c r="C26" i="20"/>
  <c r="C35" i="20"/>
  <c r="C40" i="20"/>
  <c r="C44" i="20"/>
  <c r="C47" i="20"/>
  <c r="H47" i="20" s="1"/>
  <c r="C41" i="20"/>
  <c r="H41" i="20" s="1"/>
  <c r="C42" i="20"/>
  <c r="C28" i="20"/>
  <c r="H28" i="20" s="1"/>
  <c r="C52" i="20"/>
  <c r="H52" i="20" s="1"/>
  <c r="C51" i="20"/>
  <c r="H51" i="20" s="1"/>
  <c r="S114" i="4"/>
  <c r="S77" i="4"/>
  <c r="S111" i="3"/>
  <c r="AW121" i="1"/>
  <c r="G121" i="1" s="1"/>
  <c r="J121" i="1" s="1"/>
  <c r="T37" i="19"/>
  <c r="S106" i="4"/>
  <c r="AT124" i="1"/>
  <c r="B115" i="3"/>
  <c r="S115" i="3" s="1"/>
  <c r="AW116" i="1"/>
  <c r="G116" i="1" s="1"/>
  <c r="J116" i="1" s="1"/>
  <c r="S58" i="4"/>
  <c r="S69" i="4"/>
  <c r="S88" i="3"/>
  <c r="S52" i="3"/>
  <c r="L123" i="4"/>
  <c r="B36" i="6" s="1"/>
  <c r="G36" i="6" s="1"/>
  <c r="S76" i="4"/>
  <c r="S15" i="3"/>
  <c r="S94" i="3"/>
  <c r="J44" i="20"/>
  <c r="D94" i="20"/>
  <c r="D8" i="18"/>
  <c r="S16" i="3"/>
  <c r="S116" i="4"/>
  <c r="J41" i="20"/>
  <c r="D90" i="20"/>
  <c r="AW47" i="1"/>
  <c r="G47" i="1" s="1"/>
  <c r="J47" i="1" s="1"/>
  <c r="S114" i="3"/>
  <c r="J42" i="1"/>
  <c r="P85" i="3"/>
  <c r="S85" i="3" s="1"/>
  <c r="D75" i="20"/>
  <c r="J28" i="20"/>
  <c r="L122" i="3"/>
  <c r="AW44" i="1"/>
  <c r="G44" i="1" s="1"/>
  <c r="J44" i="1" s="1"/>
  <c r="S106" i="3"/>
  <c r="J69" i="1"/>
  <c r="F30" i="3"/>
  <c r="S48" i="3"/>
  <c r="S37" i="3"/>
  <c r="AW71" i="1"/>
  <c r="G71" i="1" s="1"/>
  <c r="B70" i="3"/>
  <c r="S70" i="3" s="1"/>
  <c r="L50" i="22"/>
  <c r="S43" i="3"/>
  <c r="B89" i="3"/>
  <c r="S89" i="3" s="1"/>
  <c r="AW90" i="1"/>
  <c r="G90" i="1" s="1"/>
  <c r="M123" i="4"/>
  <c r="B38" i="6" s="1"/>
  <c r="G38" i="6" s="1"/>
  <c r="C58" i="20"/>
  <c r="H58" i="20" s="1"/>
  <c r="S88" i="4"/>
  <c r="AA126" i="1"/>
  <c r="Q123" i="4"/>
  <c r="B46" i="6" s="1"/>
  <c r="G46" i="6" s="1"/>
  <c r="AQ124" i="1"/>
  <c r="L69" i="22"/>
  <c r="F81" i="3"/>
  <c r="S81" i="3" s="1"/>
  <c r="AW82" i="1"/>
  <c r="G82" i="1" s="1"/>
  <c r="J82" i="1" s="1"/>
  <c r="L35" i="22"/>
  <c r="S62" i="3"/>
  <c r="AW95" i="1"/>
  <c r="G95" i="1" s="1"/>
  <c r="J95" i="1" s="1"/>
  <c r="J119" i="1"/>
  <c r="AR124" i="1"/>
  <c r="L42" i="22"/>
  <c r="H122" i="3"/>
  <c r="E21" i="3"/>
  <c r="E122" i="3" s="1"/>
  <c r="AW22" i="1"/>
  <c r="G22" i="1" s="1"/>
  <c r="B50" i="6"/>
  <c r="G50" i="6" s="1"/>
  <c r="C14" i="11"/>
  <c r="C16" i="12"/>
  <c r="AW100" i="1"/>
  <c r="G100" i="1" s="1"/>
  <c r="J100" i="1" s="1"/>
  <c r="S22" i="4"/>
  <c r="K123" i="4"/>
  <c r="B34" i="6" s="1"/>
  <c r="G34" i="6" s="1"/>
  <c r="S18" i="4"/>
  <c r="B123" i="4"/>
  <c r="AS124" i="1"/>
  <c r="L27" i="22"/>
  <c r="L26" i="22"/>
  <c r="H124" i="1"/>
  <c r="H126" i="1" s="1"/>
  <c r="AW52" i="1"/>
  <c r="G52" i="1" s="1"/>
  <c r="J52" i="1" s="1"/>
  <c r="J63" i="1"/>
  <c r="AW106" i="1"/>
  <c r="G106" i="1" s="1"/>
  <c r="J106" i="1" s="1"/>
  <c r="B105" i="3"/>
  <c r="S105" i="3" s="1"/>
  <c r="W11" i="8"/>
  <c r="S99" i="4"/>
  <c r="M25" i="9"/>
  <c r="O24" i="9" s="1"/>
  <c r="S29" i="4"/>
  <c r="B110" i="3"/>
  <c r="S110" i="3" s="1"/>
  <c r="AW111" i="1"/>
  <c r="G111" i="1" s="1"/>
  <c r="J111" i="1" s="1"/>
  <c r="S23" i="3"/>
  <c r="AP124" i="1"/>
  <c r="AO124" i="1"/>
  <c r="S87" i="4"/>
  <c r="D102" i="20"/>
  <c r="J50" i="20"/>
  <c r="AL124" i="1"/>
  <c r="I124" i="1"/>
  <c r="I126" i="1" s="1"/>
  <c r="Y126" i="1"/>
  <c r="Y127" i="1"/>
  <c r="H128" i="22"/>
  <c r="H132" i="22" s="1"/>
  <c r="N122" i="3"/>
  <c r="S35" i="3"/>
  <c r="T31" i="19"/>
  <c r="L54" i="22"/>
  <c r="S57" i="3"/>
  <c r="C12" i="11"/>
  <c r="B12" i="6"/>
  <c r="G12" i="6" s="1"/>
  <c r="L60" i="20"/>
  <c r="J122" i="1"/>
  <c r="B14" i="17"/>
  <c r="S40" i="4"/>
  <c r="S51" i="4"/>
  <c r="U27" i="8"/>
  <c r="S110" i="4"/>
  <c r="AW105" i="1"/>
  <c r="G105" i="1" s="1"/>
  <c r="J105" i="1" s="1"/>
  <c r="B102" i="3"/>
  <c r="S102" i="3" s="1"/>
  <c r="AW103" i="1"/>
  <c r="G103" i="1" s="1"/>
  <c r="J103" i="1" s="1"/>
  <c r="S83" i="3"/>
  <c r="S47" i="4"/>
  <c r="R123" i="4"/>
  <c r="B48" i="6" s="1"/>
  <c r="G48" i="6" s="1"/>
  <c r="S117" i="4"/>
  <c r="S54" i="4"/>
  <c r="B20" i="17"/>
  <c r="W126" i="1"/>
  <c r="W127" i="1"/>
  <c r="B18" i="17"/>
  <c r="U127" i="1"/>
  <c r="U132" i="1" s="1"/>
  <c r="S86" i="3"/>
  <c r="L113" i="22"/>
  <c r="G122" i="3"/>
  <c r="L21" i="22"/>
  <c r="L128" i="22" s="1"/>
  <c r="L132" i="22" s="1"/>
  <c r="L138" i="22" s="1"/>
  <c r="M60" i="20"/>
  <c r="AW79" i="1"/>
  <c r="G79" i="1" s="1"/>
  <c r="J79" i="1" s="1"/>
  <c r="C78" i="3"/>
  <c r="S78" i="3" s="1"/>
  <c r="AW46" i="1"/>
  <c r="G46" i="1" s="1"/>
  <c r="J46" i="1" s="1"/>
  <c r="F19" i="7"/>
  <c r="S66" i="4"/>
  <c r="AW113" i="1"/>
  <c r="G113" i="1" s="1"/>
  <c r="J113" i="1" s="1"/>
  <c r="J25" i="9"/>
  <c r="O132" i="1"/>
  <c r="C25" i="20"/>
  <c r="S73" i="4"/>
  <c r="D123" i="4"/>
  <c r="B20" i="6" s="1"/>
  <c r="G20" i="6" s="1"/>
  <c r="C72" i="3"/>
  <c r="S72" i="3" s="1"/>
  <c r="AW73" i="1"/>
  <c r="G73" i="1" s="1"/>
  <c r="AW27" i="1"/>
  <c r="G27" i="1" s="1"/>
  <c r="L78" i="22"/>
  <c r="E52" i="21"/>
  <c r="W17" i="8"/>
  <c r="B82" i="3"/>
  <c r="S82" i="3" s="1"/>
  <c r="AW83" i="1"/>
  <c r="G83" i="1" s="1"/>
  <c r="J83" i="1" s="1"/>
  <c r="AK124" i="1"/>
  <c r="L16" i="22"/>
  <c r="AW53" i="1"/>
  <c r="G53" i="1" s="1"/>
  <c r="J53" i="1" s="1"/>
  <c r="L30" i="22"/>
  <c r="S41" i="4"/>
  <c r="B103" i="3"/>
  <c r="S103" i="3" s="1"/>
  <c r="AW104" i="1"/>
  <c r="G104" i="1" s="1"/>
  <c r="J104" i="1" s="1"/>
  <c r="AW64" i="1"/>
  <c r="G64" i="1" s="1"/>
  <c r="J64" i="1" s="1"/>
  <c r="F20" i="3"/>
  <c r="S20" i="3" s="1"/>
  <c r="AW21" i="1"/>
  <c r="G21" i="1" s="1"/>
  <c r="J21" i="1" s="1"/>
  <c r="E124" i="1"/>
  <c r="E126" i="1" s="1"/>
  <c r="AW13" i="1"/>
  <c r="B12" i="3"/>
  <c r="AF124" i="1"/>
  <c r="E119" i="3"/>
  <c r="AW120" i="1"/>
  <c r="G120" i="1" s="1"/>
  <c r="S52" i="4"/>
  <c r="AW96" i="1"/>
  <c r="G96" i="1" s="1"/>
  <c r="B95" i="3"/>
  <c r="S95" i="3" s="1"/>
  <c r="J32" i="1"/>
  <c r="S49" i="3"/>
  <c r="S101" i="4"/>
  <c r="J16" i="1"/>
  <c r="S107" i="4"/>
  <c r="B87" i="3"/>
  <c r="S87" i="3" s="1"/>
  <c r="AW88" i="1"/>
  <c r="G88" i="1" s="1"/>
  <c r="J88" i="1" s="1"/>
  <c r="B28" i="3"/>
  <c r="S28" i="3" s="1"/>
  <c r="AW29" i="1"/>
  <c r="G29" i="1" s="1"/>
  <c r="J29" i="1" s="1"/>
  <c r="O127" i="1"/>
  <c r="B12" i="17"/>
  <c r="J25" i="20"/>
  <c r="H21" i="20"/>
  <c r="D71" i="20"/>
  <c r="S20" i="4"/>
  <c r="S77" i="3"/>
  <c r="P116" i="3"/>
  <c r="S116" i="3" s="1"/>
  <c r="AW117" i="1"/>
  <c r="G117" i="1" s="1"/>
  <c r="M122" i="3"/>
  <c r="S65" i="3"/>
  <c r="AW59" i="1"/>
  <c r="G59" i="1" s="1"/>
  <c r="J59" i="1" s="1"/>
  <c r="C55" i="3"/>
  <c r="S55" i="3" s="1"/>
  <c r="AW56" i="1"/>
  <c r="G56" i="1" s="1"/>
  <c r="J56" i="1" s="1"/>
  <c r="S39" i="3"/>
  <c r="S111" i="4"/>
  <c r="S48" i="4"/>
  <c r="B108" i="3"/>
  <c r="S108" i="3" s="1"/>
  <c r="AW109" i="1"/>
  <c r="G109" i="1" s="1"/>
  <c r="J109" i="1" s="1"/>
  <c r="J65" i="1"/>
  <c r="S42" i="4"/>
  <c r="J30" i="1"/>
  <c r="S42" i="3"/>
  <c r="E66" i="3"/>
  <c r="S66" i="3" s="1"/>
  <c r="AW67" i="1"/>
  <c r="G67" i="1" s="1"/>
  <c r="S63" i="4"/>
  <c r="G76" i="3"/>
  <c r="S76" i="3" s="1"/>
  <c r="AW77" i="1"/>
  <c r="G77" i="1" s="1"/>
  <c r="J77" i="1" s="1"/>
  <c r="U14" i="8"/>
  <c r="E27" i="8"/>
  <c r="J42" i="19"/>
  <c r="S118" i="4"/>
  <c r="S30" i="3"/>
  <c r="N126" i="1"/>
  <c r="N127" i="1"/>
  <c r="S24" i="3"/>
  <c r="J86" i="1"/>
  <c r="B60" i="3"/>
  <c r="S60" i="3" s="1"/>
  <c r="AW61" i="1"/>
  <c r="G61" i="1" s="1"/>
  <c r="J61" i="1" s="1"/>
  <c r="E25" i="3"/>
  <c r="S25" i="3" s="1"/>
  <c r="AW26" i="1"/>
  <c r="G26" i="1" s="1"/>
  <c r="J26" i="1" s="1"/>
  <c r="L104" i="22"/>
  <c r="L88" i="22"/>
  <c r="B58" i="3"/>
  <c r="S58" i="3" s="1"/>
  <c r="L72" i="22"/>
  <c r="S74" i="4"/>
  <c r="E113" i="3"/>
  <c r="S113" i="3" s="1"/>
  <c r="AW114" i="1"/>
  <c r="G114" i="1" s="1"/>
  <c r="J114" i="1" s="1"/>
  <c r="S59" i="4"/>
  <c r="B100" i="3"/>
  <c r="S100" i="3" s="1"/>
  <c r="AW101" i="1"/>
  <c r="G101" i="1" s="1"/>
  <c r="J101" i="1" s="1"/>
  <c r="B50" i="3"/>
  <c r="S50" i="3" s="1"/>
  <c r="AW51" i="1"/>
  <c r="G51" i="1" s="1"/>
  <c r="J51" i="1" s="1"/>
  <c r="AW35" i="1"/>
  <c r="G35" i="1" s="1"/>
  <c r="J35" i="1" s="1"/>
  <c r="C34" i="3"/>
  <c r="C122" i="3" s="1"/>
  <c r="AW48" i="1"/>
  <c r="G48" i="1" s="1"/>
  <c r="J48" i="1" s="1"/>
  <c r="B79" i="3"/>
  <c r="S79" i="3" s="1"/>
  <c r="AW80" i="1"/>
  <c r="G80" i="1" s="1"/>
  <c r="J80" i="1" s="1"/>
  <c r="T33" i="19"/>
  <c r="J117" i="1"/>
  <c r="J96" i="1"/>
  <c r="S68" i="3"/>
  <c r="J45" i="1"/>
  <c r="S117" i="3"/>
  <c r="S23" i="4"/>
  <c r="T13" i="10"/>
  <c r="T101" i="10" s="1"/>
  <c r="S101" i="10"/>
  <c r="C32" i="19"/>
  <c r="F32" i="19" s="1"/>
  <c r="C40" i="19"/>
  <c r="F40" i="19" s="1"/>
  <c r="C36" i="19"/>
  <c r="F36" i="19" s="1"/>
  <c r="C25" i="19"/>
  <c r="C26" i="19"/>
  <c r="F26" i="19" s="1"/>
  <c r="C39" i="19"/>
  <c r="F39" i="19" s="1"/>
  <c r="C30" i="19"/>
  <c r="F30" i="19" s="1"/>
  <c r="C31" i="19"/>
  <c r="F31" i="19" s="1"/>
  <c r="C41" i="19"/>
  <c r="F41" i="19" s="1"/>
  <c r="C33" i="19"/>
  <c r="F33" i="19" s="1"/>
  <c r="C38" i="19"/>
  <c r="F38" i="19" s="1"/>
  <c r="C37" i="19"/>
  <c r="F37" i="19" s="1"/>
  <c r="C34" i="19"/>
  <c r="F34" i="19" s="1"/>
  <c r="C27" i="19"/>
  <c r="F27" i="19" s="1"/>
  <c r="C28" i="19"/>
  <c r="F28" i="19" s="1"/>
  <c r="L118" i="22"/>
  <c r="F26" i="7"/>
  <c r="AJ124" i="1"/>
  <c r="AW72" i="1"/>
  <c r="G72" i="1" s="1"/>
  <c r="J72" i="1" s="1"/>
  <c r="D71" i="3"/>
  <c r="J99" i="1"/>
  <c r="K42" i="19"/>
  <c r="C63" i="3"/>
  <c r="S63" i="3" s="1"/>
  <c r="G55" i="20"/>
  <c r="G42" i="20"/>
  <c r="G26" i="20"/>
  <c r="G44" i="20"/>
  <c r="G34" i="20"/>
  <c r="G45" i="20"/>
  <c r="G35" i="20"/>
  <c r="G54" i="20"/>
  <c r="G40" i="20"/>
  <c r="G50" i="20"/>
  <c r="H50" i="20" s="1"/>
  <c r="G25" i="20"/>
  <c r="G60" i="20" s="1"/>
  <c r="S26" i="4"/>
  <c r="S15" i="4"/>
  <c r="C92" i="3"/>
  <c r="S92" i="3" s="1"/>
  <c r="AW93" i="1"/>
  <c r="G93" i="1" s="1"/>
  <c r="J93" i="1" s="1"/>
  <c r="B84" i="3"/>
  <c r="S84" i="3" s="1"/>
  <c r="AW85" i="1"/>
  <c r="G85" i="1" s="1"/>
  <c r="J85" i="1" s="1"/>
  <c r="O123" i="4"/>
  <c r="B42" i="6" s="1"/>
  <c r="G42" i="6" s="1"/>
  <c r="J58" i="1"/>
  <c r="AW34" i="1"/>
  <c r="G34" i="1" s="1"/>
  <c r="J34" i="1" s="1"/>
  <c r="F124" i="1"/>
  <c r="F126" i="1" s="1"/>
  <c r="L36" i="22"/>
  <c r="N123" i="4"/>
  <c r="B40" i="6" s="1"/>
  <c r="G40" i="6" s="1"/>
  <c r="S51" i="3"/>
  <c r="S34" i="3"/>
  <c r="S126" i="1"/>
  <c r="B16" i="17"/>
  <c r="S127" i="1"/>
  <c r="J87" i="1"/>
  <c r="AW49" i="1"/>
  <c r="G49" i="1" s="1"/>
  <c r="J49" i="1" s="1"/>
  <c r="S94" i="4"/>
  <c r="S40" i="3"/>
  <c r="R126" i="1"/>
  <c r="R127" i="1"/>
  <c r="D124" i="1"/>
  <c r="D126" i="1" s="1"/>
  <c r="G8" i="21"/>
  <c r="S79" i="4"/>
  <c r="AW15" i="1"/>
  <c r="G15" i="1" s="1"/>
  <c r="B14" i="3"/>
  <c r="S14" i="3" s="1"/>
  <c r="S13" i="4"/>
  <c r="S90" i="3"/>
  <c r="L48" i="22"/>
  <c r="L33" i="22"/>
  <c r="J76" i="1"/>
  <c r="Q16" i="3"/>
  <c r="AU124" i="1"/>
  <c r="J110" i="1"/>
  <c r="X27" i="8"/>
  <c r="S33" i="3"/>
  <c r="B64" i="3"/>
  <c r="S64" i="3" s="1"/>
  <c r="AW65" i="1"/>
  <c r="G65" i="1" s="1"/>
  <c r="L75" i="22"/>
  <c r="G58" i="18"/>
  <c r="J81" i="1"/>
  <c r="AW20" i="1"/>
  <c r="G20" i="1" s="1"/>
  <c r="J20" i="1" s="1"/>
  <c r="F11" i="7"/>
  <c r="L46" i="22"/>
  <c r="S71" i="4"/>
  <c r="AV124" i="1"/>
  <c r="R13" i="3"/>
  <c r="R122" i="3" s="1"/>
  <c r="S104" i="4"/>
  <c r="S60" i="4"/>
  <c r="S27" i="3"/>
  <c r="J115" i="1"/>
  <c r="B69" i="3"/>
  <c r="S69" i="3" s="1"/>
  <c r="AW70" i="1"/>
  <c r="G70" i="1" s="1"/>
  <c r="J70" i="1" s="1"/>
  <c r="J36" i="1"/>
  <c r="L76" i="22"/>
  <c r="F35" i="7"/>
  <c r="L117" i="22"/>
  <c r="H42" i="19"/>
  <c r="S78" i="4"/>
  <c r="J28" i="1"/>
  <c r="S108" i="4"/>
  <c r="J97" i="1"/>
  <c r="J60" i="1"/>
  <c r="W23" i="8"/>
  <c r="J94" i="1"/>
  <c r="AW91" i="1"/>
  <c r="G91" i="1" s="1"/>
  <c r="J91" i="1" s="1"/>
  <c r="J57" i="1"/>
  <c r="B32" i="3"/>
  <c r="S32" i="3" s="1"/>
  <c r="AW33" i="1"/>
  <c r="G33" i="1" s="1"/>
  <c r="J33" i="1" s="1"/>
  <c r="AW25" i="1"/>
  <c r="G25" i="1" s="1"/>
  <c r="J25" i="1" s="1"/>
  <c r="S119" i="4"/>
  <c r="S54" i="3"/>
  <c r="AW119" i="1"/>
  <c r="G119" i="1" s="1"/>
  <c r="AW60" i="1"/>
  <c r="G60" i="1" s="1"/>
  <c r="B59" i="3"/>
  <c r="S59" i="3" s="1"/>
  <c r="S118" i="3"/>
  <c r="L41" i="22"/>
  <c r="AW81" i="1"/>
  <c r="G81" i="1" s="1"/>
  <c r="AW43" i="1"/>
  <c r="G43" i="1" s="1"/>
  <c r="J43" i="1" s="1"/>
  <c r="H123" i="4"/>
  <c r="B28" i="6" s="1"/>
  <c r="G28" i="6" s="1"/>
  <c r="S109" i="3"/>
  <c r="AW99" i="1"/>
  <c r="G99" i="1" s="1"/>
  <c r="C4" i="21"/>
  <c r="J74" i="1"/>
  <c r="AW66" i="1"/>
  <c r="G66" i="1" s="1"/>
  <c r="J66" i="1" s="1"/>
  <c r="L39" i="22"/>
  <c r="S71" i="3"/>
  <c r="AI124" i="1"/>
  <c r="J120" i="1"/>
  <c r="L80" i="22"/>
  <c r="AW78" i="1"/>
  <c r="G78" i="1" s="1"/>
  <c r="J78" i="1" s="1"/>
  <c r="S38" i="4"/>
  <c r="S93" i="3"/>
  <c r="J84" i="1"/>
  <c r="S75" i="3"/>
  <c r="J22" i="1"/>
  <c r="S67" i="4"/>
  <c r="AW50" i="1"/>
  <c r="G50" i="1" s="1"/>
  <c r="J50" i="1" s="1"/>
  <c r="AW45" i="1"/>
  <c r="G45" i="1" s="1"/>
  <c r="B44" i="3"/>
  <c r="S44" i="3" s="1"/>
  <c r="L106" i="22"/>
  <c r="S96" i="4"/>
  <c r="J27" i="1"/>
  <c r="L23" i="22"/>
  <c r="S36" i="3"/>
  <c r="S37" i="4"/>
  <c r="S34" i="4"/>
  <c r="C40" i="7"/>
  <c r="T32" i="19"/>
  <c r="J73" i="1"/>
  <c r="J68" i="1"/>
  <c r="AW55" i="1"/>
  <c r="G55" i="1" s="1"/>
  <c r="J55" i="1" s="1"/>
  <c r="S21" i="4"/>
  <c r="T126" i="1"/>
  <c r="T132" i="1" s="1"/>
  <c r="B17" i="17"/>
  <c r="P126" i="1"/>
  <c r="P132" i="1" s="1"/>
  <c r="B13" i="17"/>
  <c r="S121" i="4"/>
  <c r="B126" i="1"/>
  <c r="B29" i="17" s="1"/>
  <c r="J67" i="1"/>
  <c r="P127" i="1"/>
  <c r="AW18" i="1"/>
  <c r="G18" i="1" s="1"/>
  <c r="J18" i="1" s="1"/>
  <c r="F17" i="3"/>
  <c r="F122" i="3" s="1"/>
  <c r="F22" i="7"/>
  <c r="AW74" i="1"/>
  <c r="G74" i="1" s="1"/>
  <c r="B60" i="11"/>
  <c r="S119" i="3"/>
  <c r="S101" i="3"/>
  <c r="J112" i="1"/>
  <c r="W14" i="8"/>
  <c r="AW62" i="1"/>
  <c r="G62" i="1" s="1"/>
  <c r="J62" i="1" s="1"/>
  <c r="AW32" i="1"/>
  <c r="G32" i="1" s="1"/>
  <c r="AW107" i="1"/>
  <c r="G107" i="1" s="1"/>
  <c r="J107" i="1" s="1"/>
  <c r="AW102" i="1"/>
  <c r="G102" i="1" s="1"/>
  <c r="J102" i="1" s="1"/>
  <c r="AW92" i="1"/>
  <c r="G92" i="1" s="1"/>
  <c r="J92" i="1" s="1"/>
  <c r="B91" i="3"/>
  <c r="AW97" i="1"/>
  <c r="G97" i="1" s="1"/>
  <c r="AW42" i="1"/>
  <c r="G42" i="1" s="1"/>
  <c r="B96" i="3"/>
  <c r="S96" i="3" s="1"/>
  <c r="B47" i="6" l="1"/>
  <c r="R125" i="3"/>
  <c r="R129" i="3" s="1"/>
  <c r="B21" i="6"/>
  <c r="E125" i="3"/>
  <c r="E129" i="3" s="1"/>
  <c r="C125" i="3"/>
  <c r="C129" i="3" s="1"/>
  <c r="B17" i="6"/>
  <c r="O107" i="17"/>
  <c r="O112" i="17"/>
  <c r="O109" i="17"/>
  <c r="O111" i="17"/>
  <c r="O108" i="17"/>
  <c r="B23" i="6"/>
  <c r="F125" i="3"/>
  <c r="F129" i="3" s="1"/>
  <c r="I125" i="3"/>
  <c r="I129" i="3" s="1"/>
  <c r="B29" i="6"/>
  <c r="Q23" i="17"/>
  <c r="H105" i="20"/>
  <c r="G146" i="17" s="1"/>
  <c r="H104" i="20"/>
  <c r="Q12" i="17"/>
  <c r="H75" i="20"/>
  <c r="H76" i="20"/>
  <c r="G111" i="17" s="1"/>
  <c r="H77" i="20"/>
  <c r="G112" i="17" s="1"/>
  <c r="H78" i="20"/>
  <c r="G113" i="17" s="1"/>
  <c r="H79" i="20"/>
  <c r="G114" i="17" s="1"/>
  <c r="H80" i="20"/>
  <c r="G115" i="17" s="1"/>
  <c r="C60" i="20"/>
  <c r="H25" i="20"/>
  <c r="J60" i="20"/>
  <c r="P122" i="3"/>
  <c r="F40" i="7"/>
  <c r="X28" i="8" s="1"/>
  <c r="X29" i="8" s="1"/>
  <c r="D115" i="20"/>
  <c r="W132" i="1"/>
  <c r="D12" i="18"/>
  <c r="Q125" i="3"/>
  <c r="Q129" i="3" s="1"/>
  <c r="B45" i="6"/>
  <c r="D28" i="18"/>
  <c r="D51" i="18"/>
  <c r="J122" i="3"/>
  <c r="H89" i="20"/>
  <c r="G124" i="17" s="1"/>
  <c r="Q15" i="17"/>
  <c r="S91" i="3"/>
  <c r="B35" i="6"/>
  <c r="L125" i="3"/>
  <c r="L129" i="3" s="1"/>
  <c r="D27" i="18"/>
  <c r="B27" i="17"/>
  <c r="C24" i="17" s="1"/>
  <c r="C18" i="17"/>
  <c r="D31" i="18"/>
  <c r="H83" i="20"/>
  <c r="H84" i="20"/>
  <c r="G119" i="17" s="1"/>
  <c r="H87" i="20"/>
  <c r="G122" i="17" s="1"/>
  <c r="Q14" i="17"/>
  <c r="H85" i="20"/>
  <c r="G120" i="17" s="1"/>
  <c r="H86" i="20"/>
  <c r="G121" i="17" s="1"/>
  <c r="AB132" i="1"/>
  <c r="O13" i="9"/>
  <c r="C6" i="11"/>
  <c r="B10" i="6"/>
  <c r="G10" i="6" s="1"/>
  <c r="O30" i="17" s="1"/>
  <c r="I2" i="17"/>
  <c r="I5" i="17" s="1"/>
  <c r="D50" i="18"/>
  <c r="B16" i="6"/>
  <c r="G16" i="6" s="1"/>
  <c r="S126" i="4"/>
  <c r="D37" i="18"/>
  <c r="X132" i="1"/>
  <c r="C4" i="11"/>
  <c r="B8" i="6"/>
  <c r="J138" i="22"/>
  <c r="J140" i="22" s="1"/>
  <c r="E132" i="1"/>
  <c r="E134" i="1" s="1"/>
  <c r="R132" i="1"/>
  <c r="D47" i="18"/>
  <c r="H82" i="20"/>
  <c r="G117" i="17" s="1"/>
  <c r="Q13" i="17"/>
  <c r="AC132" i="1"/>
  <c r="H44" i="20"/>
  <c r="H40" i="20"/>
  <c r="H100" i="20"/>
  <c r="G136" i="17" s="1"/>
  <c r="H98" i="20"/>
  <c r="H99" i="20"/>
  <c r="G137" i="17" s="1"/>
  <c r="Q20" i="17"/>
  <c r="D55" i="18"/>
  <c r="Q26" i="17"/>
  <c r="H113" i="20"/>
  <c r="G154" i="17" s="1"/>
  <c r="H112" i="20"/>
  <c r="O11" i="9"/>
  <c r="O125" i="3"/>
  <c r="O129" i="3" s="1"/>
  <c r="B41" i="6"/>
  <c r="B122" i="3"/>
  <c r="S12" i="3"/>
  <c r="N132" i="1"/>
  <c r="Y132" i="1"/>
  <c r="C10" i="12"/>
  <c r="B13" i="6"/>
  <c r="G13" i="6" s="1"/>
  <c r="B41" i="7"/>
  <c r="S132" i="1"/>
  <c r="G125" i="3"/>
  <c r="G129" i="3" s="1"/>
  <c r="B25" i="6"/>
  <c r="D20" i="18"/>
  <c r="D58" i="18" s="1"/>
  <c r="H42" i="20"/>
  <c r="G4" i="21"/>
  <c r="C5" i="21"/>
  <c r="G5" i="21" s="1"/>
  <c r="C54" i="21"/>
  <c r="H35" i="20"/>
  <c r="H93" i="20"/>
  <c r="G126" i="17"/>
  <c r="G128" i="17" s="1"/>
  <c r="AA132" i="1"/>
  <c r="H34" i="20"/>
  <c r="H55" i="20"/>
  <c r="S17" i="3"/>
  <c r="B52" i="6"/>
  <c r="I14" i="17"/>
  <c r="P107" i="17" s="1"/>
  <c r="I25" i="17"/>
  <c r="S123" i="4"/>
  <c r="C10" i="11" s="1"/>
  <c r="G52" i="21"/>
  <c r="E54" i="21"/>
  <c r="Z132" i="1"/>
  <c r="O16" i="9"/>
  <c r="D122" i="3"/>
  <c r="S13" i="3"/>
  <c r="O17" i="9"/>
  <c r="K125" i="3"/>
  <c r="K129" i="3" s="1"/>
  <c r="B33" i="6"/>
  <c r="H96" i="20"/>
  <c r="G133" i="17" s="1"/>
  <c r="Q19" i="17"/>
  <c r="H95" i="20"/>
  <c r="O9" i="9"/>
  <c r="H74" i="20"/>
  <c r="G107" i="17"/>
  <c r="G109" i="17" s="1"/>
  <c r="H108" i="20"/>
  <c r="H109" i="20"/>
  <c r="G150" i="17" s="1"/>
  <c r="H110" i="20"/>
  <c r="G151" i="17" s="1"/>
  <c r="Q25" i="17"/>
  <c r="H26" i="20"/>
  <c r="Q16" i="17"/>
  <c r="H90" i="20"/>
  <c r="G125" i="17" s="1"/>
  <c r="H102" i="20"/>
  <c r="G139" i="17" s="1"/>
  <c r="Q21" i="17"/>
  <c r="N125" i="3"/>
  <c r="N129" i="3" s="1"/>
  <c r="B39" i="6"/>
  <c r="F25" i="19"/>
  <c r="F42" i="19" s="1"/>
  <c r="C42" i="19"/>
  <c r="Q132" i="1"/>
  <c r="C11" i="11"/>
  <c r="E11" i="6"/>
  <c r="B11" i="6"/>
  <c r="G11" i="6" s="1"/>
  <c r="O12" i="9"/>
  <c r="O10" i="9"/>
  <c r="N32" i="9"/>
  <c r="O15" i="9"/>
  <c r="O14" i="9"/>
  <c r="O8" i="9"/>
  <c r="O20" i="9"/>
  <c r="O21" i="9"/>
  <c r="O23" i="9"/>
  <c r="O19" i="9"/>
  <c r="O22" i="9"/>
  <c r="W27" i="8"/>
  <c r="W29" i="8" s="1"/>
  <c r="H103" i="20"/>
  <c r="G140" i="17" s="1"/>
  <c r="G144" i="17" s="1"/>
  <c r="Q22" i="17"/>
  <c r="M125" i="3"/>
  <c r="M129" i="3" s="1"/>
  <c r="B37" i="6"/>
  <c r="H125" i="3"/>
  <c r="H129" i="3" s="1"/>
  <c r="B27" i="6"/>
  <c r="Q24" i="17"/>
  <c r="H107" i="20"/>
  <c r="G148" i="17" s="1"/>
  <c r="O18" i="9"/>
  <c r="AW124" i="1"/>
  <c r="G13" i="1"/>
  <c r="C5" i="11"/>
  <c r="B9" i="6"/>
  <c r="G9" i="6" s="1"/>
  <c r="C8" i="12" s="1"/>
  <c r="H54" i="20"/>
  <c r="H45" i="20"/>
  <c r="D19" i="18"/>
  <c r="E34" i="18" l="1"/>
  <c r="E26" i="18"/>
  <c r="E9" i="18"/>
  <c r="E8" i="18"/>
  <c r="E41" i="18"/>
  <c r="E42" i="18"/>
  <c r="E31" i="18"/>
  <c r="C16" i="17"/>
  <c r="Q111" i="17"/>
  <c r="Q107" i="17"/>
  <c r="Q108" i="17"/>
  <c r="Q109" i="17"/>
  <c r="Q112" i="17"/>
  <c r="G118" i="17"/>
  <c r="G123" i="17" s="1"/>
  <c r="H88" i="20"/>
  <c r="C14" i="17"/>
  <c r="J125" i="3"/>
  <c r="J129" i="3" s="1"/>
  <c r="B31" i="6"/>
  <c r="O25" i="9"/>
  <c r="C17" i="17"/>
  <c r="S122" i="3"/>
  <c r="P125" i="3"/>
  <c r="P129" i="3" s="1"/>
  <c r="B43" i="6"/>
  <c r="F27" i="6"/>
  <c r="F18" i="21" s="1"/>
  <c r="E27" i="18"/>
  <c r="F35" i="6"/>
  <c r="F22" i="21" s="1"/>
  <c r="F45" i="6"/>
  <c r="F27" i="21" s="1"/>
  <c r="G45" i="6"/>
  <c r="P25" i="17" s="1"/>
  <c r="F41" i="6"/>
  <c r="F25" i="21" s="1"/>
  <c r="E55" i="18"/>
  <c r="H81" i="20"/>
  <c r="G110" i="17"/>
  <c r="G116" i="17" s="1"/>
  <c r="F25" i="6"/>
  <c r="F17" i="21" s="1"/>
  <c r="E28" i="18"/>
  <c r="B15" i="6"/>
  <c r="T122" i="3"/>
  <c r="B125" i="3"/>
  <c r="B129" i="3" s="1"/>
  <c r="N25" i="9"/>
  <c r="E53" i="6"/>
  <c r="C13" i="12" s="1"/>
  <c r="G145" i="17"/>
  <c r="G147" i="17" s="1"/>
  <c r="H106" i="20"/>
  <c r="H111" i="20"/>
  <c r="G149" i="17"/>
  <c r="G152" i="17" s="1"/>
  <c r="F33" i="6"/>
  <c r="F21" i="21" s="1"/>
  <c r="O110" i="17"/>
  <c r="O113" i="17" s="1"/>
  <c r="F17" i="6"/>
  <c r="F13" i="21" s="1"/>
  <c r="F21" i="6"/>
  <c r="F15" i="21" s="1"/>
  <c r="C27" i="17"/>
  <c r="C19" i="17"/>
  <c r="C10" i="17"/>
  <c r="C11" i="17"/>
  <c r="C21" i="17"/>
  <c r="C22" i="17"/>
  <c r="C15" i="17"/>
  <c r="F37" i="6"/>
  <c r="F23" i="21" s="1"/>
  <c r="C13" i="11"/>
  <c r="B43" i="7"/>
  <c r="C12" i="17"/>
  <c r="H115" i="20"/>
  <c r="G153" i="17"/>
  <c r="G155" i="17" s="1"/>
  <c r="F39" i="6"/>
  <c r="F24" i="21" s="1"/>
  <c r="C26" i="17"/>
  <c r="H101" i="20"/>
  <c r="G135" i="17"/>
  <c r="G138" i="17" s="1"/>
  <c r="E47" i="18"/>
  <c r="G132" i="17"/>
  <c r="G134" i="17" s="1"/>
  <c r="H97" i="20"/>
  <c r="F23" i="6"/>
  <c r="F16" i="21" s="1"/>
  <c r="E37" i="18"/>
  <c r="C20" i="17"/>
  <c r="H71" i="20"/>
  <c r="G106" i="17" s="1"/>
  <c r="Q10" i="17"/>
  <c r="Q27" i="17" s="1"/>
  <c r="E19" i="18"/>
  <c r="E50" i="18"/>
  <c r="G124" i="1"/>
  <c r="G126" i="1" s="1"/>
  <c r="J13" i="1"/>
  <c r="J124" i="1" s="1"/>
  <c r="J126" i="1" s="1"/>
  <c r="J132" i="1" s="1"/>
  <c r="C16" i="11"/>
  <c r="C18" i="12"/>
  <c r="G52" i="6"/>
  <c r="E20" i="18"/>
  <c r="E51" i="18"/>
  <c r="C25" i="17"/>
  <c r="E12" i="18"/>
  <c r="H60" i="20"/>
  <c r="C23" i="17"/>
  <c r="F29" i="6"/>
  <c r="F19" i="21" s="1"/>
  <c r="G8" i="6"/>
  <c r="D125" i="3"/>
  <c r="D129" i="3" s="1"/>
  <c r="B19" i="6"/>
  <c r="C13" i="17"/>
  <c r="I7" i="17"/>
  <c r="I9" i="17"/>
  <c r="I8" i="17"/>
  <c r="F47" i="6"/>
  <c r="F28" i="21" s="1"/>
  <c r="G21" i="6" l="1"/>
  <c r="P13" i="17" s="1"/>
  <c r="F117" i="17" s="1"/>
  <c r="F15" i="6"/>
  <c r="I19" i="17"/>
  <c r="N101" i="17"/>
  <c r="N102" i="17"/>
  <c r="D161" i="17" s="1"/>
  <c r="N100" i="17"/>
  <c r="Q110" i="17"/>
  <c r="I17" i="17"/>
  <c r="J52" i="18"/>
  <c r="L101" i="17" s="1"/>
  <c r="J53" i="18"/>
  <c r="L102" i="17" s="1"/>
  <c r="J51" i="18"/>
  <c r="G33" i="6"/>
  <c r="P19" i="17" s="1"/>
  <c r="P17" i="9"/>
  <c r="Q17" i="9" s="1"/>
  <c r="S17" i="9" s="1"/>
  <c r="O28" i="9"/>
  <c r="L35" i="9" s="1"/>
  <c r="P13" i="9"/>
  <c r="Q13" i="9" s="1"/>
  <c r="S13" i="9" s="1"/>
  <c r="P24" i="9"/>
  <c r="Q24" i="9" s="1"/>
  <c r="S24" i="9" s="1"/>
  <c r="P19" i="9"/>
  <c r="Q19" i="9" s="1"/>
  <c r="S19" i="9" s="1"/>
  <c r="P23" i="9"/>
  <c r="Q23" i="9" s="1"/>
  <c r="S23" i="9" s="1"/>
  <c r="P11" i="9"/>
  <c r="Q11" i="9" s="1"/>
  <c r="S11" i="9" s="1"/>
  <c r="P9" i="9"/>
  <c r="Q9" i="9" s="1"/>
  <c r="S9" i="9" s="1"/>
  <c r="P16" i="9"/>
  <c r="Q16" i="9" s="1"/>
  <c r="S16" i="9" s="1"/>
  <c r="P12" i="9"/>
  <c r="Q12" i="9" s="1"/>
  <c r="S12" i="9" s="1"/>
  <c r="P10" i="9"/>
  <c r="Q10" i="9" s="1"/>
  <c r="S10" i="9" s="1"/>
  <c r="P15" i="9"/>
  <c r="Q15" i="9" s="1"/>
  <c r="S15" i="9" s="1"/>
  <c r="P14" i="9"/>
  <c r="Q14" i="9" s="1"/>
  <c r="S14" i="9" s="1"/>
  <c r="P8" i="9"/>
  <c r="P22" i="9"/>
  <c r="Q22" i="9" s="1"/>
  <c r="S22" i="9" s="1"/>
  <c r="P20" i="9"/>
  <c r="Q20" i="9" s="1"/>
  <c r="S20" i="9" s="1"/>
  <c r="P18" i="9"/>
  <c r="Q18" i="9" s="1"/>
  <c r="S18" i="9" s="1"/>
  <c r="P21" i="9"/>
  <c r="Q21" i="9" s="1"/>
  <c r="S21" i="9" s="1"/>
  <c r="F31" i="6"/>
  <c r="F20" i="21" s="1"/>
  <c r="P100" i="17"/>
  <c r="G35" i="6"/>
  <c r="P20" i="17" s="1"/>
  <c r="G27" i="6"/>
  <c r="P16" i="17" s="1"/>
  <c r="F125" i="17" s="1"/>
  <c r="G39" i="6"/>
  <c r="P22" i="17" s="1"/>
  <c r="D29" i="17"/>
  <c r="D18" i="17"/>
  <c r="D13" i="17"/>
  <c r="D15" i="17"/>
  <c r="D22" i="17"/>
  <c r="D16" i="17"/>
  <c r="D20" i="17"/>
  <c r="D12" i="17"/>
  <c r="D24" i="17"/>
  <c r="D25" i="17"/>
  <c r="D26" i="17"/>
  <c r="D14" i="17"/>
  <c r="D17" i="17"/>
  <c r="D19" i="17"/>
  <c r="D10" i="17"/>
  <c r="I11" i="17"/>
  <c r="D11" i="17"/>
  <c r="D21" i="17"/>
  <c r="D23" i="17"/>
  <c r="C7" i="12"/>
  <c r="G157" i="17"/>
  <c r="G47" i="6"/>
  <c r="P26" i="17" s="1"/>
  <c r="G25" i="6"/>
  <c r="P15" i="17" s="1"/>
  <c r="F124" i="17" s="1"/>
  <c r="G41" i="6"/>
  <c r="P23" i="17" s="1"/>
  <c r="Q101" i="17"/>
  <c r="G160" i="17" s="1"/>
  <c r="I22" i="17"/>
  <c r="Q102" i="17"/>
  <c r="G161" i="17" s="1"/>
  <c r="Q100" i="17"/>
  <c r="H116" i="20"/>
  <c r="C116" i="20"/>
  <c r="B3" i="20"/>
  <c r="C4" i="20" s="1"/>
  <c r="D87" i="17"/>
  <c r="F43" i="6"/>
  <c r="F26" i="21" s="1"/>
  <c r="I18" i="17"/>
  <c r="M100" i="17"/>
  <c r="E58" i="18"/>
  <c r="B53" i="6"/>
  <c r="C8" i="11"/>
  <c r="C17" i="11" s="1"/>
  <c r="C29" i="11" s="1"/>
  <c r="S125" i="3"/>
  <c r="S129" i="3" s="1"/>
  <c r="B3" i="19"/>
  <c r="C4" i="19" s="1"/>
  <c r="D56" i="17"/>
  <c r="F19" i="6"/>
  <c r="F14" i="21" s="1"/>
  <c r="F149" i="17"/>
  <c r="F152" i="17"/>
  <c r="G17" i="6"/>
  <c r="P11" i="17" s="1"/>
  <c r="G29" i="6"/>
  <c r="P17" i="17" s="1"/>
  <c r="G23" i="6"/>
  <c r="P14" i="17" s="1"/>
  <c r="G37" i="6"/>
  <c r="P21" i="17" s="1"/>
  <c r="F139" i="17" s="1"/>
  <c r="O102" i="17" l="1"/>
  <c r="R102" i="17" s="1"/>
  <c r="H161" i="17" s="1"/>
  <c r="B161" i="17"/>
  <c r="E161" i="17" s="1"/>
  <c r="F50" i="18"/>
  <c r="F24" i="17"/>
  <c r="F26" i="18"/>
  <c r="F15" i="17"/>
  <c r="O101" i="17"/>
  <c r="R101" i="17" s="1"/>
  <c r="H160" i="17" s="1"/>
  <c r="B160" i="17"/>
  <c r="F140" i="17"/>
  <c r="F144" i="17"/>
  <c r="J54" i="18"/>
  <c r="L100" i="17"/>
  <c r="F135" i="17"/>
  <c r="F138" i="17"/>
  <c r="I20" i="17"/>
  <c r="Q113" i="17"/>
  <c r="F34" i="18"/>
  <c r="F19" i="17"/>
  <c r="F12" i="17"/>
  <c r="F12" i="18"/>
  <c r="F126" i="17"/>
  <c r="F128" i="17"/>
  <c r="F132" i="17"/>
  <c r="F134" i="17"/>
  <c r="N103" i="17"/>
  <c r="D159" i="17"/>
  <c r="F47" i="18"/>
  <c r="F23" i="17"/>
  <c r="D27" i="17"/>
  <c r="F8" i="18"/>
  <c r="F10" i="17"/>
  <c r="F20" i="18"/>
  <c r="F14" i="17"/>
  <c r="F27" i="18"/>
  <c r="F16" i="17"/>
  <c r="F19" i="18"/>
  <c r="F13" i="17"/>
  <c r="P103" i="17"/>
  <c r="F159" i="17"/>
  <c r="F162" i="17" s="1"/>
  <c r="B62" i="11"/>
  <c r="E32" i="11"/>
  <c r="C31" i="11"/>
  <c r="G2" i="20"/>
  <c r="Y60" i="20"/>
  <c r="C23" i="20"/>
  <c r="T24" i="20"/>
  <c r="F153" i="17"/>
  <c r="F155" i="17"/>
  <c r="M103" i="17"/>
  <c r="C159" i="17"/>
  <c r="C162" i="17" s="1"/>
  <c r="F145" i="17"/>
  <c r="F147" i="17"/>
  <c r="F25" i="17"/>
  <c r="F51" i="18"/>
  <c r="F107" i="17"/>
  <c r="F109" i="17"/>
  <c r="F55" i="18"/>
  <c r="F26" i="17"/>
  <c r="F18" i="17"/>
  <c r="F31" i="18"/>
  <c r="G31" i="6"/>
  <c r="P18" i="17" s="1"/>
  <c r="G159" i="17"/>
  <c r="G162" i="17" s="1"/>
  <c r="G163" i="17" s="1"/>
  <c r="Q103" i="17"/>
  <c r="F53" i="6"/>
  <c r="C12" i="12" s="1"/>
  <c r="F12" i="21"/>
  <c r="F20" i="17"/>
  <c r="F37" i="18"/>
  <c r="F123" i="17"/>
  <c r="F118" i="17"/>
  <c r="G15" i="6"/>
  <c r="F41" i="18"/>
  <c r="F21" i="17"/>
  <c r="F9" i="18"/>
  <c r="F11" i="17"/>
  <c r="F17" i="17"/>
  <c r="F28" i="18"/>
  <c r="F42" i="18"/>
  <c r="F22" i="17"/>
  <c r="P25" i="9"/>
  <c r="P29" i="9" s="1"/>
  <c r="Q8" i="9"/>
  <c r="G19" i="6"/>
  <c r="P12" i="17" s="1"/>
  <c r="G2" i="19"/>
  <c r="F42" i="17"/>
  <c r="F43" i="17"/>
  <c r="C23" i="19"/>
  <c r="F51" i="17"/>
  <c r="W42" i="19"/>
  <c r="F45" i="17"/>
  <c r="F53" i="17"/>
  <c r="R24" i="19"/>
  <c r="F38" i="17"/>
  <c r="F48" i="17"/>
  <c r="F44" i="17"/>
  <c r="F49" i="17"/>
  <c r="F41" i="17"/>
  <c r="F46" i="17"/>
  <c r="G43" i="6"/>
  <c r="P24" i="17" s="1"/>
  <c r="F148" i="17" s="1"/>
  <c r="C126" i="17" l="1"/>
  <c r="C128" i="17" s="1"/>
  <c r="D44" i="17"/>
  <c r="M17" i="17"/>
  <c r="H41" i="18"/>
  <c r="K41" i="18" s="1"/>
  <c r="B139" i="17" s="1"/>
  <c r="L21" i="17"/>
  <c r="L11" i="17"/>
  <c r="H9" i="18"/>
  <c r="L10" i="17"/>
  <c r="H8" i="18"/>
  <c r="F27" i="17"/>
  <c r="M19" i="17"/>
  <c r="D46" i="17"/>
  <c r="C132" i="17"/>
  <c r="C134" i="17" s="1"/>
  <c r="G17" i="20"/>
  <c r="I17" i="20" s="1"/>
  <c r="G4" i="20"/>
  <c r="G5" i="20"/>
  <c r="I5" i="20" s="1"/>
  <c r="G6" i="20"/>
  <c r="G8" i="20"/>
  <c r="I8" i="20" s="1"/>
  <c r="G11" i="20"/>
  <c r="I11" i="20" s="1"/>
  <c r="G14" i="20"/>
  <c r="I14" i="20" s="1"/>
  <c r="G10" i="20"/>
  <c r="I10" i="20" s="1"/>
  <c r="G16" i="20"/>
  <c r="I16" i="20" s="1"/>
  <c r="G18" i="20"/>
  <c r="I18" i="20" s="1"/>
  <c r="G19" i="20"/>
  <c r="I19" i="20" s="1"/>
  <c r="G7" i="20"/>
  <c r="I7" i="20" s="1"/>
  <c r="G15" i="20"/>
  <c r="I15" i="20" s="1"/>
  <c r="G9" i="20"/>
  <c r="I9" i="20" s="1"/>
  <c r="G20" i="20"/>
  <c r="I20" i="20" s="1"/>
  <c r="G12" i="20"/>
  <c r="I12" i="20" s="1"/>
  <c r="G13" i="20"/>
  <c r="I13" i="20" s="1"/>
  <c r="M24" i="17"/>
  <c r="C148" i="17"/>
  <c r="D51" i="17"/>
  <c r="L16" i="17"/>
  <c r="H27" i="18"/>
  <c r="K27" i="18" s="1"/>
  <c r="B125" i="17" s="1"/>
  <c r="H28" i="18"/>
  <c r="L17" i="17"/>
  <c r="F53" i="21"/>
  <c r="G53" i="21" s="1"/>
  <c r="F131" i="17"/>
  <c r="F129" i="17"/>
  <c r="H51" i="18"/>
  <c r="L25" i="17"/>
  <c r="F58" i="18"/>
  <c r="L12" i="17"/>
  <c r="H12" i="18"/>
  <c r="C129" i="17"/>
  <c r="C131" i="17" s="1"/>
  <c r="D45" i="17"/>
  <c r="M18" i="17"/>
  <c r="D42" i="17"/>
  <c r="M15" i="17"/>
  <c r="C124" i="17"/>
  <c r="H34" i="18"/>
  <c r="L19" i="17"/>
  <c r="H26" i="18"/>
  <c r="K26" i="18" s="1"/>
  <c r="B124" i="17" s="1"/>
  <c r="L15" i="17"/>
  <c r="I58" i="20"/>
  <c r="K58" i="20" s="1"/>
  <c r="I35" i="20"/>
  <c r="K35" i="20" s="1"/>
  <c r="I42" i="20"/>
  <c r="K42" i="20" s="1"/>
  <c r="I51" i="20"/>
  <c r="K51" i="20" s="1"/>
  <c r="I40" i="20"/>
  <c r="K40" i="20" s="1"/>
  <c r="I25" i="20"/>
  <c r="I44" i="20"/>
  <c r="K44" i="20" s="1"/>
  <c r="I26" i="20"/>
  <c r="K26" i="20" s="1"/>
  <c r="I52" i="20"/>
  <c r="K52" i="20" s="1"/>
  <c r="I34" i="20"/>
  <c r="K34" i="20" s="1"/>
  <c r="I28" i="20"/>
  <c r="K28" i="20" s="1"/>
  <c r="I50" i="20"/>
  <c r="K50" i="20" s="1"/>
  <c r="I54" i="20"/>
  <c r="K54" i="20" s="1"/>
  <c r="I41" i="20"/>
  <c r="K41" i="20" s="1"/>
  <c r="I45" i="20"/>
  <c r="K45" i="20" s="1"/>
  <c r="I55" i="20"/>
  <c r="K55" i="20" s="1"/>
  <c r="I47" i="20"/>
  <c r="K47" i="20" s="1"/>
  <c r="L18" i="17"/>
  <c r="H31" i="18"/>
  <c r="M14" i="17"/>
  <c r="C118" i="17"/>
  <c r="C123" i="17" s="1"/>
  <c r="D41" i="17"/>
  <c r="H19" i="18"/>
  <c r="K19" i="18" s="1"/>
  <c r="B117" i="17" s="1"/>
  <c r="L13" i="17"/>
  <c r="Q25" i="9"/>
  <c r="S8" i="9"/>
  <c r="S25" i="9" s="1"/>
  <c r="L23" i="17"/>
  <c r="H47" i="18"/>
  <c r="P10" i="17"/>
  <c r="G53" i="6"/>
  <c r="L24" i="17"/>
  <c r="H50" i="18"/>
  <c r="K50" i="18" s="1"/>
  <c r="B148" i="17" s="1"/>
  <c r="F116" i="17"/>
  <c r="F110" i="17"/>
  <c r="L20" i="17"/>
  <c r="H37" i="18"/>
  <c r="H55" i="18"/>
  <c r="L26" i="17"/>
  <c r="G31" i="19"/>
  <c r="I31" i="19" s="1"/>
  <c r="G25" i="19"/>
  <c r="G36" i="19"/>
  <c r="I36" i="19" s="1"/>
  <c r="G28" i="19"/>
  <c r="I28" i="19" s="1"/>
  <c r="G32" i="19"/>
  <c r="I32" i="19" s="1"/>
  <c r="G35" i="19"/>
  <c r="I35" i="19" s="1"/>
  <c r="G30" i="19"/>
  <c r="I30" i="19" s="1"/>
  <c r="G27" i="19"/>
  <c r="I27" i="19" s="1"/>
  <c r="G40" i="19"/>
  <c r="I40" i="19" s="1"/>
  <c r="G34" i="19"/>
  <c r="I34" i="19" s="1"/>
  <c r="G33" i="19"/>
  <c r="I33" i="19" s="1"/>
  <c r="G41" i="19"/>
  <c r="I41" i="19" s="1"/>
  <c r="G26" i="19"/>
  <c r="I26" i="19" s="1"/>
  <c r="G29" i="19"/>
  <c r="I29" i="19" s="1"/>
  <c r="G38" i="19"/>
  <c r="I38" i="19" s="1"/>
  <c r="G39" i="19"/>
  <c r="I39" i="19" s="1"/>
  <c r="G37" i="19"/>
  <c r="I37" i="19" s="1"/>
  <c r="G20" i="19"/>
  <c r="I20" i="19" s="1"/>
  <c r="G4" i="19"/>
  <c r="G7" i="19"/>
  <c r="I7" i="19" s="1"/>
  <c r="G6" i="19"/>
  <c r="G8" i="19"/>
  <c r="I8" i="19" s="1"/>
  <c r="G9" i="19"/>
  <c r="I9" i="19" s="1"/>
  <c r="G10" i="19"/>
  <c r="I10" i="19" s="1"/>
  <c r="G11" i="19"/>
  <c r="I11" i="19" s="1"/>
  <c r="G5" i="19"/>
  <c r="I5" i="19" s="1"/>
  <c r="G15" i="19"/>
  <c r="I15" i="19" s="1"/>
  <c r="G16" i="19"/>
  <c r="I16" i="19" s="1"/>
  <c r="G17" i="19"/>
  <c r="I17" i="19" s="1"/>
  <c r="G12" i="19"/>
  <c r="I12" i="19" s="1"/>
  <c r="G13" i="19"/>
  <c r="I13" i="19" s="1"/>
  <c r="G14" i="19"/>
  <c r="I14" i="19" s="1"/>
  <c r="G18" i="19"/>
  <c r="I18" i="19" s="1"/>
  <c r="G19" i="19"/>
  <c r="I19" i="19" s="1"/>
  <c r="L22" i="17"/>
  <c r="H42" i="18"/>
  <c r="I23" i="17"/>
  <c r="I26" i="17" s="1"/>
  <c r="R113" i="17"/>
  <c r="I21" i="17" s="1"/>
  <c r="D48" i="17"/>
  <c r="C139" i="17"/>
  <c r="M21" i="17"/>
  <c r="D53" i="17"/>
  <c r="M26" i="17"/>
  <c r="C153" i="17"/>
  <c r="C155" i="17" s="1"/>
  <c r="D43" i="17"/>
  <c r="M16" i="17"/>
  <c r="C125" i="17"/>
  <c r="B159" i="17"/>
  <c r="L103" i="17"/>
  <c r="O100" i="17"/>
  <c r="M22" i="17"/>
  <c r="C140" i="17"/>
  <c r="C144" i="17" s="1"/>
  <c r="D49" i="17"/>
  <c r="C107" i="17"/>
  <c r="C109" i="17" s="1"/>
  <c r="D38" i="17"/>
  <c r="M11" i="17"/>
  <c r="L14" i="17"/>
  <c r="H20" i="18"/>
  <c r="P27" i="19" l="1"/>
  <c r="L27" i="19"/>
  <c r="N27" i="19"/>
  <c r="O15" i="17"/>
  <c r="R15" i="17" s="1"/>
  <c r="S15" i="17"/>
  <c r="I4" i="20"/>
  <c r="G21" i="20"/>
  <c r="J21" i="20" s="1"/>
  <c r="R42" i="20"/>
  <c r="S42" i="20" s="1"/>
  <c r="T42" i="20" s="1"/>
  <c r="N42" i="20"/>
  <c r="O42" i="20" s="1"/>
  <c r="P42" i="20"/>
  <c r="L29" i="19"/>
  <c r="P29" i="19"/>
  <c r="Q29" i="19" s="1"/>
  <c r="R29" i="19" s="1"/>
  <c r="N29" i="19"/>
  <c r="S24" i="17"/>
  <c r="O24" i="17"/>
  <c r="R24" i="17" s="1"/>
  <c r="M38" i="18"/>
  <c r="K39" i="18"/>
  <c r="B136" i="17" s="1"/>
  <c r="M39" i="18"/>
  <c r="N40" i="18"/>
  <c r="M37" i="18"/>
  <c r="M40" i="18" s="1"/>
  <c r="K38" i="18"/>
  <c r="B137" i="17" s="1"/>
  <c r="O14" i="17"/>
  <c r="R14" i="17" s="1"/>
  <c r="S14" i="17"/>
  <c r="I4" i="19"/>
  <c r="G21" i="19"/>
  <c r="J21" i="19" s="1"/>
  <c r="I6" i="19" s="1"/>
  <c r="P41" i="19"/>
  <c r="Q41" i="19" s="1"/>
  <c r="R41" i="19" s="1"/>
  <c r="L41" i="19"/>
  <c r="N41" i="19"/>
  <c r="M35" i="18"/>
  <c r="K35" i="18"/>
  <c r="B133" i="17" s="1"/>
  <c r="M34" i="18"/>
  <c r="M36" i="18" s="1"/>
  <c r="N36" i="18"/>
  <c r="O36" i="18" s="1"/>
  <c r="K34" i="18" s="1"/>
  <c r="B132" i="17" s="1"/>
  <c r="L33" i="19"/>
  <c r="N33" i="19"/>
  <c r="P33" i="19"/>
  <c r="Q33" i="19" s="1"/>
  <c r="R33" i="19" s="1"/>
  <c r="L30" i="19"/>
  <c r="P30" i="19"/>
  <c r="Q30" i="19" s="1"/>
  <c r="R30" i="19" s="1"/>
  <c r="N30" i="19"/>
  <c r="I25" i="19"/>
  <c r="G42" i="19"/>
  <c r="I6" i="20"/>
  <c r="P55" i="20"/>
  <c r="N55" i="20"/>
  <c r="R55" i="20"/>
  <c r="L34" i="19"/>
  <c r="P34" i="19"/>
  <c r="Q34" i="19" s="1"/>
  <c r="R34" i="19" s="1"/>
  <c r="N34" i="19"/>
  <c r="M28" i="18"/>
  <c r="N30" i="18"/>
  <c r="M29" i="18"/>
  <c r="K29" i="18"/>
  <c r="B127" i="17" s="1"/>
  <c r="K48" i="18"/>
  <c r="B146" i="17" s="1"/>
  <c r="M48" i="18"/>
  <c r="M47" i="18"/>
  <c r="M49" i="18" s="1"/>
  <c r="N49" i="18"/>
  <c r="R45" i="20"/>
  <c r="S45" i="20" s="1"/>
  <c r="T45" i="20" s="1"/>
  <c r="N45" i="20"/>
  <c r="O45" i="20" s="1"/>
  <c r="P45" i="20"/>
  <c r="H58" i="18"/>
  <c r="K8" i="18"/>
  <c r="S19" i="17"/>
  <c r="O19" i="17"/>
  <c r="R19" i="17" s="1"/>
  <c r="S26" i="17"/>
  <c r="O26" i="17"/>
  <c r="R26" i="17" s="1"/>
  <c r="N41" i="20"/>
  <c r="O41" i="20" s="1"/>
  <c r="R41" i="20"/>
  <c r="S41" i="20" s="1"/>
  <c r="T41" i="20" s="1"/>
  <c r="P41" i="20"/>
  <c r="L27" i="17"/>
  <c r="P37" i="19"/>
  <c r="Q37" i="19" s="1"/>
  <c r="R37" i="19" s="1"/>
  <c r="L37" i="19"/>
  <c r="N37" i="19"/>
  <c r="M51" i="18"/>
  <c r="M53" i="18"/>
  <c r="K52" i="18"/>
  <c r="B150" i="17" s="1"/>
  <c r="N54" i="18"/>
  <c r="K53" i="18"/>
  <c r="B151" i="17" s="1"/>
  <c r="M52" i="18"/>
  <c r="P35" i="19"/>
  <c r="L35" i="19"/>
  <c r="N35" i="19"/>
  <c r="R54" i="20"/>
  <c r="S54" i="20" s="1"/>
  <c r="T54" i="20" s="1"/>
  <c r="N54" i="20"/>
  <c r="O54" i="20" s="1"/>
  <c r="P54" i="20"/>
  <c r="N11" i="18"/>
  <c r="M9" i="18"/>
  <c r="K10" i="18"/>
  <c r="B108" i="17" s="1"/>
  <c r="M10" i="18"/>
  <c r="N40" i="20"/>
  <c r="O40" i="20" s="1"/>
  <c r="R40" i="20"/>
  <c r="S40" i="20" s="1"/>
  <c r="T40" i="20" s="1"/>
  <c r="P40" i="20"/>
  <c r="O17" i="17"/>
  <c r="R17" i="17" s="1"/>
  <c r="S17" i="17"/>
  <c r="O103" i="17"/>
  <c r="R100" i="17"/>
  <c r="R47" i="20"/>
  <c r="P47" i="20"/>
  <c r="N47" i="20"/>
  <c r="M43" i="18"/>
  <c r="K44" i="18"/>
  <c r="B142" i="17" s="1"/>
  <c r="E142" i="17" s="1"/>
  <c r="M44" i="18"/>
  <c r="K43" i="18"/>
  <c r="B141" i="17" s="1"/>
  <c r="E141" i="17" s="1"/>
  <c r="M42" i="18"/>
  <c r="K45" i="18"/>
  <c r="B143" i="17" s="1"/>
  <c r="E143" i="17" s="1"/>
  <c r="M45" i="18"/>
  <c r="N46" i="18"/>
  <c r="N50" i="20"/>
  <c r="O50" i="20" s="1"/>
  <c r="R50" i="20"/>
  <c r="S50" i="20" s="1"/>
  <c r="T50" i="20" s="1"/>
  <c r="P50" i="20"/>
  <c r="O11" i="17"/>
  <c r="R11" i="17" s="1"/>
  <c r="S11" i="17"/>
  <c r="R35" i="20"/>
  <c r="S35" i="20" s="1"/>
  <c r="T35" i="20" s="1"/>
  <c r="N35" i="20"/>
  <c r="O35" i="20" s="1"/>
  <c r="P35" i="20"/>
  <c r="L39" i="19"/>
  <c r="P39" i="19"/>
  <c r="Q39" i="19" s="1"/>
  <c r="R39" i="19" s="1"/>
  <c r="N39" i="19"/>
  <c r="F54" i="21"/>
  <c r="L31" i="19"/>
  <c r="N31" i="19"/>
  <c r="P31" i="19"/>
  <c r="Q31" i="19" s="1"/>
  <c r="R31" i="19" s="1"/>
  <c r="B162" i="17"/>
  <c r="E159" i="17"/>
  <c r="S22" i="17"/>
  <c r="O22" i="17"/>
  <c r="R22" i="17" s="1"/>
  <c r="R28" i="20"/>
  <c r="N28" i="20"/>
  <c r="P28" i="20"/>
  <c r="O21" i="17"/>
  <c r="R21" i="17" s="1"/>
  <c r="S21" i="17"/>
  <c r="N58" i="20"/>
  <c r="O58" i="20" s="1"/>
  <c r="R58" i="20"/>
  <c r="S58" i="20" s="1"/>
  <c r="T58" i="20" s="1"/>
  <c r="P58" i="20"/>
  <c r="N34" i="20"/>
  <c r="R34" i="20"/>
  <c r="P34" i="20"/>
  <c r="L26" i="19"/>
  <c r="P26" i="19"/>
  <c r="Q26" i="19" s="1"/>
  <c r="R26" i="19" s="1"/>
  <c r="N26" i="19"/>
  <c r="P28" i="19"/>
  <c r="L28" i="19"/>
  <c r="N28" i="19"/>
  <c r="R52" i="20"/>
  <c r="N52" i="20"/>
  <c r="P52" i="20"/>
  <c r="K25" i="20"/>
  <c r="I60" i="20"/>
  <c r="L38" i="19"/>
  <c r="P38" i="19"/>
  <c r="N38" i="19"/>
  <c r="P36" i="19"/>
  <c r="Q36" i="19" s="1"/>
  <c r="R36" i="19" s="1"/>
  <c r="N36" i="19"/>
  <c r="L36" i="19"/>
  <c r="N57" i="18"/>
  <c r="M55" i="18"/>
  <c r="K56" i="18"/>
  <c r="B154" i="17" s="1"/>
  <c r="M56" i="18"/>
  <c r="M22" i="18"/>
  <c r="K23" i="18"/>
  <c r="B121" i="17" s="1"/>
  <c r="M23" i="18"/>
  <c r="K24" i="18"/>
  <c r="B122" i="17" s="1"/>
  <c r="M24" i="18"/>
  <c r="K21" i="18"/>
  <c r="B119" i="17" s="1"/>
  <c r="K22" i="18"/>
  <c r="B120" i="17" s="1"/>
  <c r="M20" i="18"/>
  <c r="M21" i="18"/>
  <c r="N25" i="18"/>
  <c r="F106" i="17"/>
  <c r="F157" i="17" s="1"/>
  <c r="F163" i="17" s="1"/>
  <c r="P27" i="17"/>
  <c r="N33" i="18"/>
  <c r="K32" i="18"/>
  <c r="B130" i="17" s="1"/>
  <c r="E130" i="17" s="1"/>
  <c r="M31" i="18"/>
  <c r="M33" i="18" s="1"/>
  <c r="M32" i="18"/>
  <c r="N26" i="20"/>
  <c r="O26" i="20" s="1"/>
  <c r="P26" i="20"/>
  <c r="R26" i="20"/>
  <c r="S26" i="20" s="1"/>
  <c r="T26" i="20" s="1"/>
  <c r="R51" i="20"/>
  <c r="S51" i="20" s="1"/>
  <c r="T51" i="20" s="1"/>
  <c r="N51" i="20"/>
  <c r="O51" i="20" s="1"/>
  <c r="P51" i="20"/>
  <c r="N18" i="18"/>
  <c r="M13" i="18"/>
  <c r="K14" i="18"/>
  <c r="B112" i="17" s="1"/>
  <c r="M14" i="18"/>
  <c r="K15" i="18"/>
  <c r="B113" i="17" s="1"/>
  <c r="M15" i="18"/>
  <c r="K17" i="18"/>
  <c r="B115" i="17" s="1"/>
  <c r="M12" i="18"/>
  <c r="M16" i="18"/>
  <c r="K13" i="18"/>
  <c r="B111" i="17" s="1"/>
  <c r="K16" i="18"/>
  <c r="B114" i="17" s="1"/>
  <c r="M17" i="18"/>
  <c r="L40" i="19"/>
  <c r="P40" i="19"/>
  <c r="N40" i="19"/>
  <c r="L32" i="19"/>
  <c r="P32" i="19"/>
  <c r="Q32" i="19" s="1"/>
  <c r="R32" i="19" s="1"/>
  <c r="N32" i="19"/>
  <c r="O16" i="17"/>
  <c r="R16" i="17" s="1"/>
  <c r="S16" i="17"/>
  <c r="O18" i="17"/>
  <c r="R18" i="17" s="1"/>
  <c r="S18" i="17"/>
  <c r="N44" i="20"/>
  <c r="O44" i="20" s="1"/>
  <c r="R44" i="20"/>
  <c r="S44" i="20" s="1"/>
  <c r="T44" i="20" s="1"/>
  <c r="P44" i="20"/>
  <c r="B134" i="17" l="1"/>
  <c r="S34" i="19"/>
  <c r="U34" i="19" s="1"/>
  <c r="V34" i="19"/>
  <c r="U44" i="20"/>
  <c r="X44" i="20"/>
  <c r="H143" i="17"/>
  <c r="D46" i="21"/>
  <c r="G46" i="21" s="1"/>
  <c r="R25" i="20"/>
  <c r="N25" i="20"/>
  <c r="K60" i="20"/>
  <c r="P25" i="20"/>
  <c r="P60" i="20" s="1"/>
  <c r="O54" i="18"/>
  <c r="K51" i="18" s="1"/>
  <c r="B149" i="17" s="1"/>
  <c r="S29" i="19"/>
  <c r="U29" i="19" s="1"/>
  <c r="V29" i="19"/>
  <c r="D44" i="21"/>
  <c r="G44" i="21" s="1"/>
  <c r="H141" i="17"/>
  <c r="P25" i="19"/>
  <c r="I42" i="19"/>
  <c r="L25" i="19"/>
  <c r="N25" i="19"/>
  <c r="N42" i="19" s="1"/>
  <c r="R104" i="17"/>
  <c r="H159" i="17"/>
  <c r="H162" i="17" s="1"/>
  <c r="X41" i="20"/>
  <c r="U41" i="20"/>
  <c r="O11" i="18"/>
  <c r="K9" i="18" s="1"/>
  <c r="B107" i="17" s="1"/>
  <c r="O46" i="18"/>
  <c r="K42" i="18" s="1"/>
  <c r="B140" i="17" s="1"/>
  <c r="I21" i="19"/>
  <c r="V31" i="19"/>
  <c r="S31" i="19"/>
  <c r="U31" i="19" s="1"/>
  <c r="U26" i="20"/>
  <c r="X26" i="20"/>
  <c r="M57" i="18"/>
  <c r="S36" i="19"/>
  <c r="U36" i="19" s="1"/>
  <c r="V36" i="19"/>
  <c r="X42" i="20"/>
  <c r="U42" i="20"/>
  <c r="I21" i="20"/>
  <c r="O57" i="18"/>
  <c r="K55" i="18" s="1"/>
  <c r="B153" i="17" s="1"/>
  <c r="V41" i="19"/>
  <c r="S41" i="19"/>
  <c r="U41" i="19" s="1"/>
  <c r="S32" i="19"/>
  <c r="U32" i="19" s="1"/>
  <c r="V32" i="19"/>
  <c r="M54" i="18"/>
  <c r="V39" i="19"/>
  <c r="S39" i="19"/>
  <c r="U39" i="19" s="1"/>
  <c r="M30" i="18"/>
  <c r="U50" i="20"/>
  <c r="X50" i="20"/>
  <c r="M46" i="18"/>
  <c r="R103" i="17"/>
  <c r="R110" i="17"/>
  <c r="S110" i="17" s="1"/>
  <c r="D160" i="17" s="1"/>
  <c r="O40" i="18"/>
  <c r="K37" i="18" s="1"/>
  <c r="B135" i="17" s="1"/>
  <c r="V37" i="19"/>
  <c r="S37" i="19"/>
  <c r="U37" i="19" s="1"/>
  <c r="X51" i="20"/>
  <c r="U51" i="20"/>
  <c r="B106" i="17"/>
  <c r="M25" i="18"/>
  <c r="O25" i="18" s="1"/>
  <c r="K20" i="18" s="1"/>
  <c r="B118" i="17" s="1"/>
  <c r="D45" i="21"/>
  <c r="G45" i="21" s="1"/>
  <c r="H142" i="17"/>
  <c r="O18" i="18"/>
  <c r="K12" i="18" s="1"/>
  <c r="B110" i="17" s="1"/>
  <c r="D40" i="21"/>
  <c r="G40" i="21" s="1"/>
  <c r="H130" i="17"/>
  <c r="S30" i="19"/>
  <c r="U30" i="19" s="1"/>
  <c r="V30" i="19"/>
  <c r="U54" i="20"/>
  <c r="X54" i="20"/>
  <c r="X35" i="20"/>
  <c r="U35" i="20"/>
  <c r="O49" i="18"/>
  <c r="K47" i="18" s="1"/>
  <c r="B145" i="17" s="1"/>
  <c r="V26" i="19"/>
  <c r="S26" i="19"/>
  <c r="U26" i="19" s="1"/>
  <c r="U58" i="20"/>
  <c r="X58" i="20"/>
  <c r="O33" i="18"/>
  <c r="K31" i="18" s="1"/>
  <c r="B129" i="17" s="1"/>
  <c r="O30" i="18"/>
  <c r="K28" i="18" s="1"/>
  <c r="B126" i="17" s="1"/>
  <c r="V33" i="19"/>
  <c r="S33" i="19"/>
  <c r="U33" i="19" s="1"/>
  <c r="U40" i="20"/>
  <c r="X40" i="20"/>
  <c r="M11" i="18"/>
  <c r="M18" i="18"/>
  <c r="U45" i="20"/>
  <c r="X45" i="20"/>
  <c r="B123" i="17" l="1"/>
  <c r="B128" i="17"/>
  <c r="L42" i="19"/>
  <c r="M25" i="19" s="1"/>
  <c r="B147" i="17"/>
  <c r="B109" i="17"/>
  <c r="B138" i="17"/>
  <c r="B152" i="17"/>
  <c r="B131" i="17"/>
  <c r="B116" i="17"/>
  <c r="R60" i="20"/>
  <c r="S25" i="20" s="1"/>
  <c r="B155" i="17"/>
  <c r="B157" i="17" s="1"/>
  <c r="B163" i="17" s="1"/>
  <c r="K58" i="18"/>
  <c r="B144" i="17"/>
  <c r="N60" i="20"/>
  <c r="P42" i="19"/>
  <c r="S104" i="17"/>
  <c r="E160" i="17"/>
  <c r="E162" i="17" s="1"/>
  <c r="D162" i="17"/>
  <c r="T25" i="20" l="1"/>
  <c r="Q60" i="20"/>
  <c r="O47" i="20"/>
  <c r="Q47" i="20" s="1"/>
  <c r="V47" i="20" s="1"/>
  <c r="E98" i="20" s="1"/>
  <c r="O55" i="20"/>
  <c r="Q55" i="20" s="1"/>
  <c r="V55" i="20" s="1"/>
  <c r="E108" i="20" s="1"/>
  <c r="O28" i="20"/>
  <c r="Q28" i="20" s="1"/>
  <c r="V28" i="20" s="1"/>
  <c r="E75" i="20" s="1"/>
  <c r="O52" i="20"/>
  <c r="Q52" i="20" s="1"/>
  <c r="V52" i="20" s="1"/>
  <c r="E104" i="20" s="1"/>
  <c r="O34" i="20"/>
  <c r="Q34" i="20" s="1"/>
  <c r="V34" i="20" s="1"/>
  <c r="E82" i="20" s="1"/>
  <c r="O25" i="20"/>
  <c r="S34" i="20"/>
  <c r="T34" i="20" s="1"/>
  <c r="S47" i="20"/>
  <c r="T47" i="20" s="1"/>
  <c r="S28" i="20"/>
  <c r="T28" i="20" s="1"/>
  <c r="S55" i="20"/>
  <c r="T55" i="20" s="1"/>
  <c r="S52" i="20"/>
  <c r="T52" i="20" s="1"/>
  <c r="Q28" i="19"/>
  <c r="R28" i="19" s="1"/>
  <c r="Q38" i="19"/>
  <c r="R38" i="19" s="1"/>
  <c r="Q27" i="19"/>
  <c r="R27" i="19" s="1"/>
  <c r="Q40" i="19"/>
  <c r="R40" i="19" s="1"/>
  <c r="Q35" i="19"/>
  <c r="R35" i="19" s="1"/>
  <c r="Q25" i="19"/>
  <c r="O42" i="19"/>
  <c r="M28" i="19"/>
  <c r="M40" i="19"/>
  <c r="M27" i="19"/>
  <c r="M42" i="19" s="1"/>
  <c r="M35" i="19"/>
  <c r="M38" i="19"/>
  <c r="X52" i="20" l="1"/>
  <c r="U52" i="20"/>
  <c r="W52" i="20" s="1"/>
  <c r="X28" i="20"/>
  <c r="X47" i="20"/>
  <c r="U47" i="20"/>
  <c r="W47" i="20" s="1"/>
  <c r="S40" i="19"/>
  <c r="V40" i="19"/>
  <c r="V38" i="19"/>
  <c r="S38" i="19"/>
  <c r="U34" i="20"/>
  <c r="W34" i="20" s="1"/>
  <c r="X34" i="20"/>
  <c r="O27" i="19"/>
  <c r="T27" i="19" s="1"/>
  <c r="F39" i="17" s="1"/>
  <c r="O28" i="19"/>
  <c r="T28" i="19" s="1"/>
  <c r="F40" i="17" s="1"/>
  <c r="O35" i="19"/>
  <c r="T35" i="19" s="1"/>
  <c r="F47" i="17" s="1"/>
  <c r="O40" i="19"/>
  <c r="T40" i="19" s="1"/>
  <c r="F52" i="17" s="1"/>
  <c r="O25" i="19"/>
  <c r="T25" i="19" s="1"/>
  <c r="O38" i="19"/>
  <c r="T38" i="19" s="1"/>
  <c r="F50" i="17" s="1"/>
  <c r="G82" i="20"/>
  <c r="D117" i="17" s="1"/>
  <c r="C82" i="20"/>
  <c r="S35" i="19"/>
  <c r="U35" i="19" s="1"/>
  <c r="V35" i="19"/>
  <c r="T104" i="20"/>
  <c r="U106" i="20"/>
  <c r="G105" i="20"/>
  <c r="D146" i="17" s="1"/>
  <c r="E146" i="17" s="1"/>
  <c r="T105" i="20"/>
  <c r="G104" i="20"/>
  <c r="C104" i="20"/>
  <c r="R25" i="19"/>
  <c r="Q42" i="19"/>
  <c r="S28" i="19"/>
  <c r="U28" i="19" s="1"/>
  <c r="V28" i="19"/>
  <c r="Q25" i="20"/>
  <c r="O60" i="20"/>
  <c r="Q42" i="20"/>
  <c r="V42" i="20" s="1"/>
  <c r="Q45" i="20"/>
  <c r="V45" i="20" s="1"/>
  <c r="Q58" i="20"/>
  <c r="V58" i="20" s="1"/>
  <c r="Q41" i="20"/>
  <c r="V41" i="20" s="1"/>
  <c r="Q54" i="20"/>
  <c r="V54" i="20" s="1"/>
  <c r="Q50" i="20"/>
  <c r="V50" i="20" s="1"/>
  <c r="Q35" i="20"/>
  <c r="V35" i="20" s="1"/>
  <c r="Q44" i="20"/>
  <c r="V44" i="20" s="1"/>
  <c r="Q26" i="20"/>
  <c r="V26" i="20" s="1"/>
  <c r="Q40" i="20"/>
  <c r="V40" i="20" s="1"/>
  <c r="Q51" i="20"/>
  <c r="V51" i="20" s="1"/>
  <c r="T75" i="20"/>
  <c r="G78" i="20"/>
  <c r="D113" i="17" s="1"/>
  <c r="E113" i="17" s="1"/>
  <c r="T80" i="20"/>
  <c r="U81" i="20"/>
  <c r="G76" i="20"/>
  <c r="D111" i="17" s="1"/>
  <c r="E111" i="17" s="1"/>
  <c r="T76" i="20"/>
  <c r="G79" i="20"/>
  <c r="D114" i="17" s="1"/>
  <c r="E114" i="17" s="1"/>
  <c r="G77" i="20"/>
  <c r="D112" i="17" s="1"/>
  <c r="E112" i="17" s="1"/>
  <c r="T79" i="20"/>
  <c r="T78" i="20"/>
  <c r="T77" i="20"/>
  <c r="G80" i="20"/>
  <c r="D115" i="17" s="1"/>
  <c r="E115" i="17" s="1"/>
  <c r="C75" i="20"/>
  <c r="C108" i="20"/>
  <c r="T108" i="20"/>
  <c r="T111" i="20" s="1"/>
  <c r="G109" i="20"/>
  <c r="D150" i="17" s="1"/>
  <c r="E150" i="17" s="1"/>
  <c r="T110" i="20"/>
  <c r="T109" i="20"/>
  <c r="G110" i="20"/>
  <c r="D151" i="17" s="1"/>
  <c r="E151" i="17" s="1"/>
  <c r="U111" i="20"/>
  <c r="S60" i="20"/>
  <c r="V27" i="19"/>
  <c r="U55" i="20"/>
  <c r="W55" i="20" s="1"/>
  <c r="X55" i="20"/>
  <c r="T99" i="20"/>
  <c r="G100" i="20"/>
  <c r="D136" i="17" s="1"/>
  <c r="E136" i="17" s="1"/>
  <c r="T100" i="20"/>
  <c r="T98" i="20"/>
  <c r="T101" i="20" s="1"/>
  <c r="G99" i="20"/>
  <c r="D137" i="17" s="1"/>
  <c r="E137" i="17" s="1"/>
  <c r="C98" i="20"/>
  <c r="U101" i="20"/>
  <c r="V101" i="20" s="1"/>
  <c r="G98" i="20" s="1"/>
  <c r="T60" i="20"/>
  <c r="X60" i="20" s="1"/>
  <c r="Z60" i="20" s="1"/>
  <c r="U28" i="20" s="1"/>
  <c r="W28" i="20" s="1"/>
  <c r="U25" i="20"/>
  <c r="X25" i="20"/>
  <c r="G101" i="20" l="1"/>
  <c r="D138" i="17" s="1"/>
  <c r="D135" i="17"/>
  <c r="H115" i="17"/>
  <c r="D34" i="21"/>
  <c r="G34" i="21" s="1"/>
  <c r="E91" i="20"/>
  <c r="W42" i="20"/>
  <c r="D32" i="21"/>
  <c r="G32" i="21" s="1"/>
  <c r="H113" i="17"/>
  <c r="E89" i="20"/>
  <c r="W40" i="20"/>
  <c r="E72" i="20"/>
  <c r="W26" i="20"/>
  <c r="E102" i="20"/>
  <c r="W50" i="20"/>
  <c r="U38" i="19"/>
  <c r="D40" i="17"/>
  <c r="C117" i="17"/>
  <c r="E117" i="17" s="1"/>
  <c r="M13" i="17"/>
  <c r="E94" i="20"/>
  <c r="W44" i="20"/>
  <c r="M12" i="17"/>
  <c r="C110" i="17"/>
  <c r="D39" i="17"/>
  <c r="H111" i="17"/>
  <c r="D30" i="21"/>
  <c r="G30" i="21" s="1"/>
  <c r="E103" i="20"/>
  <c r="W51" i="20"/>
  <c r="D47" i="21"/>
  <c r="G47" i="21" s="1"/>
  <c r="H146" i="17"/>
  <c r="U40" i="19"/>
  <c r="E90" i="20"/>
  <c r="W41" i="20"/>
  <c r="Q61" i="20"/>
  <c r="Q62" i="20" s="1"/>
  <c r="V25" i="20"/>
  <c r="V25" i="19"/>
  <c r="R42" i="19"/>
  <c r="V42" i="19" s="1"/>
  <c r="X42" i="19" s="1"/>
  <c r="S27" i="19" s="1"/>
  <c r="U27" i="19" s="1"/>
  <c r="S25" i="19"/>
  <c r="D47" i="17"/>
  <c r="C135" i="17"/>
  <c r="M20" i="17"/>
  <c r="H114" i="17"/>
  <c r="D33" i="21"/>
  <c r="G33" i="21" s="1"/>
  <c r="T81" i="20"/>
  <c r="V81" i="20" s="1"/>
  <c r="G75" i="20" s="1"/>
  <c r="E83" i="20"/>
  <c r="W35" i="20"/>
  <c r="T42" i="19"/>
  <c r="F37" i="17"/>
  <c r="H136" i="17"/>
  <c r="D43" i="21"/>
  <c r="G43" i="21" s="1"/>
  <c r="E95" i="20"/>
  <c r="W45" i="20"/>
  <c r="V111" i="20"/>
  <c r="G108" i="20" s="1"/>
  <c r="E107" i="20"/>
  <c r="W54" i="20"/>
  <c r="T106" i="20"/>
  <c r="V106" i="20" s="1"/>
  <c r="M23" i="17"/>
  <c r="C145" i="17"/>
  <c r="D50" i="17"/>
  <c r="D49" i="21"/>
  <c r="G49" i="21" s="1"/>
  <c r="H151" i="17"/>
  <c r="D48" i="21"/>
  <c r="G48" i="21" s="1"/>
  <c r="H150" i="17"/>
  <c r="C149" i="17"/>
  <c r="D52" i="17"/>
  <c r="M25" i="17"/>
  <c r="D31" i="21"/>
  <c r="G31" i="21" s="1"/>
  <c r="H112" i="17"/>
  <c r="E112" i="20"/>
  <c r="W58" i="20"/>
  <c r="D145" i="17"/>
  <c r="G106" i="20"/>
  <c r="D147" i="17" s="1"/>
  <c r="U60" i="20"/>
  <c r="H137" i="17"/>
  <c r="D42" i="21"/>
  <c r="G42" i="21" s="1"/>
  <c r="G81" i="20" l="1"/>
  <c r="D116" i="17" s="1"/>
  <c r="D110" i="17"/>
  <c r="G111" i="20"/>
  <c r="D152" i="17" s="1"/>
  <c r="D149" i="17"/>
  <c r="U25" i="19"/>
  <c r="U42" i="19" s="1"/>
  <c r="S42" i="19"/>
  <c r="D37" i="17"/>
  <c r="D54" i="17" s="1"/>
  <c r="F54" i="17"/>
  <c r="C106" i="17"/>
  <c r="M10" i="17"/>
  <c r="G89" i="20"/>
  <c r="D124" i="17" s="1"/>
  <c r="E124" i="17" s="1"/>
  <c r="C89" i="20"/>
  <c r="C147" i="17"/>
  <c r="E145" i="17"/>
  <c r="G90" i="20"/>
  <c r="D125" i="17" s="1"/>
  <c r="E125" i="17" s="1"/>
  <c r="C90" i="20"/>
  <c r="H117" i="17"/>
  <c r="D15" i="21"/>
  <c r="G15" i="21" s="1"/>
  <c r="C116" i="17"/>
  <c r="E110" i="17"/>
  <c r="G107" i="20"/>
  <c r="D148" i="17" s="1"/>
  <c r="E148" i="17" s="1"/>
  <c r="C107" i="20"/>
  <c r="V60" i="20"/>
  <c r="W60" i="20" s="1"/>
  <c r="E71" i="20"/>
  <c r="G103" i="20"/>
  <c r="C103" i="20"/>
  <c r="S13" i="17"/>
  <c r="O13" i="17"/>
  <c r="R13" i="17" s="1"/>
  <c r="T73" i="20"/>
  <c r="C72" i="20"/>
  <c r="G73" i="20"/>
  <c r="D108" i="17" s="1"/>
  <c r="E108" i="17" s="1"/>
  <c r="T72" i="20"/>
  <c r="T74" i="20" s="1"/>
  <c r="U74" i="20"/>
  <c r="U97" i="20"/>
  <c r="G96" i="20"/>
  <c r="D133" i="17" s="1"/>
  <c r="E133" i="17" s="1"/>
  <c r="T96" i="20"/>
  <c r="T95" i="20"/>
  <c r="T97" i="20" s="1"/>
  <c r="C95" i="20"/>
  <c r="T83" i="20"/>
  <c r="G84" i="20"/>
  <c r="D119" i="17" s="1"/>
  <c r="E119" i="17" s="1"/>
  <c r="G85" i="20"/>
  <c r="D120" i="17" s="1"/>
  <c r="E120" i="17" s="1"/>
  <c r="T84" i="20"/>
  <c r="T85" i="20"/>
  <c r="T86" i="20"/>
  <c r="G87" i="20"/>
  <c r="D122" i="17" s="1"/>
  <c r="E122" i="17" s="1"/>
  <c r="T87" i="20"/>
  <c r="G86" i="20"/>
  <c r="D121" i="17" s="1"/>
  <c r="E121" i="17" s="1"/>
  <c r="U88" i="20"/>
  <c r="C83" i="20"/>
  <c r="O12" i="17"/>
  <c r="R12" i="17" s="1"/>
  <c r="S12" i="17"/>
  <c r="T112" i="20"/>
  <c r="G113" i="20"/>
  <c r="D154" i="17" s="1"/>
  <c r="E154" i="17" s="1"/>
  <c r="T113" i="20"/>
  <c r="U114" i="20"/>
  <c r="C112" i="20"/>
  <c r="T92" i="20"/>
  <c r="U93" i="20"/>
  <c r="T91" i="20"/>
  <c r="T93" i="20" s="1"/>
  <c r="G92" i="20"/>
  <c r="D127" i="17" s="1"/>
  <c r="E127" i="17" s="1"/>
  <c r="C91" i="20"/>
  <c r="G94" i="20"/>
  <c r="C94" i="20"/>
  <c r="S25" i="17"/>
  <c r="O25" i="17"/>
  <c r="R25" i="17" s="1"/>
  <c r="O23" i="17"/>
  <c r="R23" i="17" s="1"/>
  <c r="S23" i="17"/>
  <c r="O20" i="17"/>
  <c r="R20" i="17" s="1"/>
  <c r="S20" i="17"/>
  <c r="C138" i="17"/>
  <c r="E135" i="17"/>
  <c r="G102" i="20"/>
  <c r="D139" i="17" s="1"/>
  <c r="E139" i="17" s="1"/>
  <c r="C102" i="20"/>
  <c r="W25" i="20"/>
  <c r="C152" i="17"/>
  <c r="E149" i="17"/>
  <c r="T88" i="20" l="1"/>
  <c r="V93" i="20"/>
  <c r="G91" i="20" s="1"/>
  <c r="H121" i="17"/>
  <c r="D37" i="21"/>
  <c r="G37" i="21" s="1"/>
  <c r="D22" i="21"/>
  <c r="G22" i="21" s="1"/>
  <c r="H135" i="17"/>
  <c r="E138" i="17"/>
  <c r="H138" i="17" s="1"/>
  <c r="V74" i="20"/>
  <c r="G72" i="20" s="1"/>
  <c r="T114" i="20"/>
  <c r="V114" i="20" s="1"/>
  <c r="G112" i="20" s="1"/>
  <c r="H108" i="17"/>
  <c r="D29" i="21"/>
  <c r="G29" i="21" s="1"/>
  <c r="D17" i="21"/>
  <c r="G17" i="21" s="1"/>
  <c r="H124" i="17"/>
  <c r="H154" i="17"/>
  <c r="D50" i="21"/>
  <c r="G50" i="21" s="1"/>
  <c r="D26" i="21"/>
  <c r="G26" i="21" s="1"/>
  <c r="H148" i="17"/>
  <c r="C157" i="17"/>
  <c r="C163" i="17" s="1"/>
  <c r="M27" i="17"/>
  <c r="S10" i="17"/>
  <c r="O10" i="17"/>
  <c r="V88" i="20"/>
  <c r="G83" i="20" s="1"/>
  <c r="D14" i="21"/>
  <c r="G14" i="21" s="1"/>
  <c r="E116" i="17"/>
  <c r="H116" i="17" s="1"/>
  <c r="H110" i="17"/>
  <c r="H149" i="17"/>
  <c r="D27" i="21"/>
  <c r="G27" i="21" s="1"/>
  <c r="E152" i="17"/>
  <c r="H152" i="17" s="1"/>
  <c r="D41" i="21"/>
  <c r="G41" i="21" s="1"/>
  <c r="H133" i="17"/>
  <c r="E115" i="20"/>
  <c r="G71" i="20"/>
  <c r="D106" i="17" s="1"/>
  <c r="E106" i="17" s="1"/>
  <c r="C71" i="20"/>
  <c r="C115" i="20" s="1"/>
  <c r="D23" i="21"/>
  <c r="G23" i="21" s="1"/>
  <c r="H139" i="17"/>
  <c r="D38" i="21"/>
  <c r="G38" i="21" s="1"/>
  <c r="H122" i="17"/>
  <c r="V97" i="20"/>
  <c r="G95" i="20" s="1"/>
  <c r="D144" i="17"/>
  <c r="D140" i="17"/>
  <c r="E140" i="17" s="1"/>
  <c r="D35" i="21"/>
  <c r="G35" i="21" s="1"/>
  <c r="H119" i="17"/>
  <c r="H125" i="17"/>
  <c r="D18" i="21"/>
  <c r="G18" i="21" s="1"/>
  <c r="D129" i="17"/>
  <c r="E129" i="17" s="1"/>
  <c r="D131" i="17"/>
  <c r="D36" i="21"/>
  <c r="G36" i="21" s="1"/>
  <c r="H120" i="17"/>
  <c r="E147" i="17"/>
  <c r="H147" i="17" s="1"/>
  <c r="H145" i="17"/>
  <c r="D25" i="21"/>
  <c r="G25" i="21" s="1"/>
  <c r="D39" i="21"/>
  <c r="G39" i="21" s="1"/>
  <c r="H127" i="17"/>
  <c r="H106" i="17" l="1"/>
  <c r="D12" i="21"/>
  <c r="G115" i="20"/>
  <c r="D153" i="17"/>
  <c r="E153" i="17" s="1"/>
  <c r="E144" i="17"/>
  <c r="H144" i="17" s="1"/>
  <c r="D24" i="21"/>
  <c r="G24" i="21" s="1"/>
  <c r="H140" i="17"/>
  <c r="D20" i="21"/>
  <c r="G20" i="21" s="1"/>
  <c r="E131" i="17"/>
  <c r="H131" i="17" s="1"/>
  <c r="H129" i="17"/>
  <c r="D132" i="17"/>
  <c r="E132" i="17" s="1"/>
  <c r="G97" i="20"/>
  <c r="D134" i="17" s="1"/>
  <c r="D118" i="17"/>
  <c r="E118" i="17" s="1"/>
  <c r="G88" i="20"/>
  <c r="D123" i="17" s="1"/>
  <c r="D126" i="17"/>
  <c r="E126" i="17" s="1"/>
  <c r="G93" i="20"/>
  <c r="D128" i="17" s="1"/>
  <c r="O27" i="17"/>
  <c r="R30" i="17" s="1"/>
  <c r="R10" i="17"/>
  <c r="R27" i="17" s="1"/>
  <c r="G74" i="20"/>
  <c r="D109" i="17" s="1"/>
  <c r="D107" i="17"/>
  <c r="E107" i="17" s="1"/>
  <c r="H107" i="17" l="1"/>
  <c r="E109" i="17"/>
  <c r="H109" i="17" s="1"/>
  <c r="D13" i="21"/>
  <c r="G13" i="21" s="1"/>
  <c r="H132" i="17"/>
  <c r="E134" i="17"/>
  <c r="H134" i="17" s="1"/>
  <c r="D21" i="21"/>
  <c r="G21" i="21" s="1"/>
  <c r="D16" i="21"/>
  <c r="G16" i="21" s="1"/>
  <c r="H118" i="17"/>
  <c r="E123" i="17"/>
  <c r="H123" i="17" s="1"/>
  <c r="E155" i="17"/>
  <c r="D28" i="21"/>
  <c r="G28" i="21" s="1"/>
  <c r="H153" i="17"/>
  <c r="G116" i="20"/>
  <c r="D155" i="17"/>
  <c r="D157" i="17" s="1"/>
  <c r="D163" i="17" s="1"/>
  <c r="H126" i="17"/>
  <c r="D19" i="21"/>
  <c r="G19" i="21" s="1"/>
  <c r="E128" i="17"/>
  <c r="H128" i="17" s="1"/>
  <c r="G12" i="21"/>
  <c r="D51" i="21" l="1"/>
  <c r="H155" i="17"/>
  <c r="H157" i="17" s="1"/>
  <c r="E157" i="17"/>
  <c r="H158" i="17" l="1"/>
  <c r="E163" i="17"/>
  <c r="H163" i="17"/>
  <c r="C4" i="12"/>
  <c r="C19" i="12" s="1"/>
  <c r="G51" i="21"/>
  <c r="G55" i="21" s="1"/>
  <c r="D54" i="21"/>
  <c r="G54" i="21" s="1"/>
</calcChain>
</file>

<file path=xl/comments1.xml><?xml version="1.0" encoding="utf-8"?>
<comments xmlns="http://schemas.openxmlformats.org/spreadsheetml/2006/main">
  <authors>
    <author>Department of Taxation</author>
  </authors>
  <commentList>
    <comment ref="L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M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  <comment ref="O27" authorId="0">
      <text>
        <r>
          <rPr>
            <b/>
            <sz val="8"/>
            <color indexed="81"/>
            <rFont val="Tahoma"/>
          </rPr>
          <t>Department of Taxation:</t>
        </r>
        <r>
          <rPr>
            <sz val="8"/>
            <color indexed="81"/>
            <rFont val="Tahoma"/>
          </rPr>
          <t xml:space="preserve">
</t>
        </r>
      </text>
    </comment>
    <comment ref="O42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(e)</t>
        </r>
      </text>
    </comment>
  </commentList>
</comments>
</file>

<file path=xl/comments2.xml><?xml version="1.0" encoding="utf-8"?>
<comments xmlns="http://schemas.openxmlformats.org/spreadsheetml/2006/main">
  <authors>
    <author>Department of Taxation</author>
  </authors>
  <commentList>
    <comment ref="N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 , subsec 1 (c)</t>
        </r>
      </text>
    </comment>
    <comment ref="O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(f)</t>
        </r>
      </text>
    </comment>
    <comment ref="P24" authorId="0">
      <text>
        <r>
          <rPr>
            <b/>
            <sz val="8"/>
            <color indexed="81"/>
            <rFont val="Tahoma"/>
          </rPr>
          <t>Penny Hampton:</t>
        </r>
        <r>
          <rPr>
            <sz val="8"/>
            <color indexed="81"/>
            <rFont val="Tahoma"/>
          </rPr>
          <t xml:space="preserve">
Sec 2, subsec 1 (d)</t>
        </r>
      </text>
    </comment>
  </commentList>
</comments>
</file>

<file path=xl/sharedStrings.xml><?xml version="1.0" encoding="utf-8"?>
<sst xmlns="http://schemas.openxmlformats.org/spreadsheetml/2006/main" count="1753" uniqueCount="785">
  <si>
    <t>SCHEDULE 1</t>
  </si>
  <si>
    <t>Report Month</t>
  </si>
  <si>
    <t>Activity Month</t>
  </si>
  <si>
    <t>STATE OF NEVADA</t>
  </si>
  <si>
    <t>MOTOR VEHICLE FUEL TAX COLLECTION AND DISTRIBUTION STATISTICAL</t>
  </si>
  <si>
    <t>GALLONS</t>
  </si>
  <si>
    <t>TAXABLE</t>
  </si>
  <si>
    <t>STATE TAX</t>
  </si>
  <si>
    <t>COUNTY</t>
  </si>
  <si>
    <t>GASOLINE</t>
  </si>
  <si>
    <t>OPTION</t>
  </si>
  <si>
    <t>COMBINED</t>
  </si>
  <si>
    <t>TOTAL</t>
  </si>
  <si>
    <t>DEALER</t>
  </si>
  <si>
    <t>GASOHOL</t>
  </si>
  <si>
    <t xml:space="preserve"> 12.65¢</t>
  </si>
  <si>
    <t>5¢</t>
  </si>
  <si>
    <t xml:space="preserve"> 5.35¢</t>
  </si>
  <si>
    <t>1 - 9¢</t>
  </si>
  <si>
    <t>1¢</t>
  </si>
  <si>
    <t>TAX TOTAL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</si>
  <si>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</si>
  <si>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</si>
  <si>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</si>
  <si>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</si>
  <si>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</si>
  <si>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</si>
  <si>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</si>
  <si>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</si>
  <si>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</si>
  <si>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</si>
  <si>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</si>
  <si>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</si>
  <si>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</si>
  <si>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</si>
  <si>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</si>
  <si>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</si>
  <si>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</si>
  <si>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Affordable Fuel &amp; Oil Co</t>
  </si>
  <si>
    <t>Al Park Petroleum Inc</t>
  </si>
  <si>
    <t>America West Airlines Inc</t>
  </si>
  <si>
    <t>Bel-Court Service</t>
  </si>
  <si>
    <t>Carson Valley Oil Co., Inc.</t>
  </si>
  <si>
    <t>Chevron USA Inc</t>
  </si>
  <si>
    <t>Chris's Service Inc</t>
  </si>
  <si>
    <t>Circle K Stores Inc</t>
  </si>
  <si>
    <t>Conrad &amp; Bischoff Inc</t>
  </si>
  <si>
    <t>Hardy Enterprises</t>
  </si>
  <si>
    <t>Haycock Distributing Co</t>
  </si>
  <si>
    <t>Herbst Oil Co</t>
  </si>
  <si>
    <t>Hughes Oil</t>
  </si>
  <si>
    <t>Jenkin's Oil Company Inc</t>
  </si>
  <si>
    <t>Majors Fuels Inc</t>
  </si>
  <si>
    <t>Maverik Country Stores</t>
  </si>
  <si>
    <t>Nat'l Oil &amp; Burner Co</t>
  </si>
  <si>
    <t>New West Petroleum</t>
  </si>
  <si>
    <t>Norcross Service Stations</t>
  </si>
  <si>
    <t>Petroleum Distributors Inc</t>
  </si>
  <si>
    <t>Phoenix Fuel Company Inc</t>
  </si>
  <si>
    <t>Rebel Oil Co Inc</t>
  </si>
  <si>
    <t>Reed Distributing Inc</t>
  </si>
  <si>
    <t>River City Petroleum Inc</t>
  </si>
  <si>
    <t>Sage Petroleum Products</t>
  </si>
  <si>
    <t>Sevier Valley Oil Co Inc</t>
  </si>
  <si>
    <t>Shell Products Inc</t>
  </si>
  <si>
    <t>Signature Flight Support</t>
  </si>
  <si>
    <t>Smitten Oil &amp; Tire Co Inc</t>
  </si>
  <si>
    <t>Sperry Oil Company</t>
  </si>
  <si>
    <t>Texmo Oil Co Jobbers Inc</t>
  </si>
  <si>
    <t>Time Oil Co</t>
  </si>
  <si>
    <t>Washoe Fuel Inc</t>
  </si>
  <si>
    <t>Western Central Petroleum</t>
  </si>
  <si>
    <t>Column Total</t>
  </si>
  <si>
    <t xml:space="preserve">TOTAL </t>
  </si>
  <si>
    <t>Plus Gasohol</t>
  </si>
  <si>
    <t xml:space="preserve">Option </t>
  </si>
  <si>
    <t xml:space="preserve">1 Cent </t>
  </si>
  <si>
    <t>Avgas -- S6A</t>
  </si>
  <si>
    <t>Figure -- tape</t>
  </si>
  <si>
    <t>S1 Over/(Under)</t>
  </si>
  <si>
    <t>/FS~R</t>
  </si>
  <si>
    <t>DEALERS REPORTING NO TAXABLE GALLONAGE</t>
  </si>
  <si>
    <t xml:space="preserve"> </t>
  </si>
  <si>
    <t>Supreme Oil Company</t>
  </si>
  <si>
    <t>United Oil</t>
  </si>
  <si>
    <t>SCHEDULE 2</t>
  </si>
  <si>
    <t xml:space="preserve">    </t>
  </si>
  <si>
    <t>MOTOR VEHICLE FUEL TAX COLLECTION AND DISTRIBUTION</t>
  </si>
  <si>
    <t>1 - 9  CENT  COUNTY  OPTION  TAX  (NRS 373)</t>
  </si>
  <si>
    <t>9¢</t>
  </si>
  <si>
    <t>4¢</t>
  </si>
  <si>
    <t>Brico of Idaho, Inc.</t>
  </si>
  <si>
    <t>Chris's Service, Inc.</t>
  </si>
  <si>
    <t>Circle K Stores, Inc.</t>
  </si>
  <si>
    <t>Flying J, Inc.</t>
  </si>
  <si>
    <t>Haycock Distributing Co.</t>
  </si>
  <si>
    <t>Herbst Oil Co.</t>
  </si>
  <si>
    <t>Phoenix Fuel Co., Inc.</t>
  </si>
  <si>
    <t>Reed Distributing, Inc.</t>
  </si>
  <si>
    <t>SCHEDULE 2A</t>
  </si>
  <si>
    <t>1 CENT COUNTY TAX (NRS 365.192)</t>
  </si>
  <si>
    <t xml:space="preserve">1¢   </t>
  </si>
  <si>
    <t>Al Park Petroleum</t>
  </si>
  <si>
    <t>Rebel Oil Co., Inc.</t>
  </si>
  <si>
    <t>River City Petroleum</t>
  </si>
  <si>
    <t>Sevier Valley Oil Co, Inc</t>
  </si>
  <si>
    <t>check figure</t>
  </si>
  <si>
    <t>SCHEDULE 3</t>
  </si>
  <si>
    <t>Page 1</t>
  </si>
  <si>
    <t>Page 4</t>
  </si>
  <si>
    <t>1.75 CENT STATE TAX (COUNTY ALLOCATION)</t>
  </si>
  <si>
    <t>RECAP -- TOTAL TAX TO COUNTIES</t>
  </si>
  <si>
    <t>Total</t>
  </si>
  <si>
    <t xml:space="preserve">PERCENT </t>
  </si>
  <si>
    <t xml:space="preserve">1.75 CENTS LESS </t>
  </si>
  <si>
    <t xml:space="preserve">LESS </t>
  </si>
  <si>
    <t>COUNTY OPTION</t>
  </si>
  <si>
    <t xml:space="preserve">COUNTY </t>
  </si>
  <si>
    <t xml:space="preserve">NET TO </t>
  </si>
  <si>
    <t xml:space="preserve">GALLONS </t>
  </si>
  <si>
    <t xml:space="preserve">OF TOTAL </t>
  </si>
  <si>
    <t xml:space="preserve">ADMINISTRATION </t>
  </si>
  <si>
    <t xml:space="preserve">REFUNDS </t>
  </si>
  <si>
    <t xml:space="preserve">1.75 TAX </t>
  </si>
  <si>
    <t>1.75 TAX</t>
  </si>
  <si>
    <t>1.25 TAX</t>
  </si>
  <si>
    <t>2.35 TAX</t>
  </si>
  <si>
    <t xml:space="preserve">5.35 TAX </t>
  </si>
  <si>
    <t>1 - 9  CENTS</t>
  </si>
  <si>
    <t xml:space="preserve">1 CENT </t>
  </si>
  <si>
    <t xml:space="preserve">COUNTIES </t>
  </si>
  <si>
    <t>Carson City</t>
  </si>
  <si>
    <t>Churchill</t>
  </si>
  <si>
    <t>Clark</t>
  </si>
  <si>
    <t>Douglas</t>
  </si>
  <si>
    <t>Elko</t>
  </si>
  <si>
    <t>Esmeralda</t>
  </si>
  <si>
    <t>Eureka</t>
  </si>
  <si>
    <t>Humboldt</t>
  </si>
  <si>
    <t>Lander</t>
  </si>
  <si>
    <t>Lincoln</t>
  </si>
  <si>
    <t>Lyon</t>
  </si>
  <si>
    <t>Mineral</t>
  </si>
  <si>
    <t>Nye</t>
  </si>
  <si>
    <t>Pershing</t>
  </si>
  <si>
    <t>Storey</t>
  </si>
  <si>
    <t>Washoe</t>
  </si>
  <si>
    <t>White Pine</t>
  </si>
  <si>
    <t>LESS</t>
  </si>
  <si>
    <t xml:space="preserve">1.25 CENTS LESS </t>
  </si>
  <si>
    <t>DISTRIBUTION</t>
  </si>
  <si>
    <t>ADMINISTRATION</t>
  </si>
  <si>
    <t xml:space="preserve">1.25 TAX </t>
  </si>
  <si>
    <t>Page 3</t>
  </si>
  <si>
    <t xml:space="preserve">2.35 CENTS LESS </t>
  </si>
  <si>
    <t xml:space="preserve">2.35 TAX </t>
  </si>
  <si>
    <t>SCHEDULE 4</t>
  </si>
  <si>
    <t>TOTAL TAX RECEIPTS RECAP - GROSS TO NET</t>
  </si>
  <si>
    <t xml:space="preserve">LESS WILDLIFE </t>
  </si>
  <si>
    <t xml:space="preserve">LESS CIVIL </t>
  </si>
  <si>
    <t xml:space="preserve">GROSS TAX </t>
  </si>
  <si>
    <t xml:space="preserve"> AND PARKS </t>
  </si>
  <si>
    <t xml:space="preserve"> REFUNDS </t>
  </si>
  <si>
    <t xml:space="preserve">AIR PATROL </t>
  </si>
  <si>
    <t xml:space="preserve">ADMIN FEES </t>
  </si>
  <si>
    <t xml:space="preserve">NET TAX </t>
  </si>
  <si>
    <t>12.65¢ Gasoline-Highway</t>
  </si>
  <si>
    <t>5¢ Gasoline-Highway</t>
  </si>
  <si>
    <t>5.35¢ County</t>
  </si>
  <si>
    <t>1¢ Jet Fuel</t>
  </si>
  <si>
    <t>2¢ Jet Fuel Clark Co</t>
  </si>
  <si>
    <t>Carson City 9¢</t>
  </si>
  <si>
    <t>Carson City 1¢</t>
  </si>
  <si>
    <t>Churchill 1¢</t>
  </si>
  <si>
    <t>Clark 9¢</t>
  </si>
  <si>
    <t>Clark 1¢</t>
  </si>
  <si>
    <t>Douglas 4¢</t>
  </si>
  <si>
    <t>Douglas 1¢</t>
  </si>
  <si>
    <t>Elko 4¢</t>
  </si>
  <si>
    <t>Elko 1¢</t>
  </si>
  <si>
    <t>Esmeralda 4¢</t>
  </si>
  <si>
    <t>Esmeralda 1¢</t>
  </si>
  <si>
    <t>Eureka 4¢</t>
  </si>
  <si>
    <t>Eureka 1¢</t>
  </si>
  <si>
    <t>Humboldt 1¢</t>
  </si>
  <si>
    <t>Lander 4¢</t>
  </si>
  <si>
    <t>Lander 1¢</t>
  </si>
  <si>
    <t>Lincoln 4¢</t>
  </si>
  <si>
    <t>Lincoln 1¢</t>
  </si>
  <si>
    <t>Lyon 9¢</t>
  </si>
  <si>
    <t>Lyon 1¢</t>
  </si>
  <si>
    <t>Mineral 9¢</t>
  </si>
  <si>
    <t>Mineral 1¢</t>
  </si>
  <si>
    <t>Nye 4¢</t>
  </si>
  <si>
    <t>Nye 1¢</t>
  </si>
  <si>
    <t>Pershing 9¢</t>
  </si>
  <si>
    <t>Pershing 1¢</t>
  </si>
  <si>
    <t>Storey 4¢</t>
  </si>
  <si>
    <t>Storey 1¢</t>
  </si>
  <si>
    <t>Washoe 9¢</t>
  </si>
  <si>
    <t>Washoe 1¢</t>
  </si>
  <si>
    <t>White Pine 1¢</t>
  </si>
  <si>
    <t>Cleanup Fee</t>
  </si>
  <si>
    <t>Inspection Fee</t>
  </si>
  <si>
    <t>SCHEDULE 5</t>
  </si>
  <si>
    <t>JET FUEL</t>
  </si>
  <si>
    <t>(NRS 365.170)</t>
  </si>
  <si>
    <t xml:space="preserve">CLARK </t>
  </si>
  <si>
    <t xml:space="preserve">JET TAX </t>
  </si>
  <si>
    <t xml:space="preserve">GALLONAGE </t>
  </si>
  <si>
    <t xml:space="preserve">2 CENTS </t>
  </si>
  <si>
    <t>Air Petro Corp.</t>
  </si>
  <si>
    <t>America West Airlines, Inc.</t>
  </si>
  <si>
    <t>Avfuel Corporation</t>
  </si>
  <si>
    <t>Chevron, U.S.A.</t>
  </si>
  <si>
    <t>Continental Airlines</t>
  </si>
  <si>
    <t>Delta Airlines</t>
  </si>
  <si>
    <t>Northwest Airlines</t>
  </si>
  <si>
    <t>Page Avjet Fuel Corp.</t>
  </si>
  <si>
    <t>Western Petroleum Co.</t>
  </si>
  <si>
    <t>World Fuel Services</t>
  </si>
  <si>
    <t>Total 1 cent and 2 cent</t>
  </si>
  <si>
    <t>Total from tape</t>
  </si>
  <si>
    <t>Tape is over/(under)</t>
  </si>
  <si>
    <t>SCHEDULE 5A</t>
  </si>
  <si>
    <t>JET FUEL DISTRIBUTION</t>
  </si>
  <si>
    <t>CARSON</t>
  </si>
  <si>
    <t>WHITE</t>
  </si>
  <si>
    <t>PRIOR MONTHS</t>
  </si>
  <si>
    <t>CITY</t>
  </si>
  <si>
    <t>PINE</t>
  </si>
  <si>
    <t>DISTRIBUTE</t>
  </si>
  <si>
    <t>G R A N D</t>
  </si>
  <si>
    <t xml:space="preserve">  1¢</t>
  </si>
  <si>
    <t>2¢</t>
  </si>
  <si>
    <t xml:space="preserve">2¢   </t>
  </si>
  <si>
    <t>GENERAL FUND</t>
  </si>
  <si>
    <t>T O T A L</t>
  </si>
  <si>
    <t>Boulder City AP</t>
  </si>
  <si>
    <t>Carson City AP</t>
  </si>
  <si>
    <t>Elko City AP</t>
  </si>
  <si>
    <t>Las Vegas Metro</t>
  </si>
  <si>
    <t>McCarran Intl AP</t>
  </si>
  <si>
    <t>Reno-Stead AP</t>
  </si>
  <si>
    <t>Reno Tahoe Intl AP</t>
  </si>
  <si>
    <t>TOTALS</t>
  </si>
  <si>
    <t>SCHEDULE  6</t>
  </si>
  <si>
    <t>AVIATION  FUEL  GALLONS</t>
  </si>
  <si>
    <t>AVIATION  FUEL  DISTRIBUTION</t>
  </si>
  <si>
    <t xml:space="preserve">FISCAL YEAR </t>
  </si>
  <si>
    <t>AIR</t>
  </si>
  <si>
    <t xml:space="preserve">GROSS </t>
  </si>
  <si>
    <t xml:space="preserve">PERCENTAGE </t>
  </si>
  <si>
    <t>AV GAS</t>
  </si>
  <si>
    <t>PETRO</t>
  </si>
  <si>
    <t>AVFUEL</t>
  </si>
  <si>
    <t>CHEVRON</t>
  </si>
  <si>
    <t>C.A.P.</t>
  </si>
  <si>
    <t xml:space="preserve">TO DISTRIBUTE </t>
  </si>
  <si>
    <t xml:space="preserve">AMOUNT </t>
  </si>
  <si>
    <t>TAX FOR</t>
  </si>
  <si>
    <t xml:space="preserve">QUARTER </t>
  </si>
  <si>
    <t>CORP</t>
  </si>
  <si>
    <t>USA</t>
  </si>
  <si>
    <t>AVIATION</t>
  </si>
  <si>
    <t>PETROLEUM</t>
  </si>
  <si>
    <t xml:space="preserve">STATE TAX </t>
  </si>
  <si>
    <t xml:space="preserve">DEDUCTED </t>
  </si>
  <si>
    <t xml:space="preserve">DISTRIBUTION </t>
  </si>
  <si>
    <t>Payment Rec'd</t>
  </si>
  <si>
    <t>SCHEDULE 7</t>
  </si>
  <si>
    <t>PETROLEUM PRODUCTS DISCHARGE CLEANUP FEE</t>
  </si>
  <si>
    <t>PETROLEUM  PRODUCTS  INSPECTION  FEE</t>
  </si>
  <si>
    <t>CLEANUP</t>
  </si>
  <si>
    <t>INSPECTION</t>
  </si>
  <si>
    <t>GASOLINE GALLONS</t>
  </si>
  <si>
    <t>GASOHOL GALLONS</t>
  </si>
  <si>
    <t>AV-GAS GALLONS</t>
  </si>
  <si>
    <t>LUBE OIL</t>
  </si>
  <si>
    <t>DIESEL GALLONS</t>
  </si>
  <si>
    <t>HEATING OIL</t>
  </si>
  <si>
    <t>BLENDED GALLONS</t>
  </si>
  <si>
    <t>JET*</t>
  </si>
  <si>
    <t>NET</t>
  </si>
  <si>
    <t>FEE</t>
  </si>
  <si>
    <t>Excluding</t>
  </si>
  <si>
    <t xml:space="preserve"> .0075¢</t>
  </si>
  <si>
    <t>.00055¢</t>
  </si>
  <si>
    <t>IMPORTED</t>
  </si>
  <si>
    <t>EXPORTED</t>
  </si>
  <si>
    <t>Lube Oil</t>
  </si>
  <si>
    <t>Arizona Fuel Distributors L.L.C.</t>
  </si>
  <si>
    <t>Avfuel Corp.</t>
  </si>
  <si>
    <t>Canyon State Oil Co.</t>
  </si>
  <si>
    <t>Chevron U.S., Inc.</t>
  </si>
  <si>
    <t>Conrad &amp; Bischoff, Inc.</t>
  </si>
  <si>
    <t>Inter-State Oil Co.</t>
  </si>
  <si>
    <t>Jaco Oil Company</t>
  </si>
  <si>
    <t>Jenkins Oil Co., Inc.</t>
  </si>
  <si>
    <t>National Oil and Burner Co.</t>
  </si>
  <si>
    <t>Premium Oil Co.</t>
  </si>
  <si>
    <t>Sinclair Oil Corp.</t>
  </si>
  <si>
    <t>Sperry Oil Co.</t>
  </si>
  <si>
    <t>Texmo Oil Co.</t>
  </si>
  <si>
    <t>Tower Energy Group, Inc.</t>
  </si>
  <si>
    <t>V P Racing Fuels, Inc.</t>
  </si>
  <si>
    <t>Washoe Fuel, Inc.</t>
  </si>
  <si>
    <t>*  Special Cleanup Fee Accounts</t>
  </si>
  <si>
    <t>Figure from tape</t>
  </si>
  <si>
    <t>Difference</t>
  </si>
  <si>
    <t>STATE  OF  NEVADA</t>
  </si>
  <si>
    <t>12.65      GASOLINE / GASOHOL</t>
  </si>
  <si>
    <t xml:space="preserve"> 5.00       GASOLINE / GASOHOL</t>
  </si>
  <si>
    <t xml:space="preserve"> 5.35       GASOLINE / GASOHOL</t>
  </si>
  <si>
    <t xml:space="preserve">       </t>
  </si>
  <si>
    <t>1 - 9 CENTS COUNTY OPTION:</t>
  </si>
  <si>
    <t xml:space="preserve">               GASOLINE / GASOHOL</t>
  </si>
  <si>
    <t>1 CENT COUNTY:</t>
  </si>
  <si>
    <t>AVIATION  FUEL TAX</t>
  </si>
  <si>
    <t>JET  FUEL TAX</t>
  </si>
  <si>
    <t>CLEANUP  FEE</t>
  </si>
  <si>
    <t>INSPECTION  FEE</t>
  </si>
  <si>
    <t>TOTAL MONEY DEPOSITED TO STATE TREASURER:</t>
  </si>
  <si>
    <t>TOTAL  COUNTIES</t>
  </si>
  <si>
    <t>TOTAL  AIRPORTS</t>
  </si>
  <si>
    <t>TOTAL TO HIGHWAY:</t>
  </si>
  <si>
    <t xml:space="preserve">              GASOLINE / GASOHOL -- 12.65</t>
  </si>
  <si>
    <t xml:space="preserve">              GASOLINE / GASOHOL --   5.00</t>
  </si>
  <si>
    <t>JET  FUEL:</t>
  </si>
  <si>
    <t xml:space="preserve">             1 CENT</t>
  </si>
  <si>
    <t xml:space="preserve">             2 CENT -- CLARK</t>
  </si>
  <si>
    <t>TOTAL  ADMIN  FEES:</t>
  </si>
  <si>
    <t>CIVIL  AIR  PATROL</t>
  </si>
  <si>
    <t>TOTAL  REFUNDS</t>
  </si>
  <si>
    <t>WILDLIFE &amp; PARKS</t>
  </si>
  <si>
    <t xml:space="preserve">                               TOTAL  TO  BE  DISTRIBUTED:  </t>
  </si>
  <si>
    <t>2¢ Aviation Fuel</t>
  </si>
  <si>
    <t>1 - 8¢ Aviation Fuel Option</t>
  </si>
  <si>
    <t xml:space="preserve">2 CENTS BALANCE </t>
  </si>
  <si>
    <t>2 CENTS</t>
  </si>
  <si>
    <t xml:space="preserve">AV GAS </t>
  </si>
  <si>
    <t xml:space="preserve">TAX FOR </t>
  </si>
  <si>
    <t>AVIATION  FUEL TAX - COUNTY OPTION</t>
  </si>
  <si>
    <t>Alsaker Corporation</t>
  </si>
  <si>
    <t>Berry Hinckley Industries</t>
  </si>
  <si>
    <t>Equilon Enterprises LLC</t>
  </si>
  <si>
    <t>Foreland Refining Corp</t>
  </si>
  <si>
    <t>Brad Hall &amp; Associates</t>
  </si>
  <si>
    <t>Inter State Oil Company</t>
  </si>
  <si>
    <t>Pro Petroleum</t>
  </si>
  <si>
    <t>T A Operating Corp</t>
  </si>
  <si>
    <t>Eagle Aviation</t>
  </si>
  <si>
    <t>Herbst Oil Company</t>
  </si>
  <si>
    <t>Southwest Airlines Company</t>
  </si>
  <si>
    <t>SCHEDULE  6A</t>
  </si>
  <si>
    <t>Foreland Refining Corporation</t>
  </si>
  <si>
    <t>Holt Oil Products Company</t>
  </si>
  <si>
    <t>Pro Petroleum Inc.</t>
  </si>
  <si>
    <t>T A Operating Corporation</t>
  </si>
  <si>
    <t>Churchill 9¢</t>
  </si>
  <si>
    <t>Humboldt 9¢</t>
  </si>
  <si>
    <t>Win Oil Company Inc</t>
  </si>
  <si>
    <t>Berry Properties Inc</t>
  </si>
  <si>
    <t>Tesoro Northwest Company</t>
  </si>
  <si>
    <t>Future Petroleum Inc.</t>
  </si>
  <si>
    <t>SIGNATURE</t>
  </si>
  <si>
    <t>FLGT SPT</t>
  </si>
  <si>
    <t>COUNTIES</t>
  </si>
  <si>
    <t>CITIES</t>
  </si>
  <si>
    <t>TOWNS</t>
  </si>
  <si>
    <t>AMOUNT TO BE DISTR</t>
  </si>
  <si>
    <t>PERCENTAGES</t>
  </si>
  <si>
    <t>Fallon</t>
  </si>
  <si>
    <t>Boulder City</t>
  </si>
  <si>
    <t>Henderson</t>
  </si>
  <si>
    <t>Las Vegas</t>
  </si>
  <si>
    <t>Mesquite</t>
  </si>
  <si>
    <t>North Las Vegas</t>
  </si>
  <si>
    <t>Carlin</t>
  </si>
  <si>
    <t>Wells</t>
  </si>
  <si>
    <t>West Wendover</t>
  </si>
  <si>
    <t>Winnemucca</t>
  </si>
  <si>
    <t>Kingston</t>
  </si>
  <si>
    <t>Caliente</t>
  </si>
  <si>
    <t>Yerington</t>
  </si>
  <si>
    <t>Fernley</t>
  </si>
  <si>
    <t>Pahrump</t>
  </si>
  <si>
    <t>Round Mountain</t>
  </si>
  <si>
    <t>Tonopah</t>
  </si>
  <si>
    <t>Lovelock</t>
  </si>
  <si>
    <t>Reno</t>
  </si>
  <si>
    <t>Sparks</t>
  </si>
  <si>
    <t>Ely</t>
  </si>
  <si>
    <t>Calculations for 1.25 Distribution</t>
  </si>
  <si>
    <t>Monthly Average (FY01)</t>
  </si>
  <si>
    <t>Monthly Actual(FY02)</t>
  </si>
  <si>
    <t>-Total REFUNDS</t>
  </si>
  <si>
    <t>Counties</t>
  </si>
  <si>
    <t>FY01 Distr %</t>
  </si>
  <si>
    <t>Refunds</t>
  </si>
  <si>
    <t>Totals</t>
  </si>
  <si>
    <t xml:space="preserve">MINERAL </t>
  </si>
  <si>
    <t>Use NDOT distribution formula</t>
  </si>
  <si>
    <t>Population</t>
  </si>
  <si>
    <t>% Population</t>
  </si>
  <si>
    <t>Road Miles</t>
  </si>
  <si>
    <t>% Road Miles</t>
  </si>
  <si>
    <t>Minus refunds</t>
  </si>
  <si>
    <t>Balance</t>
  </si>
  <si>
    <t>% recalculated as 100% of all overages</t>
  </si>
  <si>
    <t>Calculations for 2.35 Distribution</t>
  </si>
  <si>
    <t>Money to Distribute (without refunds)</t>
  </si>
  <si>
    <t>Money to distribute (without refunds)</t>
  </si>
  <si>
    <t>% recalc as 100% of all overages</t>
  </si>
  <si>
    <t>% OF TOTAL</t>
  </si>
  <si>
    <t>1.75 CENTS LESS ADMIN</t>
  </si>
  <si>
    <t>REFUNDS</t>
  </si>
  <si>
    <t>TOTAL 1.75 TAX</t>
  </si>
  <si>
    <t>SUBTOTAL</t>
  </si>
  <si>
    <t>SUMMARY OF 2.35 CENT STATE TAX (COUNTY ALLOCATION)</t>
  </si>
  <si>
    <t>DETAIL OF 2.35 CENT STATE TAX (COUNTY ALLOCATION)</t>
  </si>
  <si>
    <t>LESS REFUNDS</t>
  </si>
  <si>
    <t>2.35 CENTS LESS ADMIN FEES</t>
  </si>
  <si>
    <t>1.75 CENT STATE TAX ALLOCATION</t>
  </si>
  <si>
    <t>SCHEDULE 3C</t>
  </si>
  <si>
    <t>SCHEDULE 3A</t>
  </si>
  <si>
    <t>SCHEDULE 3B</t>
  </si>
  <si>
    <t>SCHEDULE 3D</t>
  </si>
  <si>
    <t>County Total</t>
  </si>
  <si>
    <t>Benchmark Resources</t>
  </si>
  <si>
    <t>Crawford Oil, Inc</t>
  </si>
  <si>
    <t>Exxon/Mobil Oil Corp</t>
  </si>
  <si>
    <t>Gem Stop</t>
  </si>
  <si>
    <t xml:space="preserve">Mansfield Oil Co </t>
  </si>
  <si>
    <t>Petro Stopping Center No.15</t>
  </si>
  <si>
    <t>Pilot Travel Centers LLC</t>
  </si>
  <si>
    <t>Pinnacle Petroleum</t>
  </si>
  <si>
    <t>Quik Stop Markets</t>
  </si>
  <si>
    <t>Smith's Fuel Centers</t>
  </si>
  <si>
    <t>Transmontaigne Product Srvc</t>
  </si>
  <si>
    <t>Truman Arnold Companies</t>
  </si>
  <si>
    <t>DEPARTMENT OF MOTOR VEHICLE - CARSON CITY, NEVADA</t>
  </si>
  <si>
    <t>DEPARTMENT OF MOTOR VEHICLE</t>
  </si>
  <si>
    <t>NEVADA DEPARTMENT OF MOTOR VEHICLE</t>
  </si>
  <si>
    <t>Berry Co</t>
  </si>
  <si>
    <t>Berry-Hinckley Ind</t>
  </si>
  <si>
    <t xml:space="preserve">BP Products </t>
  </si>
  <si>
    <t>CFJ Properties</t>
  </si>
  <si>
    <t>Cool Fuel</t>
  </si>
  <si>
    <t>Dats Trucking</t>
  </si>
  <si>
    <t>BP Products</t>
  </si>
  <si>
    <t>Brad Hall and Associates</t>
  </si>
  <si>
    <t xml:space="preserve">Dats Trucking </t>
  </si>
  <si>
    <t>BP Products Inc</t>
  </si>
  <si>
    <t>Crest Distributing</t>
  </si>
  <si>
    <t>Ed Staub and Sons</t>
  </si>
  <si>
    <t>Future Petroleum</t>
  </si>
  <si>
    <t>MF Barcellos Inc</t>
  </si>
  <si>
    <t>Pennzoil-Quaker State</t>
  </si>
  <si>
    <t>Reno Fuel</t>
  </si>
  <si>
    <t>Ron Menesini Petroleum</t>
  </si>
  <si>
    <t>Ron Menesini</t>
  </si>
  <si>
    <t>ExxonMobil Oil Corporation</t>
  </si>
  <si>
    <t>Mercury Air Group</t>
  </si>
  <si>
    <t>PHILLIPS</t>
  </si>
  <si>
    <t xml:space="preserve">Ed Staub and Sons Petro </t>
  </si>
  <si>
    <t>ExxonMobil Oil Corp.</t>
  </si>
  <si>
    <t>AGP Corn Processing</t>
  </si>
  <si>
    <t>No Return filed</t>
  </si>
  <si>
    <t>Bennett's &amp; Sons</t>
  </si>
  <si>
    <t>Bradco</t>
  </si>
  <si>
    <t>Cargill Inc</t>
  </si>
  <si>
    <t xml:space="preserve">Mike Roche </t>
  </si>
  <si>
    <t>Mobil Diesel Supply</t>
  </si>
  <si>
    <t>Morgan Stanley</t>
  </si>
  <si>
    <t>Ken Bettridge</t>
  </si>
  <si>
    <t>VP Racing Fuel</t>
  </si>
  <si>
    <t>Southern Counties Oil</t>
  </si>
  <si>
    <t>Tesoro Northwest</t>
  </si>
  <si>
    <t>Ray Bell Oil Company</t>
  </si>
  <si>
    <t>Regent Marketing Company</t>
  </si>
  <si>
    <t>Snobird Inc</t>
  </si>
  <si>
    <t>Southwest Jet Fuel Co</t>
  </si>
  <si>
    <t>Tauber Oil Co</t>
  </si>
  <si>
    <t>Union Distributing Co</t>
  </si>
  <si>
    <t>United Aviation Fuels</t>
  </si>
  <si>
    <t>United Liquid Gas Co</t>
  </si>
  <si>
    <t>Westport Petroleum</t>
  </si>
  <si>
    <t>Woody's Enterprises</t>
  </si>
  <si>
    <t xml:space="preserve">World Energy Alternatives </t>
  </si>
  <si>
    <t>Nobel Americas Corp</t>
  </si>
  <si>
    <t>Paul Oil Co</t>
  </si>
  <si>
    <t>Arizona Fuel</t>
  </si>
  <si>
    <t>Brico of Idaho</t>
  </si>
  <si>
    <t xml:space="preserve">United Airlines </t>
  </si>
  <si>
    <t>United Airlines</t>
  </si>
  <si>
    <t>Win Oil Co</t>
  </si>
  <si>
    <t>Total 9¢ and 1¢</t>
  </si>
  <si>
    <t>Rhinehart Oil Co</t>
  </si>
  <si>
    <t xml:space="preserve">Equilon </t>
  </si>
  <si>
    <t>OOR</t>
  </si>
  <si>
    <t>*State/County gallons discrepancies as a result of reporting error by Petroleum Distributors.</t>
  </si>
  <si>
    <t>Fastrip Oil Company</t>
  </si>
  <si>
    <t>THIRD</t>
  </si>
  <si>
    <t>Fearless Farris Wholesale</t>
  </si>
  <si>
    <t>*</t>
  </si>
  <si>
    <t>Schwartz Oil Co</t>
  </si>
  <si>
    <t>United El Segundo</t>
  </si>
  <si>
    <t>* Denotes non-taxable activity</t>
  </si>
  <si>
    <t>Adjusting Eneries</t>
  </si>
  <si>
    <t xml:space="preserve">For the Month of </t>
  </si>
  <si>
    <t>MOTOR FUELS - CARSON CITY CO</t>
  </si>
  <si>
    <t>MOTOR FUELS - CHURCHILL CO</t>
  </si>
  <si>
    <t>MOTOR FUELS - CLARK CO</t>
  </si>
  <si>
    <t>MOTOR FUELS - DOUGLAS CO</t>
  </si>
  <si>
    <t>MOTOR FUELS - ELKO CO</t>
  </si>
  <si>
    <t>MOTOR FUELS - ESMERALDA CO</t>
  </si>
  <si>
    <t>MOTOR FUELS - EUREKA CO</t>
  </si>
  <si>
    <t>MOTOR FUELS - HUMBOLDT CO</t>
  </si>
  <si>
    <t>MOTOR FUELS - LANDER CO</t>
  </si>
  <si>
    <t>MOTOR FUELS - LINCOLN CO</t>
  </si>
  <si>
    <t>MOTOR FUELS - LYON CO</t>
  </si>
  <si>
    <t>MOTOR FUELS - MINERAL CO</t>
  </si>
  <si>
    <t>MOTOR FUELS - NYE CO</t>
  </si>
  <si>
    <t>MOTOR FUELS - PERSHING CO</t>
  </si>
  <si>
    <t>MOTOR FUELS - STOREY CO</t>
  </si>
  <si>
    <t>MOTOR FUELS - WASHOE CO</t>
  </si>
  <si>
    <t>MOTOR FUELS - WHITE PINE CO</t>
  </si>
  <si>
    <t>GAS TAX OPTION ADMINISTRATION</t>
  </si>
  <si>
    <t xml:space="preserve">    MONTH OF</t>
  </si>
  <si>
    <t>DEPARTMENT OF WILDLIFE</t>
  </si>
  <si>
    <t>MARINA/PARKS DEVELOP. GAS TAX</t>
  </si>
  <si>
    <t>TO RECORD DISTRIBUTION TO MARINA AND WILDLIFE FOR THE</t>
  </si>
  <si>
    <t>MOTOR FUELS-FALLON</t>
  </si>
  <si>
    <t>MOTOR FUELS-BOULDER CITY</t>
  </si>
  <si>
    <t>MOTOR FUELS-HENDERSON</t>
  </si>
  <si>
    <t>MOTOR FUELS-LAS VEGAS</t>
  </si>
  <si>
    <t>MOTOR FUELS-MESQUITE</t>
  </si>
  <si>
    <t>MOTOR FUELS-NORTH LAS VEGAS</t>
  </si>
  <si>
    <t>MOTOR FUELS-CARLIN</t>
  </si>
  <si>
    <t>MOTOR FUELS-CITY OF ELKO</t>
  </si>
  <si>
    <t>MOTOR FUELS-WELLS</t>
  </si>
  <si>
    <t>MOTOR FUELS-WEST WENDOVER</t>
  </si>
  <si>
    <t>MOTOR FUELS-WINNEMUCCA</t>
  </si>
  <si>
    <t>MOTOR FUELS-KINGSTON</t>
  </si>
  <si>
    <t>MOTOR FUELS-CALIENTE</t>
  </si>
  <si>
    <t>MOTOR FUELS-YERINGTON</t>
  </si>
  <si>
    <t>MOTOR FUELS-FERNLEY</t>
  </si>
  <si>
    <t>MOTOR FUELS-PAHRUMP</t>
  </si>
  <si>
    <t>MOTOR FUELS-TONOPAH</t>
  </si>
  <si>
    <t>MOTOR FUELS-LOVELOCK</t>
  </si>
  <si>
    <t>MOTOR FUELS-CITY OF RENO</t>
  </si>
  <si>
    <t>MOTOR FUELS-SPARKS</t>
  </si>
  <si>
    <t>MOTOR FUELS-ELY</t>
  </si>
  <si>
    <t>12.65 CENT GASOLINE-HIGHWAY</t>
  </si>
  <si>
    <t>5 CENT GASOLINE-HIGHWAY</t>
  </si>
  <si>
    <t>5.35 CENT COUNTY</t>
  </si>
  <si>
    <t>5.35 CENT</t>
  </si>
  <si>
    <t>REFUND</t>
  </si>
  <si>
    <t>ADJUST</t>
  </si>
  <si>
    <t>ADMIN</t>
  </si>
  <si>
    <t>Wildlife</t>
  </si>
  <si>
    <t>&amp; Marina</t>
  </si>
  <si>
    <t>JULY 2002</t>
  </si>
  <si>
    <t>Chevron Phillips Chemical</t>
  </si>
  <si>
    <t>Douglas County AP</t>
  </si>
  <si>
    <t>Winnemucca AP</t>
  </si>
  <si>
    <t>Battle Mountain AP</t>
  </si>
  <si>
    <t>Tonopah AP</t>
  </si>
  <si>
    <t>Total Deposit</t>
  </si>
  <si>
    <t>Holding Acct</t>
  </si>
  <si>
    <t>Special Fuel</t>
  </si>
  <si>
    <t>OOR Total</t>
  </si>
  <si>
    <t>Sinclair Oil Corp</t>
  </si>
  <si>
    <t>Tower Energy</t>
  </si>
  <si>
    <t>Valero Marketing</t>
  </si>
  <si>
    <t xml:space="preserve">WESTERN </t>
  </si>
  <si>
    <t>Lyon Cnty Other</t>
  </si>
  <si>
    <t>Clark Cnty Other</t>
  </si>
  <si>
    <t>RON</t>
  </si>
  <si>
    <t>MENESINI</t>
  </si>
  <si>
    <t>REFUNDS - MOTOR FUEL</t>
  </si>
  <si>
    <t>MOTOR FUELS-ROUND MOUNTAIN</t>
  </si>
  <si>
    <t>CK FIGURE</t>
  </si>
  <si>
    <t>Shell Trading</t>
  </si>
  <si>
    <t>Big Sky Fuel Inc.</t>
  </si>
  <si>
    <t>Chevron Phillips Chemical Co. LP</t>
  </si>
  <si>
    <t>Falcon Fuels, Inc</t>
  </si>
  <si>
    <t>Sapp Brothers Truck Stops</t>
  </si>
  <si>
    <t>Epic Aviation LLC</t>
  </si>
  <si>
    <t>EPIC</t>
  </si>
  <si>
    <t>DIESEL</t>
  </si>
  <si>
    <t>CNG</t>
  </si>
  <si>
    <t>A-55</t>
  </si>
  <si>
    <t>LPG</t>
  </si>
  <si>
    <t>DYED DIESEL</t>
  </si>
  <si>
    <t>19¢</t>
  </si>
  <si>
    <t>27¢</t>
  </si>
  <si>
    <t xml:space="preserve"> 22¢</t>
  </si>
  <si>
    <t>21¢</t>
  </si>
  <si>
    <t>OOR'S</t>
  </si>
  <si>
    <t>Net Tax Rates</t>
  </si>
  <si>
    <t>SUPPLIER</t>
  </si>
  <si>
    <t>RECEIVED</t>
  </si>
  <si>
    <t>DISTRIBUTED</t>
  </si>
  <si>
    <t>Battle Mountain Band</t>
  </si>
  <si>
    <t>ConocoPhillips</t>
  </si>
  <si>
    <t>Flying J Inc</t>
  </si>
  <si>
    <t>Pyramid Lake Paiute</t>
  </si>
  <si>
    <t>American Airlines</t>
  </si>
  <si>
    <t>Pacific Fuel Trading</t>
  </si>
  <si>
    <t>CONOCO-</t>
  </si>
  <si>
    <t>CL Bryant</t>
  </si>
  <si>
    <t>ConocoPhillips.</t>
  </si>
  <si>
    <t>Terry Oil</t>
  </si>
  <si>
    <t>Avefuel</t>
  </si>
  <si>
    <t>Battle Mountain</t>
  </si>
  <si>
    <t>Beneto</t>
  </si>
  <si>
    <t>Flying J</t>
  </si>
  <si>
    <t>Jaco Oil</t>
  </si>
  <si>
    <t>Nella Oil</t>
  </si>
  <si>
    <t>Nevada Yellow Cab</t>
  </si>
  <si>
    <t>GN Renn</t>
  </si>
  <si>
    <t xml:space="preserve">Green River Development </t>
  </si>
  <si>
    <t>Hallum Inc</t>
  </si>
  <si>
    <t>Premium Oil</t>
  </si>
  <si>
    <t>Ramos Strong</t>
  </si>
  <si>
    <t>Tauber Petrochemical</t>
  </si>
  <si>
    <t>Wes Pac</t>
  </si>
  <si>
    <t xml:space="preserve">Western Refining Co. </t>
  </si>
  <si>
    <t>SCHEDULE 8</t>
  </si>
  <si>
    <t>Ck figure for IF (gal * .00055)</t>
  </si>
  <si>
    <t>Ck figure for CF (gal * .0075)</t>
  </si>
  <si>
    <t>calc'd</t>
  </si>
  <si>
    <t>diff col vs calc'd</t>
  </si>
  <si>
    <t>White Pine 9¢</t>
  </si>
  <si>
    <t>Cardwell Distributing</t>
  </si>
  <si>
    <t>Simon's Petroleum</t>
  </si>
  <si>
    <t>If actuals are smaller, use FY03 percentages to distribute FY04 money</t>
  </si>
  <si>
    <t>FY03 Distr %</t>
  </si>
  <si>
    <t>FY04 Money</t>
  </si>
  <si>
    <t>If FY04 actuals are larger than the FY03 average, distribution is done using the table below</t>
  </si>
  <si>
    <t>NDOT FY04 (2/3 of % population &amp; 1/3  of % of road miles)</t>
  </si>
  <si>
    <t>% applied to FY04 actuals</t>
  </si>
  <si>
    <t>Compare to FY03 averages</t>
  </si>
  <si>
    <t>Calculation based on Average Monthly FY03 Allocation</t>
  </si>
  <si>
    <t>Counties with positive figures received more via FY04 calc than FY03</t>
  </si>
  <si>
    <t>Diff between FY03 Avg and FY04 Actual</t>
  </si>
  <si>
    <t>Monthly Average (FY03)</t>
  </si>
  <si>
    <t>Monthly Actual(FY04)</t>
  </si>
  <si>
    <t>If FY04actuals are larger than the FY03 average, distribution is done using the table below</t>
  </si>
  <si>
    <t>Population by Incorporated City</t>
  </si>
  <si>
    <t>% Population by Incorporated City</t>
  </si>
  <si>
    <t>No Las Vegas</t>
  </si>
  <si>
    <t>W Wendover</t>
  </si>
  <si>
    <t>Detail 1 Cent State Tax County Allocation AB516</t>
  </si>
  <si>
    <t>1 Cent County Tax</t>
  </si>
  <si>
    <t>Incorporated City PERCENTAGES</t>
  </si>
  <si>
    <t>.4206¢</t>
  </si>
  <si>
    <t>CP INDEX</t>
  </si>
  <si>
    <t>CPI</t>
  </si>
  <si>
    <t>CPI RATE</t>
  </si>
  <si>
    <t>2% DISCOUNT</t>
  </si>
  <si>
    <t>NET CPI</t>
  </si>
  <si>
    <t>3962 Check</t>
  </si>
  <si>
    <t>3962 CPI Total</t>
  </si>
  <si>
    <t>Subtotal MF Refunds only</t>
  </si>
  <si>
    <t xml:space="preserve">County CP Index .004206 </t>
  </si>
  <si>
    <t>COUNTY CP INDEX</t>
  </si>
  <si>
    <t>COUNTY TAX RATES (NET)</t>
  </si>
  <si>
    <t>TOTAL COUNTY</t>
  </si>
  <si>
    <t>OPTION TAX</t>
  </si>
  <si>
    <t>REVISION PURSUANT TO AB 516</t>
  </si>
  <si>
    <t>Actual Higher than FY 03 Average</t>
  </si>
  <si>
    <t>Percentage of Total</t>
  </si>
  <si>
    <t>FY 03 Average Higher than Actual</t>
  </si>
  <si>
    <t>Distribution of Excess Revenue</t>
  </si>
  <si>
    <t>Total Distribution Per AB 516</t>
  </si>
  <si>
    <t>Difference between old calculations and corrected calcs.</t>
  </si>
  <si>
    <t>CPI Multiplier</t>
  </si>
  <si>
    <t>Recap-Washoe County Indexing Chart</t>
  </si>
  <si>
    <t>WASHOE INDEX</t>
  </si>
  <si>
    <t>Reno Index</t>
  </si>
  <si>
    <t>Sparks Index</t>
  </si>
  <si>
    <t>WC Index Total</t>
  </si>
  <si>
    <t>Gross Tax Rates</t>
  </si>
  <si>
    <t>Rate of CPI Tax</t>
  </si>
  <si>
    <t>% of CPI Tax</t>
  </si>
  <si>
    <t>Total CPI Collected</t>
  </si>
  <si>
    <t>% of CPI Due</t>
  </si>
  <si>
    <t>5.35 Total</t>
  </si>
  <si>
    <t>15.35 Total</t>
  </si>
  <si>
    <t>CPI Index</t>
  </si>
  <si>
    <t>TOTAL W/CPI</t>
  </si>
  <si>
    <t>difference</t>
  </si>
  <si>
    <t>Special Fuel Refunds</t>
  </si>
  <si>
    <t>MAY 2004</t>
  </si>
  <si>
    <t>Sunoco Inc</t>
  </si>
  <si>
    <t>Henderson AP</t>
  </si>
  <si>
    <t>Clean Fuel Technology</t>
  </si>
  <si>
    <t>Musket Corp</t>
  </si>
  <si>
    <t>Bay Area Diablo</t>
  </si>
  <si>
    <t>Beneto Inc</t>
  </si>
  <si>
    <t>El Aero Services</t>
  </si>
  <si>
    <t>Inter-State Oil Co 1-04 Supp</t>
  </si>
  <si>
    <t>Jackson's Food Stores</t>
  </si>
  <si>
    <t>Mercy Air 5-04</t>
  </si>
  <si>
    <t xml:space="preserve">Mercy Air 4-04 </t>
  </si>
  <si>
    <t>Mieco Inc</t>
  </si>
  <si>
    <t>Petro Stopping Center</t>
  </si>
  <si>
    <t>Petroleum Wholesale LP</t>
  </si>
  <si>
    <t>Simons Petroleum Inc</t>
  </si>
  <si>
    <t>Trejo Oil Company</t>
  </si>
  <si>
    <t>Fallon AP</t>
  </si>
  <si>
    <t>Yelland Field AP</t>
  </si>
  <si>
    <t>Hawthorne AP</t>
  </si>
  <si>
    <t>Tri Valley Distributing 2-04</t>
  </si>
  <si>
    <t>Flying J 5-04 P &amp; I</t>
  </si>
  <si>
    <t>Penalty &amp; Interest</t>
  </si>
  <si>
    <t>Aircraft International</t>
  </si>
  <si>
    <t>Carvers Distributing</t>
  </si>
  <si>
    <t>Duck Valley Resevation</t>
  </si>
  <si>
    <t>Duck Valley Reservation</t>
  </si>
  <si>
    <t>Sierra Tabacco</t>
  </si>
  <si>
    <t>Off 11.52 due to</t>
  </si>
  <si>
    <t>Duck Valley</t>
  </si>
  <si>
    <t xml:space="preserve">Off 1884.36 due </t>
  </si>
  <si>
    <t>to Battle Mtn</t>
  </si>
  <si>
    <t>Battle Mountain 5-04 Adj</t>
  </si>
  <si>
    <t>Beneto 5-04 Adj</t>
  </si>
  <si>
    <t>Dats Trucking 5-04 Adj</t>
  </si>
  <si>
    <t>Mansfield Oil Co 5-04 Adj</t>
  </si>
  <si>
    <t>Inter State Oil Co 5-04 Adj</t>
  </si>
  <si>
    <t>Reed Distributing Inc 5-04 Adj</t>
  </si>
  <si>
    <t>Sierra Tabacco 5-04 Adj</t>
  </si>
  <si>
    <t>Flying J 4-04 Adj P &amp; I</t>
  </si>
  <si>
    <t xml:space="preserve">Flying J 4-04 Adj </t>
  </si>
  <si>
    <t>Epic Aviation LLC Adj</t>
  </si>
  <si>
    <t>Valero Marketing 1-04 Rev</t>
  </si>
  <si>
    <t>Mieco Inc 5-04 Adj</t>
  </si>
  <si>
    <t>Benchmark Res. 5-04 Adj</t>
  </si>
  <si>
    <t>Cottams Oil</t>
  </si>
  <si>
    <t>Crest Distributing 4-04</t>
  </si>
  <si>
    <t>GN Renn Inc</t>
  </si>
  <si>
    <t>Inter State Oil Co 4-04 AM</t>
  </si>
  <si>
    <t>Premium Oil Co</t>
  </si>
  <si>
    <t>Mercury Air Group 10-03 AM</t>
  </si>
  <si>
    <t>Mercury Air Group 11-03 AM</t>
  </si>
  <si>
    <t>Mercury Air Group 12-03 AM</t>
  </si>
  <si>
    <t>Mercury Air Group 1-04 AM</t>
  </si>
  <si>
    <t>Westport Petroleum Inc 11-03 AM</t>
  </si>
  <si>
    <t>Smith's Fuel Centers 4-04 AM</t>
  </si>
  <si>
    <t>Native Nations 4-04 Susanville</t>
  </si>
  <si>
    <t>Native Nations 4-04 Mooretown</t>
  </si>
  <si>
    <t>Native Nations 5-04 Susanville</t>
  </si>
  <si>
    <t>SF Refunds</t>
  </si>
  <si>
    <t xml:space="preserve">  **  Off 5834.35 due to clean up </t>
  </si>
  <si>
    <t xml:space="preserve">  fee refunds.  **</t>
  </si>
  <si>
    <t>Audits</t>
  </si>
  <si>
    <t>Ed Staub</t>
  </si>
  <si>
    <t>G N Renn</t>
  </si>
  <si>
    <t>Conoco Phillips</t>
  </si>
  <si>
    <t>ConocoPhillips 2-04 Audit</t>
  </si>
  <si>
    <t xml:space="preserve">ConocoPhil Dsl 2-04 Audit P&amp;I </t>
  </si>
  <si>
    <t>ConocoPhil Gas 2-04 Audit P&amp;I</t>
  </si>
  <si>
    <t>Smith's Fuel 4-04 AM P&amp;I</t>
  </si>
  <si>
    <t>Grand Total</t>
  </si>
  <si>
    <t>Amend Refunds</t>
  </si>
  <si>
    <t>Mercury Air 10-03</t>
  </si>
  <si>
    <t>Mercury Air 11-03</t>
  </si>
  <si>
    <t>Mercury Air 12-03</t>
  </si>
  <si>
    <t>Mercury Air 1-04</t>
  </si>
  <si>
    <t>Interstate Oil 4-04</t>
  </si>
  <si>
    <t>Pyramid Lake Paiute 5-04 Adj</t>
  </si>
  <si>
    <t>ConocoPhillips Adj</t>
  </si>
  <si>
    <t>Phillips Petroleum Co</t>
  </si>
  <si>
    <t>Washoe Co off due to</t>
  </si>
  <si>
    <t>Pyramid Lake</t>
  </si>
  <si>
    <t>Eastern Aviation Fuels of NC</t>
  </si>
  <si>
    <t>Holly Refining &amp; Marketing Co</t>
  </si>
  <si>
    <t>Inyo Crude Inc</t>
  </si>
  <si>
    <t>Citgo</t>
  </si>
  <si>
    <t>Dial Oil</t>
  </si>
  <si>
    <t>Duke Energy</t>
  </si>
  <si>
    <t>Tri Valley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</si>
</sst>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%"/>
    <numFmt numFmtId="166" formatCode=";;;"/>
    <numFmt numFmtId="167" formatCode="0.000%"/>
    <numFmt numFmtId="181" formatCode="0.0000000%"/>
    <numFmt numFmtId="186" formatCode="mmmm\ yyyy"/>
    <numFmt numFmtId="187" formatCode="_(* #,##0_);_(* \(#,##0\);_(* &quot;-&quot;??_);_(@_)"/>
    <numFmt numFmtId="191" formatCode="0.0000000"/>
    <numFmt numFmtId="210" formatCode="0.00_);[Red]\(0.00\)"/>
    <numFmt numFmtId="211" formatCode="_(&quot;$&quot;* #,##0.00_);_(&quot;$&quot;* \(#,##0.00\);_(&quot;$&quot;* &quot;-&quot;_);_(@_)"/>
  </numFmts>
  <fonts count="37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color indexed="12"/>
      <name val="Courier"/>
    </font>
    <font>
      <sz val="10"/>
      <name val="Arial"/>
      <family val="2"/>
    </font>
    <font>
      <sz val="12"/>
      <name val="Arial"/>
      <family val="2"/>
    </font>
    <font>
      <b/>
      <sz val="12"/>
      <name val="Arial"/>
    </font>
    <font>
      <b/>
      <sz val="12"/>
      <color indexed="12"/>
      <name val="Courier"/>
    </font>
    <font>
      <u/>
      <sz val="12"/>
      <name val="Arial"/>
      <family val="2"/>
    </font>
    <font>
      <u/>
      <sz val="10"/>
      <name val="Arial"/>
      <family val="2"/>
    </font>
    <font>
      <u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b/>
      <u/>
      <sz val="12"/>
      <name val="Arial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indexed="12"/>
      <name val="Arial"/>
      <family val="2"/>
    </font>
    <font>
      <u/>
      <sz val="10"/>
      <color indexed="12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color indexed="17"/>
      <name val="Arial"/>
    </font>
    <font>
      <sz val="10"/>
      <color indexed="12"/>
      <name val="Arial"/>
    </font>
    <font>
      <sz val="10"/>
      <color indexed="20"/>
      <name val="Arial"/>
    </font>
    <font>
      <b/>
      <sz val="10"/>
      <color indexed="17"/>
      <name val="Arial"/>
    </font>
    <font>
      <b/>
      <sz val="10"/>
      <color indexed="12"/>
      <name val="Arial"/>
    </font>
    <font>
      <b/>
      <sz val="10"/>
      <color indexed="20"/>
      <name val="Arial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04">
    <xf numFmtId="0" fontId="0" fillId="0" borderId="0" xfId="0"/>
    <xf numFmtId="0" fontId="0" fillId="0" borderId="0" xfId="0" applyProtection="1"/>
    <xf numFmtId="39" fontId="0" fillId="0" borderId="0" xfId="0" applyNumberFormat="1" applyProtection="1"/>
    <xf numFmtId="49" fontId="0" fillId="0" borderId="0" xfId="0" applyNumberFormat="1" applyProtection="1"/>
    <xf numFmtId="0" fontId="0" fillId="0" borderId="0" xfId="0" applyAlignment="1" applyProtection="1">
      <alignment horizontal="fill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37" fontId="0" fillId="0" borderId="0" xfId="0" applyNumberFormat="1" applyProtection="1"/>
    <xf numFmtId="2" fontId="0" fillId="0" borderId="0" xfId="0" applyNumberFormat="1"/>
    <xf numFmtId="7" fontId="0" fillId="0" borderId="0" xfId="0" applyNumberFormat="1" applyProtection="1"/>
    <xf numFmtId="0" fontId="0" fillId="0" borderId="0" xfId="0" applyBorder="1" applyProtection="1"/>
    <xf numFmtId="39" fontId="0" fillId="0" borderId="0" xfId="0" applyNumberFormat="1"/>
    <xf numFmtId="39" fontId="3" fillId="0" borderId="0" xfId="0" applyNumberFormat="1" applyFont="1" applyProtection="1">
      <protection locked="0"/>
    </xf>
    <xf numFmtId="165" fontId="0" fillId="0" borderId="0" xfId="0" applyNumberFormat="1" applyProtection="1"/>
    <xf numFmtId="10" fontId="0" fillId="0" borderId="0" xfId="0" applyNumberFormat="1" applyProtection="1"/>
    <xf numFmtId="166" fontId="0" fillId="0" borderId="0" xfId="0" applyNumberFormat="1" applyProtection="1"/>
    <xf numFmtId="0" fontId="0" fillId="0" borderId="0" xfId="0" applyAlignment="1" applyProtection="1">
      <alignment horizontal="left"/>
    </xf>
    <xf numFmtId="44" fontId="0" fillId="0" borderId="0" xfId="2" applyFont="1"/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4" fillId="0" borderId="0" xfId="0" applyFont="1"/>
    <xf numFmtId="0" fontId="1" fillId="0" borderId="0" xfId="0" applyFont="1" applyProtection="1"/>
    <xf numFmtId="37" fontId="1" fillId="0" borderId="0" xfId="0" quotePrefix="1" applyNumberFormat="1" applyFont="1" applyAlignment="1" applyProtection="1">
      <alignment horizontal="right"/>
    </xf>
    <xf numFmtId="37" fontId="1" fillId="0" borderId="0" xfId="0" applyNumberFormat="1" applyFont="1" applyAlignment="1" applyProtection="1">
      <alignment horizontal="right"/>
    </xf>
    <xf numFmtId="0" fontId="0" fillId="0" borderId="0" xfId="0" applyAlignment="1">
      <alignment horizontal="right"/>
    </xf>
    <xf numFmtId="7" fontId="0" fillId="0" borderId="0" xfId="0" applyNumberFormat="1"/>
    <xf numFmtId="0" fontId="2" fillId="0" borderId="0" xfId="0" applyFont="1" applyAlignment="1" applyProtection="1">
      <alignment horizontal="center"/>
    </xf>
    <xf numFmtId="0" fontId="2" fillId="0" borderId="0" xfId="0" applyFont="1"/>
    <xf numFmtId="0" fontId="2" fillId="0" borderId="0" xfId="0" applyFont="1" applyAlignment="1" applyProtection="1">
      <alignment horizontal="right"/>
    </xf>
    <xf numFmtId="0" fontId="0" fillId="0" borderId="0" xfId="0" applyAlignment="1">
      <alignment horizontal="center"/>
    </xf>
    <xf numFmtId="181" fontId="0" fillId="0" borderId="0" xfId="0" applyNumberFormat="1" applyProtection="1"/>
    <xf numFmtId="165" fontId="0" fillId="0" borderId="0" xfId="4" applyNumberFormat="1" applyFont="1" applyProtection="1"/>
    <xf numFmtId="37" fontId="0" fillId="0" borderId="1" xfId="0" applyNumberFormat="1" applyBorder="1" applyProtection="1"/>
    <xf numFmtId="39" fontId="0" fillId="0" borderId="1" xfId="0" applyNumberFormat="1" applyBorder="1" applyProtection="1"/>
    <xf numFmtId="37" fontId="0" fillId="0" borderId="2" xfId="0" applyNumberFormat="1" applyBorder="1" applyProtection="1"/>
    <xf numFmtId="0" fontId="0" fillId="0" borderId="2" xfId="0" applyBorder="1" applyProtection="1"/>
    <xf numFmtId="39" fontId="0" fillId="0" borderId="2" xfId="0" applyNumberFormat="1" applyBorder="1" applyProtection="1"/>
    <xf numFmtId="37" fontId="0" fillId="0" borderId="3" xfId="0" applyNumberFormat="1" applyBorder="1" applyProtection="1"/>
    <xf numFmtId="0" fontId="0" fillId="0" borderId="1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right"/>
    </xf>
    <xf numFmtId="165" fontId="0" fillId="0" borderId="2" xfId="0" applyNumberFormat="1" applyBorder="1" applyProtection="1"/>
    <xf numFmtId="0" fontId="0" fillId="0" borderId="0" xfId="0" applyAlignment="1" applyProtection="1">
      <alignment horizontal="centerContinuous"/>
    </xf>
    <xf numFmtId="0" fontId="0" fillId="0" borderId="0" xfId="0" applyAlignment="1">
      <alignment horizontal="centerContinuous"/>
    </xf>
    <xf numFmtId="43" fontId="0" fillId="0" borderId="1" xfId="1" applyFont="1" applyBorder="1"/>
    <xf numFmtId="44" fontId="0" fillId="0" borderId="1" xfId="2" applyFont="1" applyBorder="1"/>
    <xf numFmtId="7" fontId="0" fillId="0" borderId="3" xfId="0" applyNumberFormat="1" applyBorder="1" applyProtection="1"/>
    <xf numFmtId="167" fontId="0" fillId="0" borderId="3" xfId="0" applyNumberFormat="1" applyBorder="1" applyProtection="1"/>
    <xf numFmtId="166" fontId="0" fillId="0" borderId="1" xfId="0" applyNumberFormat="1" applyBorder="1" applyProtection="1"/>
    <xf numFmtId="165" fontId="0" fillId="0" borderId="1" xfId="4" applyNumberFormat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5" xfId="0" applyBorder="1" applyAlignment="1" applyProtection="1">
      <alignment horizontal="center"/>
    </xf>
    <xf numFmtId="0" fontId="0" fillId="0" borderId="4" xfId="0" applyBorder="1" applyAlignment="1" applyProtection="1">
      <alignment horizontal="centerContinuous"/>
    </xf>
    <xf numFmtId="0" fontId="0" fillId="0" borderId="4" xfId="0" applyBorder="1" applyProtection="1"/>
    <xf numFmtId="0" fontId="0" fillId="0" borderId="5" xfId="0" applyBorder="1" applyAlignment="1" applyProtection="1">
      <alignment horizontal="right"/>
    </xf>
    <xf numFmtId="0" fontId="0" fillId="0" borderId="5" xfId="0" applyBorder="1" applyAlignment="1" applyProtection="1">
      <alignment horizontal="left"/>
    </xf>
    <xf numFmtId="0" fontId="0" fillId="0" borderId="5" xfId="0" applyBorder="1" applyProtection="1"/>
    <xf numFmtId="0" fontId="0" fillId="0" borderId="6" xfId="0" applyBorder="1" applyAlignment="1" applyProtection="1">
      <alignment horizontal="right"/>
    </xf>
    <xf numFmtId="0" fontId="0" fillId="0" borderId="7" xfId="0" applyBorder="1" applyAlignment="1" applyProtection="1">
      <alignment horizontal="right"/>
    </xf>
    <xf numFmtId="0" fontId="0" fillId="0" borderId="8" xfId="0" applyBorder="1" applyProtection="1"/>
    <xf numFmtId="37" fontId="0" fillId="0" borderId="8" xfId="0" applyNumberFormat="1" applyBorder="1" applyProtection="1"/>
    <xf numFmtId="0" fontId="0" fillId="0" borderId="1" xfId="0" applyBorder="1" applyAlignment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7" fillId="0" borderId="0" xfId="0" quotePrefix="1" applyFont="1" applyProtection="1">
      <protection locked="0"/>
    </xf>
    <xf numFmtId="0" fontId="5" fillId="0" borderId="0" xfId="0" applyFont="1" applyAlignment="1">
      <alignment horizontal="centerContinuous"/>
    </xf>
    <xf numFmtId="0" fontId="6" fillId="0" borderId="0" xfId="0" applyFont="1" applyAlignment="1" applyProtection="1">
      <alignment horizontal="centerContinuous"/>
    </xf>
    <xf numFmtId="0" fontId="6" fillId="0" borderId="0" xfId="0" applyFont="1" applyAlignment="1">
      <alignment horizontal="centerContinuous"/>
    </xf>
    <xf numFmtId="0" fontId="6" fillId="0" borderId="0" xfId="0" applyFont="1" applyAlignment="1" applyProtection="1">
      <alignment horizontal="left"/>
    </xf>
    <xf numFmtId="0" fontId="5" fillId="0" borderId="0" xfId="0" applyFont="1"/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8" fillId="0" borderId="0" xfId="0" applyFont="1" applyAlignment="1" applyProtection="1">
      <alignment horizontal="centerContinuous"/>
    </xf>
    <xf numFmtId="0" fontId="10" fillId="0" borderId="0" xfId="0" quotePrefix="1" applyFont="1" applyAlignment="1" applyProtection="1">
      <alignment horizontal="centerContinuous"/>
      <protection locked="0"/>
    </xf>
    <xf numFmtId="39" fontId="5" fillId="0" borderId="0" xfId="0" applyNumberFormat="1" applyFont="1" applyProtection="1"/>
    <xf numFmtId="49" fontId="5" fillId="0" borderId="0" xfId="0" applyNumberFormat="1" applyFont="1" applyProtection="1"/>
    <xf numFmtId="0" fontId="11" fillId="0" borderId="0" xfId="0" applyFont="1" applyProtection="1"/>
    <xf numFmtId="39" fontId="4" fillId="0" borderId="0" xfId="0" applyNumberFormat="1" applyFont="1" applyProtection="1"/>
    <xf numFmtId="0" fontId="4" fillId="0" borderId="3" xfId="0" applyFont="1" applyBorder="1" applyAlignment="1" applyProtection="1">
      <alignment horizontal="right"/>
    </xf>
    <xf numFmtId="0" fontId="4" fillId="0" borderId="3" xfId="0" applyFont="1" applyBorder="1" applyProtection="1"/>
    <xf numFmtId="186" fontId="0" fillId="0" borderId="0" xfId="0" applyNumberFormat="1"/>
    <xf numFmtId="49" fontId="0" fillId="0" borderId="0" xfId="0" applyNumberFormat="1"/>
    <xf numFmtId="0" fontId="1" fillId="0" borderId="0" xfId="0" applyFont="1" applyAlignment="1" applyProtection="1">
      <alignment horizontal="centerContinuous"/>
    </xf>
    <xf numFmtId="0" fontId="0" fillId="0" borderId="0" xfId="0" applyAlignment="1"/>
    <xf numFmtId="0" fontId="0" fillId="0" borderId="0" xfId="0" applyAlignment="1" applyProtection="1"/>
    <xf numFmtId="0" fontId="5" fillId="0" borderId="0" xfId="0" applyFont="1" applyAlignment="1" applyProtection="1">
      <alignment horizontal="centerContinuous"/>
    </xf>
    <xf numFmtId="0" fontId="0" fillId="0" borderId="0" xfId="0" applyBorder="1" applyAlignment="1" applyProtection="1">
      <alignment horizontal="centerContinuous"/>
    </xf>
    <xf numFmtId="0" fontId="0" fillId="0" borderId="0" xfId="0" applyBorder="1"/>
    <xf numFmtId="39" fontId="0" fillId="0" borderId="0" xfId="0" applyNumberFormat="1" applyBorder="1" applyProtection="1"/>
    <xf numFmtId="0" fontId="0" fillId="0" borderId="0" xfId="0" quotePrefix="1" applyBorder="1" applyAlignment="1" applyProtection="1">
      <alignment horizontal="center"/>
    </xf>
    <xf numFmtId="0" fontId="0" fillId="0" borderId="0" xfId="0" applyBorder="1" applyAlignment="1">
      <alignment horizontal="center"/>
    </xf>
    <xf numFmtId="0" fontId="0" fillId="0" borderId="0" xfId="0" quotePrefix="1" applyAlignment="1" applyProtection="1">
      <alignment horizontal="left"/>
    </xf>
    <xf numFmtId="39" fontId="0" fillId="0" borderId="1" xfId="0" applyNumberFormat="1" applyBorder="1"/>
    <xf numFmtId="0" fontId="6" fillId="0" borderId="0" xfId="0" quotePrefix="1" applyFont="1" applyAlignment="1" applyProtection="1">
      <alignment horizontal="centerContinuous"/>
    </xf>
    <xf numFmtId="0" fontId="0" fillId="0" borderId="0" xfId="0" quotePrefix="1" applyAlignment="1" applyProtection="1">
      <alignment horizontal="center"/>
    </xf>
    <xf numFmtId="0" fontId="0" fillId="0" borderId="1" xfId="0" quotePrefix="1" applyBorder="1" applyAlignment="1" applyProtection="1">
      <alignment horizontal="right"/>
    </xf>
    <xf numFmtId="0" fontId="11" fillId="0" borderId="0" xfId="0" quotePrefix="1" applyFont="1" applyAlignment="1" applyProtection="1">
      <alignment horizontal="left"/>
    </xf>
    <xf numFmtId="43" fontId="0" fillId="0" borderId="0" xfId="1" applyNumberFormat="1" applyFont="1" applyBorder="1" applyProtection="1"/>
    <xf numFmtId="39" fontId="0" fillId="0" borderId="0" xfId="1" applyNumberFormat="1" applyFont="1" applyProtection="1"/>
    <xf numFmtId="39" fontId="0" fillId="0" borderId="1" xfId="1" applyNumberFormat="1" applyFont="1" applyBorder="1" applyProtection="1"/>
    <xf numFmtId="0" fontId="0" fillId="0" borderId="0" xfId="0" quotePrefix="1" applyAlignment="1" applyProtection="1"/>
    <xf numFmtId="0" fontId="0" fillId="0" borderId="0" xfId="0" quotePrefix="1" applyAlignment="1" applyProtection="1">
      <alignment horizontal="centerContinuous"/>
    </xf>
    <xf numFmtId="0" fontId="5" fillId="0" borderId="0" xfId="0" applyFont="1" applyBorder="1" applyAlignment="1" applyProtection="1"/>
    <xf numFmtId="0" fontId="0" fillId="0" borderId="3" xfId="0" applyBorder="1" applyAlignment="1" applyProtection="1">
      <alignment horizontal="centerContinuous"/>
    </xf>
    <xf numFmtId="0" fontId="2" fillId="0" borderId="3" xfId="0" applyFont="1" applyBorder="1" applyAlignment="1" applyProtection="1">
      <alignment horizontal="right"/>
    </xf>
    <xf numFmtId="0" fontId="2" fillId="0" borderId="3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right"/>
    </xf>
    <xf numFmtId="0" fontId="0" fillId="0" borderId="1" xfId="0" applyBorder="1" applyProtection="1"/>
    <xf numFmtId="0" fontId="6" fillId="0" borderId="0" xfId="0" quotePrefix="1" applyFont="1" applyAlignment="1" applyProtection="1">
      <alignment horizontal="left"/>
    </xf>
    <xf numFmtId="0" fontId="4" fillId="0" borderId="3" xfId="0" quotePrefix="1" applyFont="1" applyBorder="1" applyAlignment="1" applyProtection="1">
      <alignment horizontal="right"/>
    </xf>
    <xf numFmtId="0" fontId="11" fillId="0" borderId="0" xfId="0" applyFont="1"/>
    <xf numFmtId="0" fontId="12" fillId="0" borderId="0" xfId="0" applyFont="1" applyAlignment="1" applyProtection="1">
      <alignment horizontal="centerContinuous"/>
      <protection locked="0"/>
    </xf>
    <xf numFmtId="0" fontId="1" fillId="0" borderId="0" xfId="0" quotePrefix="1" applyFont="1" applyAlignment="1" applyProtection="1">
      <alignment horizontal="right"/>
    </xf>
    <xf numFmtId="0" fontId="13" fillId="0" borderId="0" xfId="0" applyFont="1" applyAlignment="1" applyProtection="1">
      <alignment horizontal="left"/>
    </xf>
    <xf numFmtId="0" fontId="14" fillId="0" borderId="0" xfId="0" quotePrefix="1" applyFont="1" applyProtection="1">
      <protection locked="0"/>
    </xf>
    <xf numFmtId="0" fontId="11" fillId="0" borderId="0" xfId="0" quotePrefix="1" applyFont="1" applyAlignment="1" applyProtection="1">
      <alignment horizontal="centerContinuous"/>
    </xf>
    <xf numFmtId="0" fontId="5" fillId="0" borderId="0" xfId="0" quotePrefix="1" applyFont="1" applyAlignment="1" applyProtection="1">
      <alignment horizontal="left"/>
    </xf>
    <xf numFmtId="0" fontId="0" fillId="0" borderId="0" xfId="0" quotePrefix="1" applyAlignment="1" applyProtection="1">
      <alignment horizontal="right"/>
    </xf>
    <xf numFmtId="0" fontId="0" fillId="0" borderId="0" xfId="0" quotePrefix="1" applyAlignment="1">
      <alignment horizontal="right"/>
    </xf>
    <xf numFmtId="0" fontId="14" fillId="0" borderId="0" xfId="0" quotePrefix="1" applyFont="1" applyAlignment="1" applyProtection="1">
      <alignment horizontal="left"/>
      <protection locked="0"/>
    </xf>
    <xf numFmtId="0" fontId="14" fillId="0" borderId="0" xfId="0" applyFont="1" applyProtection="1">
      <protection locked="0"/>
    </xf>
    <xf numFmtId="37" fontId="0" fillId="0" borderId="0" xfId="0" quotePrefix="1" applyNumberFormat="1" applyAlignment="1" applyProtection="1">
      <alignment horizontal="right"/>
    </xf>
    <xf numFmtId="0" fontId="0" fillId="0" borderId="0" xfId="0" quotePrefix="1" applyBorder="1" applyAlignment="1" applyProtection="1">
      <alignment horizontal="right"/>
    </xf>
    <xf numFmtId="17" fontId="0" fillId="0" borderId="1" xfId="0" quotePrefix="1" applyNumberFormat="1" applyBorder="1" applyAlignment="1" applyProtection="1">
      <alignment horizontal="right"/>
    </xf>
    <xf numFmtId="0" fontId="11" fillId="0" borderId="0" xfId="0" applyFont="1" applyAlignment="1" applyProtection="1">
      <alignment horizontal="centerContinuous"/>
    </xf>
    <xf numFmtId="0" fontId="15" fillId="0" borderId="0" xfId="0" applyFont="1" applyAlignment="1" applyProtection="1">
      <alignment horizontal="centerContinuous"/>
    </xf>
    <xf numFmtId="0" fontId="16" fillId="0" borderId="0" xfId="0" applyFont="1" applyProtection="1"/>
    <xf numFmtId="0" fontId="17" fillId="0" borderId="0" xfId="0" applyFont="1" applyProtection="1"/>
    <xf numFmtId="0" fontId="0" fillId="0" borderId="0" xfId="0" quotePrefix="1" applyBorder="1" applyAlignment="1">
      <alignment horizontal="right"/>
    </xf>
    <xf numFmtId="39" fontId="3" fillId="0" borderId="0" xfId="0" applyNumberFormat="1" applyFont="1" applyAlignment="1" applyProtection="1">
      <alignment horizontal="right"/>
      <protection locked="0"/>
    </xf>
    <xf numFmtId="44" fontId="0" fillId="0" borderId="2" xfId="0" applyNumberFormat="1" applyBorder="1" applyProtection="1"/>
    <xf numFmtId="44" fontId="0" fillId="0" borderId="0" xfId="0" applyNumberFormat="1" applyProtection="1"/>
    <xf numFmtId="44" fontId="0" fillId="0" borderId="3" xfId="0" applyNumberFormat="1" applyBorder="1" applyProtection="1"/>
    <xf numFmtId="44" fontId="0" fillId="0" borderId="3" xfId="2" applyNumberFormat="1" applyFont="1" applyBorder="1" applyProtection="1"/>
    <xf numFmtId="44" fontId="0" fillId="0" borderId="3" xfId="1" applyNumberFormat="1" applyFont="1" applyBorder="1" applyProtection="1"/>
    <xf numFmtId="44" fontId="5" fillId="0" borderId="2" xfId="0" applyNumberFormat="1" applyFont="1" applyBorder="1" applyProtection="1"/>
    <xf numFmtId="37" fontId="0" fillId="0" borderId="0" xfId="0" applyNumberFormat="1" applyAlignment="1" applyProtection="1">
      <alignment horizontal="right"/>
    </xf>
    <xf numFmtId="0" fontId="0" fillId="0" borderId="1" xfId="0" quotePrefix="1" applyFill="1" applyBorder="1" applyAlignment="1" applyProtection="1">
      <alignment horizontal="right"/>
    </xf>
    <xf numFmtId="0" fontId="0" fillId="0" borderId="1" xfId="0" applyFill="1" applyBorder="1" applyAlignment="1" applyProtection="1">
      <alignment horizontal="center"/>
    </xf>
    <xf numFmtId="17" fontId="0" fillId="0" borderId="1" xfId="0" applyNumberFormat="1" applyFill="1" applyBorder="1" applyAlignment="1" applyProtection="1">
      <alignment horizontal="right"/>
    </xf>
    <xf numFmtId="0" fontId="18" fillId="0" borderId="0" xfId="0" applyFont="1"/>
    <xf numFmtId="3" fontId="0" fillId="0" borderId="0" xfId="0" applyNumberFormat="1"/>
    <xf numFmtId="165" fontId="2" fillId="0" borderId="0" xfId="4" applyNumberFormat="1"/>
    <xf numFmtId="0" fontId="18" fillId="0" borderId="3" xfId="0" applyFont="1" applyBorder="1" applyAlignment="1">
      <alignment horizontal="left"/>
    </xf>
    <xf numFmtId="0" fontId="18" fillId="0" borderId="3" xfId="0" applyFont="1" applyFill="1" applyBorder="1" applyAlignment="1">
      <alignment horizontal="right"/>
    </xf>
    <xf numFmtId="165" fontId="2" fillId="0" borderId="0" xfId="4" applyNumberFormat="1" applyFont="1"/>
    <xf numFmtId="0" fontId="18" fillId="0" borderId="0" xfId="0" applyFont="1" applyAlignment="1">
      <alignment horizontal="center" wrapText="1"/>
    </xf>
    <xf numFmtId="44" fontId="18" fillId="0" borderId="0" xfId="2" applyFont="1" applyBorder="1" applyAlignment="1">
      <alignment horizontal="center" wrapText="1"/>
    </xf>
    <xf numFmtId="0" fontId="18" fillId="0" borderId="0" xfId="0" applyFont="1" applyAlignment="1">
      <alignment wrapText="1"/>
    </xf>
    <xf numFmtId="43" fontId="2" fillId="0" borderId="0" xfId="1"/>
    <xf numFmtId="44" fontId="2" fillId="0" borderId="0" xfId="2"/>
    <xf numFmtId="10" fontId="0" fillId="0" borderId="0" xfId="0" applyNumberFormat="1"/>
    <xf numFmtId="10" fontId="2" fillId="0" borderId="0" xfId="4" applyNumberFormat="1"/>
    <xf numFmtId="0" fontId="0" fillId="0" borderId="0" xfId="0" applyAlignment="1">
      <alignment wrapText="1"/>
    </xf>
    <xf numFmtId="43" fontId="2" fillId="0" borderId="9" xfId="1" applyBorder="1"/>
    <xf numFmtId="0" fontId="0" fillId="0" borderId="0" xfId="0" quotePrefix="1" applyAlignment="1">
      <alignment wrapText="1"/>
    </xf>
    <xf numFmtId="43" fontId="0" fillId="0" borderId="9" xfId="0" applyNumberFormat="1" applyBorder="1"/>
    <xf numFmtId="43" fontId="18" fillId="0" borderId="0" xfId="1" applyFont="1"/>
    <xf numFmtId="0" fontId="18" fillId="0" borderId="9" xfId="0" applyFont="1" applyBorder="1" applyAlignment="1">
      <alignment horizontal="center" wrapText="1"/>
    </xf>
    <xf numFmtId="0" fontId="18" fillId="0" borderId="9" xfId="0" applyFont="1" applyBorder="1"/>
    <xf numFmtId="43" fontId="0" fillId="0" borderId="0" xfId="0" applyNumberFormat="1"/>
    <xf numFmtId="10" fontId="18" fillId="0" borderId="10" xfId="0" applyNumberFormat="1" applyFont="1" applyBorder="1"/>
    <xf numFmtId="43" fontId="18" fillId="0" borderId="10" xfId="1" applyFont="1" applyBorder="1"/>
    <xf numFmtId="43" fontId="2" fillId="0" borderId="10" xfId="1" applyBorder="1"/>
    <xf numFmtId="10" fontId="18" fillId="0" borderId="0" xfId="0" applyNumberFormat="1" applyFont="1" applyBorder="1"/>
    <xf numFmtId="0" fontId="18" fillId="0" borderId="9" xfId="0" applyFont="1" applyBorder="1" applyAlignment="1">
      <alignment wrapText="1"/>
    </xf>
    <xf numFmtId="0" fontId="18" fillId="0" borderId="9" xfId="0" quotePrefix="1" applyFont="1" applyBorder="1" applyAlignment="1">
      <alignment wrapText="1"/>
    </xf>
    <xf numFmtId="43" fontId="18" fillId="0" borderId="9" xfId="0" applyNumberFormat="1" applyFont="1" applyBorder="1" applyAlignment="1">
      <alignment wrapText="1"/>
    </xf>
    <xf numFmtId="187" fontId="2" fillId="0" borderId="0" xfId="1" applyNumberFormat="1"/>
    <xf numFmtId="10" fontId="0" fillId="0" borderId="0" xfId="0" applyNumberFormat="1" applyAlignment="1">
      <alignment wrapText="1"/>
    </xf>
    <xf numFmtId="43" fontId="2" fillId="0" borderId="0" xfId="1" applyFont="1"/>
    <xf numFmtId="187" fontId="18" fillId="0" borderId="10" xfId="0" applyNumberFormat="1" applyFont="1" applyBorder="1"/>
    <xf numFmtId="165" fontId="18" fillId="0" borderId="10" xfId="0" applyNumberFormat="1" applyFont="1" applyBorder="1"/>
    <xf numFmtId="165" fontId="18" fillId="0" borderId="10" xfId="4" applyNumberFormat="1" applyFont="1" applyBorder="1"/>
    <xf numFmtId="43" fontId="18" fillId="0" borderId="10" xfId="0" applyNumberFormat="1" applyFont="1" applyBorder="1"/>
    <xf numFmtId="44" fontId="18" fillId="0" borderId="10" xfId="2" applyFont="1" applyBorder="1"/>
    <xf numFmtId="10" fontId="18" fillId="0" borderId="10" xfId="0" applyNumberFormat="1" applyFont="1" applyBorder="1" applyAlignment="1">
      <alignment wrapText="1"/>
    </xf>
    <xf numFmtId="165" fontId="18" fillId="0" borderId="10" xfId="1" applyNumberFormat="1" applyFont="1" applyBorder="1"/>
    <xf numFmtId="44" fontId="2" fillId="0" borderId="0" xfId="2" applyFont="1"/>
    <xf numFmtId="44" fontId="0" fillId="0" borderId="0" xfId="0" applyNumberFormat="1" applyAlignment="1">
      <alignment wrapText="1"/>
    </xf>
    <xf numFmtId="43" fontId="18" fillId="0" borderId="0" xfId="4" applyNumberFormat="1" applyFont="1"/>
    <xf numFmtId="43" fontId="2" fillId="0" borderId="0" xfId="4" applyNumberFormat="1"/>
    <xf numFmtId="165" fontId="2" fillId="0" borderId="0" xfId="4" applyNumberFormat="1" applyBorder="1"/>
    <xf numFmtId="165" fontId="2" fillId="0" borderId="10" xfId="4" applyNumberFormat="1" applyBorder="1"/>
    <xf numFmtId="165" fontId="2" fillId="0" borderId="11" xfId="4" applyNumberFormat="1" applyBorder="1"/>
    <xf numFmtId="43" fontId="2" fillId="0" borderId="11" xfId="1" applyBorder="1"/>
    <xf numFmtId="165" fontId="2" fillId="0" borderId="12" xfId="4" applyNumberFormat="1" applyBorder="1"/>
    <xf numFmtId="165" fontId="2" fillId="0" borderId="0" xfId="4" applyNumberFormat="1" applyFont="1" applyBorder="1"/>
    <xf numFmtId="3" fontId="18" fillId="0" borderId="3" xfId="0" applyNumberFormat="1" applyFont="1" applyBorder="1" applyAlignment="1">
      <alignment horizontal="center" wrapText="1"/>
    </xf>
    <xf numFmtId="165" fontId="18" fillId="0" borderId="3" xfId="4" applyNumberFormat="1" applyFont="1" applyBorder="1" applyAlignment="1">
      <alignment horizontal="right" wrapText="1"/>
    </xf>
    <xf numFmtId="43" fontId="0" fillId="0" borderId="10" xfId="0" applyNumberFormat="1" applyBorder="1"/>
    <xf numFmtId="0" fontId="18" fillId="0" borderId="0" xfId="0" quotePrefix="1" applyFont="1" applyAlignment="1">
      <alignment wrapText="1"/>
    </xf>
    <xf numFmtId="0" fontId="18" fillId="0" borderId="0" xfId="0" applyFont="1" applyAlignment="1">
      <alignment vertical="top"/>
    </xf>
    <xf numFmtId="43" fontId="18" fillId="0" borderId="0" xfId="1" applyFont="1" applyBorder="1"/>
    <xf numFmtId="43" fontId="2" fillId="0" borderId="0" xfId="1" applyBorder="1"/>
    <xf numFmtId="0" fontId="18" fillId="0" borderId="3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165" fontId="2" fillId="0" borderId="0" xfId="4" applyNumberFormat="1" applyAlignment="1">
      <alignment wrapText="1"/>
    </xf>
    <xf numFmtId="165" fontId="2" fillId="0" borderId="0" xfId="4" applyNumberFormat="1" applyFont="1" applyAlignment="1">
      <alignment wrapText="1"/>
    </xf>
    <xf numFmtId="165" fontId="2" fillId="0" borderId="1" xfId="4" applyNumberFormat="1" applyBorder="1" applyAlignment="1">
      <alignment wrapText="1"/>
    </xf>
    <xf numFmtId="43" fontId="0" fillId="0" borderId="0" xfId="0" applyNumberFormat="1" applyAlignment="1">
      <alignment wrapText="1"/>
    </xf>
    <xf numFmtId="3" fontId="0" fillId="0" borderId="0" xfId="0" applyNumberFormat="1" applyAlignment="1">
      <alignment wrapText="1"/>
    </xf>
    <xf numFmtId="165" fontId="2" fillId="0" borderId="1" xfId="4" applyNumberFormat="1" applyFont="1" applyBorder="1" applyAlignment="1">
      <alignment wrapText="1"/>
    </xf>
    <xf numFmtId="0" fontId="0" fillId="0" borderId="0" xfId="0" applyNumberFormat="1" applyAlignment="1">
      <alignment wrapText="1"/>
    </xf>
    <xf numFmtId="37" fontId="0" fillId="0" borderId="0" xfId="0" applyNumberFormat="1" applyAlignment="1">
      <alignment wrapText="1"/>
    </xf>
    <xf numFmtId="0" fontId="18" fillId="0" borderId="10" xfId="0" applyFont="1" applyBorder="1" applyAlignment="1">
      <alignment wrapText="1"/>
    </xf>
    <xf numFmtId="37" fontId="18" fillId="0" borderId="10" xfId="0" applyNumberFormat="1" applyFont="1" applyBorder="1" applyAlignment="1">
      <alignment wrapText="1"/>
    </xf>
    <xf numFmtId="0" fontId="18" fillId="0" borderId="3" xfId="0" applyFont="1" applyBorder="1" applyAlignment="1">
      <alignment horizontal="center" wrapText="1"/>
    </xf>
    <xf numFmtId="0" fontId="18" fillId="0" borderId="3" xfId="0" quotePrefix="1" applyFont="1" applyBorder="1" applyAlignment="1">
      <alignment horizontal="center" wrapText="1"/>
    </xf>
    <xf numFmtId="0" fontId="18" fillId="0" borderId="3" xfId="0" applyFont="1" applyBorder="1" applyAlignment="1">
      <alignment horizontal="right" wrapText="1"/>
    </xf>
    <xf numFmtId="10" fontId="0" fillId="0" borderId="0" xfId="0" applyNumberFormat="1" applyBorder="1" applyProtection="1"/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43" fontId="0" fillId="0" borderId="0" xfId="0" applyNumberFormat="1" applyAlignment="1" applyProtection="1">
      <alignment horizontal="fill"/>
    </xf>
    <xf numFmtId="0" fontId="18" fillId="0" borderId="3" xfId="0" quotePrefix="1" applyFont="1" applyBorder="1" applyAlignment="1" applyProtection="1">
      <alignment horizontal="center" wrapText="1"/>
    </xf>
    <xf numFmtId="0" fontId="19" fillId="0" borderId="0" xfId="0" applyFont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3" xfId="0" applyBorder="1" applyAlignment="1">
      <alignment wrapText="1"/>
    </xf>
    <xf numFmtId="4" fontId="0" fillId="0" borderId="13" xfId="0" applyNumberFormat="1" applyBorder="1" applyProtection="1"/>
    <xf numFmtId="4" fontId="0" fillId="0" borderId="13" xfId="0" applyNumberFormat="1" applyBorder="1"/>
    <xf numFmtId="4" fontId="0" fillId="0" borderId="0" xfId="0" applyNumberFormat="1" applyProtection="1"/>
    <xf numFmtId="4" fontId="0" fillId="0" borderId="0" xfId="0" applyNumberFormat="1"/>
    <xf numFmtId="4" fontId="2" fillId="0" borderId="13" xfId="1" applyNumberFormat="1" applyBorder="1" applyProtection="1"/>
    <xf numFmtId="43" fontId="18" fillId="0" borderId="3" xfId="1" applyFont="1" applyFill="1" applyBorder="1" applyAlignment="1">
      <alignment horizontal="right" wrapText="1"/>
    </xf>
    <xf numFmtId="39" fontId="0" fillId="0" borderId="0" xfId="0" applyNumberFormat="1" applyAlignment="1">
      <alignment wrapText="1"/>
    </xf>
    <xf numFmtId="39" fontId="0" fillId="0" borderId="0" xfId="0" applyNumberFormat="1" applyAlignment="1">
      <alignment horizontal="right" wrapText="1"/>
    </xf>
    <xf numFmtId="43" fontId="2" fillId="0" borderId="0" xfId="1" applyAlignment="1">
      <alignment wrapText="1"/>
    </xf>
    <xf numFmtId="39" fontId="0" fillId="0" borderId="0" xfId="0" applyNumberFormat="1" applyBorder="1" applyAlignment="1">
      <alignment wrapText="1"/>
    </xf>
    <xf numFmtId="4" fontId="0" fillId="0" borderId="0" xfId="0" applyNumberFormat="1" applyAlignment="1">
      <alignment wrapText="1"/>
    </xf>
    <xf numFmtId="39" fontId="18" fillId="0" borderId="10" xfId="0" applyNumberFormat="1" applyFont="1" applyBorder="1" applyAlignment="1">
      <alignment wrapText="1"/>
    </xf>
    <xf numFmtId="4" fontId="0" fillId="0" borderId="0" xfId="0" applyNumberFormat="1" applyAlignment="1">
      <alignment horizontal="right"/>
    </xf>
    <xf numFmtId="43" fontId="2" fillId="0" borderId="12" xfId="1" applyBorder="1"/>
    <xf numFmtId="0" fontId="18" fillId="0" borderId="0" xfId="0" quotePrefix="1" applyFont="1" applyAlignment="1">
      <alignment horizontal="center"/>
    </xf>
    <xf numFmtId="0" fontId="18" fillId="0" borderId="0" xfId="0" applyFont="1" applyProtection="1"/>
    <xf numFmtId="0" fontId="20" fillId="0" borderId="0" xfId="0" quotePrefix="1" applyFont="1" applyProtection="1">
      <protection locked="0"/>
    </xf>
    <xf numFmtId="0" fontId="4" fillId="0" borderId="0" xfId="0" quotePrefix="1" applyFont="1" applyAlignment="1" applyProtection="1">
      <alignment horizontal="left"/>
    </xf>
    <xf numFmtId="0" fontId="18" fillId="0" borderId="10" xfId="0" applyFont="1" applyBorder="1"/>
    <xf numFmtId="4" fontId="18" fillId="0" borderId="10" xfId="0" applyNumberFormat="1" applyFont="1" applyBorder="1"/>
    <xf numFmtId="181" fontId="0" fillId="0" borderId="0" xfId="0" applyNumberFormat="1" applyAlignment="1">
      <alignment wrapText="1"/>
    </xf>
    <xf numFmtId="181" fontId="0" fillId="0" borderId="0" xfId="0" applyNumberFormat="1" applyBorder="1" applyAlignment="1">
      <alignment wrapText="1"/>
    </xf>
    <xf numFmtId="181" fontId="18" fillId="0" borderId="10" xfId="0" applyNumberFormat="1" applyFont="1" applyBorder="1" applyAlignment="1">
      <alignment wrapText="1"/>
    </xf>
    <xf numFmtId="0" fontId="0" fillId="0" borderId="1" xfId="0" applyBorder="1" applyAlignment="1">
      <alignment wrapText="1"/>
    </xf>
    <xf numFmtId="4" fontId="0" fillId="0" borderId="1" xfId="0" applyNumberFormat="1" applyBorder="1" applyProtection="1"/>
    <xf numFmtId="4" fontId="0" fillId="0" borderId="1" xfId="0" applyNumberFormat="1" applyBorder="1"/>
    <xf numFmtId="37" fontId="4" fillId="0" borderId="0" xfId="0" applyNumberFormat="1" applyFont="1" applyProtection="1"/>
    <xf numFmtId="39" fontId="4" fillId="0" borderId="0" xfId="0" applyNumberFormat="1" applyFont="1"/>
    <xf numFmtId="37" fontId="4" fillId="0" borderId="8" xfId="0" applyNumberFormat="1" applyFont="1" applyBorder="1" applyProtection="1"/>
    <xf numFmtId="0" fontId="4" fillId="0" borderId="0" xfId="0" applyFont="1" applyBorder="1"/>
    <xf numFmtId="0" fontId="0" fillId="0" borderId="3" xfId="0" applyBorder="1" applyAlignment="1">
      <alignment horizontal="centerContinuous"/>
    </xf>
    <xf numFmtId="0" fontId="0" fillId="0" borderId="3" xfId="0" applyBorder="1"/>
    <xf numFmtId="8" fontId="4" fillId="0" borderId="0" xfId="0" applyNumberFormat="1" applyFont="1"/>
    <xf numFmtId="0" fontId="4" fillId="0" borderId="0" xfId="0" applyFont="1" applyFill="1" applyBorder="1"/>
    <xf numFmtId="0" fontId="4" fillId="0" borderId="0" xfId="0" applyFont="1" applyAlignment="1">
      <alignment horizontal="center"/>
    </xf>
    <xf numFmtId="44" fontId="0" fillId="0" borderId="0" xfId="0" applyNumberFormat="1"/>
    <xf numFmtId="210" fontId="0" fillId="0" borderId="0" xfId="0" applyNumberFormat="1" applyProtection="1"/>
    <xf numFmtId="0" fontId="22" fillId="0" borderId="0" xfId="0" applyFont="1" applyFill="1" applyBorder="1" applyAlignment="1">
      <alignment horizontal="left"/>
    </xf>
    <xf numFmtId="0" fontId="22" fillId="0" borderId="0" xfId="0" applyFont="1"/>
    <xf numFmtId="43" fontId="22" fillId="0" borderId="0" xfId="1" applyFont="1"/>
    <xf numFmtId="0" fontId="22" fillId="2" borderId="0" xfId="0" applyFont="1" applyFill="1" applyBorder="1" applyAlignment="1">
      <alignment horizontal="left"/>
    </xf>
    <xf numFmtId="0" fontId="22" fillId="3" borderId="0" xfId="0" applyFont="1" applyFill="1" applyBorder="1" applyAlignment="1">
      <alignment horizontal="left"/>
    </xf>
    <xf numFmtId="0" fontId="22" fillId="0" borderId="0" xfId="0" applyFont="1" applyAlignment="1">
      <alignment horizontal="left"/>
    </xf>
    <xf numFmtId="0" fontId="0" fillId="2" borderId="0" xfId="0" applyFill="1" applyProtection="1"/>
    <xf numFmtId="0" fontId="0" fillId="2" borderId="0" xfId="0" applyFill="1" applyAlignment="1">
      <alignment horizontal="centerContinuous"/>
    </xf>
    <xf numFmtId="0" fontId="0" fillId="2" borderId="0" xfId="0" applyFill="1"/>
    <xf numFmtId="0" fontId="0" fillId="2" borderId="0" xfId="0" quotePrefix="1" applyFill="1" applyAlignment="1" applyProtection="1">
      <alignment horizontal="right"/>
    </xf>
    <xf numFmtId="0" fontId="0" fillId="2" borderId="1" xfId="0" quotePrefix="1" applyFill="1" applyBorder="1" applyAlignment="1" applyProtection="1">
      <alignment horizontal="right"/>
    </xf>
    <xf numFmtId="39" fontId="0" fillId="2" borderId="0" xfId="0" applyNumberFormat="1" applyFill="1" applyProtection="1"/>
    <xf numFmtId="44" fontId="0" fillId="2" borderId="2" xfId="0" applyNumberFormat="1" applyFill="1" applyBorder="1" applyProtection="1"/>
    <xf numFmtId="43" fontId="2" fillId="2" borderId="0" xfId="1" applyFill="1" applyProtection="1"/>
    <xf numFmtId="4" fontId="0" fillId="2" borderId="13" xfId="0" applyNumberFormat="1" applyFill="1" applyBorder="1" applyProtection="1"/>
    <xf numFmtId="4" fontId="0" fillId="2" borderId="0" xfId="0" applyNumberFormat="1" applyFill="1" applyProtection="1"/>
    <xf numFmtId="4" fontId="0" fillId="2" borderId="13" xfId="0" applyNumberFormat="1" applyFill="1" applyBorder="1"/>
    <xf numFmtId="4" fontId="0" fillId="2" borderId="1" xfId="0" applyNumberFormat="1" applyFill="1" applyBorder="1"/>
    <xf numFmtId="4" fontId="0" fillId="2" borderId="0" xfId="0" applyNumberFormat="1" applyFill="1"/>
    <xf numFmtId="4" fontId="18" fillId="2" borderId="10" xfId="0" applyNumberFormat="1" applyFont="1" applyFill="1" applyBorder="1"/>
    <xf numFmtId="39" fontId="21" fillId="0" borderId="0" xfId="3" applyNumberFormat="1" applyAlignment="1" applyProtection="1"/>
    <xf numFmtId="44" fontId="0" fillId="0" borderId="0" xfId="0" applyNumberFormat="1" applyAlignment="1" applyProtection="1">
      <alignment horizontal="left"/>
    </xf>
    <xf numFmtId="2" fontId="4" fillId="0" borderId="0" xfId="0" applyNumberFormat="1" applyFont="1"/>
    <xf numFmtId="39" fontId="18" fillId="0" borderId="0" xfId="0" applyNumberFormat="1" applyFont="1" applyProtection="1"/>
    <xf numFmtId="43" fontId="0" fillId="0" borderId="0" xfId="1" applyFont="1" applyFill="1" applyBorder="1"/>
    <xf numFmtId="0" fontId="22" fillId="4" borderId="0" xfId="0" applyFont="1" applyFill="1" applyBorder="1" applyAlignment="1">
      <alignment horizontal="left"/>
    </xf>
    <xf numFmtId="43" fontId="2" fillId="4" borderId="0" xfId="1" applyFill="1"/>
    <xf numFmtId="40" fontId="0" fillId="0" borderId="0" xfId="0" applyNumberFormat="1"/>
    <xf numFmtId="39" fontId="0" fillId="0" borderId="10" xfId="0" applyNumberFormat="1" applyBorder="1"/>
    <xf numFmtId="37" fontId="18" fillId="0" borderId="0" xfId="0" applyNumberFormat="1" applyFont="1" applyProtection="1"/>
    <xf numFmtId="8" fontId="18" fillId="0" borderId="0" xfId="0" applyNumberFormat="1" applyFont="1" applyProtection="1"/>
    <xf numFmtId="8" fontId="0" fillId="0" borderId="0" xfId="0" applyNumberFormat="1" applyProtection="1"/>
    <xf numFmtId="8" fontId="0" fillId="0" borderId="2" xfId="0" applyNumberFormat="1" applyBorder="1" applyProtection="1"/>
    <xf numFmtId="0" fontId="18" fillId="0" borderId="0" xfId="0" applyFont="1" applyAlignment="1" applyProtection="1"/>
    <xf numFmtId="0" fontId="4" fillId="5" borderId="0" xfId="0" applyFont="1" applyFill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0" fillId="0" borderId="0" xfId="0" applyFill="1" applyProtection="1"/>
    <xf numFmtId="0" fontId="0" fillId="0" borderId="0" xfId="0" applyFill="1" applyAlignment="1" applyProtection="1">
      <alignment horizontal="centerContinuous"/>
    </xf>
    <xf numFmtId="39" fontId="0" fillId="0" borderId="0" xfId="0" applyNumberFormat="1" applyFill="1" applyProtection="1"/>
    <xf numFmtId="0" fontId="0" fillId="0" borderId="0" xfId="0" applyFill="1"/>
    <xf numFmtId="40" fontId="0" fillId="0" borderId="0" xfId="0" applyNumberFormat="1" applyProtection="1"/>
    <xf numFmtId="165" fontId="0" fillId="0" borderId="0" xfId="0" applyNumberFormat="1"/>
    <xf numFmtId="0" fontId="0" fillId="6" borderId="10" xfId="0" applyFill="1" applyBorder="1"/>
    <xf numFmtId="38" fontId="0" fillId="0" borderId="0" xfId="0" applyNumberFormat="1"/>
    <xf numFmtId="38" fontId="18" fillId="0" borderId="10" xfId="0" applyNumberFormat="1" applyFont="1" applyBorder="1"/>
    <xf numFmtId="0" fontId="0" fillId="0" borderId="0" xfId="0" applyAlignment="1">
      <alignment horizontal="center" wrapText="1"/>
    </xf>
    <xf numFmtId="40" fontId="18" fillId="0" borderId="0" xfId="0" applyNumberFormat="1" applyFont="1"/>
    <xf numFmtId="40" fontId="18" fillId="0" borderId="3" xfId="0" quotePrefix="1" applyNumberFormat="1" applyFont="1" applyBorder="1" applyAlignment="1" applyProtection="1">
      <alignment horizontal="center" wrapText="1"/>
    </xf>
    <xf numFmtId="165" fontId="18" fillId="0" borderId="3" xfId="4" applyNumberFormat="1" applyFont="1" applyBorder="1" applyAlignment="1">
      <alignment horizontal="center" wrapText="1"/>
    </xf>
    <xf numFmtId="40" fontId="0" fillId="0" borderId="14" xfId="0" applyNumberFormat="1" applyBorder="1"/>
    <xf numFmtId="165" fontId="0" fillId="0" borderId="14" xfId="0" applyNumberFormat="1" applyBorder="1"/>
    <xf numFmtId="40" fontId="2" fillId="0" borderId="10" xfId="1" applyNumberFormat="1" applyBorder="1"/>
    <xf numFmtId="40" fontId="2" fillId="0" borderId="12" xfId="1" applyNumberFormat="1" applyFont="1" applyBorder="1"/>
    <xf numFmtId="40" fontId="0" fillId="0" borderId="10" xfId="0" applyNumberFormat="1" applyBorder="1"/>
    <xf numFmtId="165" fontId="2" fillId="0" borderId="10" xfId="4" applyNumberFormat="1" applyFont="1" applyBorder="1"/>
    <xf numFmtId="165" fontId="4" fillId="0" borderId="10" xfId="4" applyNumberFormat="1" applyFont="1" applyBorder="1"/>
    <xf numFmtId="0" fontId="18" fillId="0" borderId="0" xfId="0" applyFont="1" applyAlignment="1">
      <alignment horizontal="right"/>
    </xf>
    <xf numFmtId="0" fontId="0" fillId="5" borderId="0" xfId="0" applyFill="1"/>
    <xf numFmtId="191" fontId="0" fillId="0" borderId="0" xfId="0" applyNumberFormat="1"/>
    <xf numFmtId="0" fontId="23" fillId="0" borderId="0" xfId="0" applyFont="1"/>
    <xf numFmtId="37" fontId="23" fillId="5" borderId="0" xfId="0" applyNumberFormat="1" applyFont="1" applyFill="1" applyAlignment="1" applyProtection="1">
      <alignment horizontal="right"/>
    </xf>
    <xf numFmtId="0" fontId="23" fillId="0" borderId="3" xfId="0" applyFont="1" applyBorder="1" applyAlignment="1" applyProtection="1">
      <alignment horizontal="right"/>
    </xf>
    <xf numFmtId="0" fontId="23" fillId="0" borderId="3" xfId="0" applyFont="1" applyBorder="1" applyAlignment="1" applyProtection="1">
      <alignment horizontal="center"/>
    </xf>
    <xf numFmtId="0" fontId="24" fillId="0" borderId="0" xfId="0" applyFont="1" applyAlignment="1">
      <alignment horizontal="right"/>
    </xf>
    <xf numFmtId="8" fontId="0" fillId="0" borderId="0" xfId="0" applyNumberFormat="1"/>
    <xf numFmtId="8" fontId="0" fillId="0" borderId="3" xfId="0" applyNumberFormat="1" applyBorder="1" applyProtection="1"/>
    <xf numFmtId="0" fontId="25" fillId="0" borderId="7" xfId="0" applyFont="1" applyBorder="1" applyAlignment="1">
      <alignment wrapText="1"/>
    </xf>
    <xf numFmtId="0" fontId="25" fillId="0" borderId="9" xfId="0" applyFont="1" applyBorder="1" applyAlignment="1">
      <alignment wrapText="1"/>
    </xf>
    <xf numFmtId="43" fontId="28" fillId="7" borderId="0" xfId="0" applyNumberFormat="1" applyFont="1" applyFill="1"/>
    <xf numFmtId="165" fontId="28" fillId="7" borderId="0" xfId="0" applyNumberFormat="1" applyFont="1" applyFill="1"/>
    <xf numFmtId="43" fontId="29" fillId="7" borderId="0" xfId="0" applyNumberFormat="1" applyFont="1" applyFill="1"/>
    <xf numFmtId="43" fontId="30" fillId="7" borderId="0" xfId="0" applyNumberFormat="1" applyFont="1" applyFill="1"/>
    <xf numFmtId="43" fontId="31" fillId="7" borderId="10" xfId="1" applyFont="1" applyFill="1" applyBorder="1"/>
    <xf numFmtId="181" fontId="31" fillId="7" borderId="10" xfId="1" applyNumberFormat="1" applyFont="1" applyFill="1" applyBorder="1"/>
    <xf numFmtId="43" fontId="32" fillId="7" borderId="10" xfId="1" applyFont="1" applyFill="1" applyBorder="1"/>
    <xf numFmtId="43" fontId="33" fillId="7" borderId="10" xfId="1" applyFont="1" applyFill="1" applyBorder="1"/>
    <xf numFmtId="0" fontId="25" fillId="7" borderId="0" xfId="0" applyFont="1" applyFill="1" applyAlignment="1">
      <alignment wrapText="1"/>
    </xf>
    <xf numFmtId="0" fontId="18" fillId="7" borderId="0" xfId="0" applyFont="1" applyFill="1" applyAlignment="1">
      <alignment wrapText="1"/>
    </xf>
    <xf numFmtId="43" fontId="0" fillId="8" borderId="0" xfId="0" applyNumberFormat="1" applyFill="1"/>
    <xf numFmtId="43" fontId="2" fillId="8" borderId="0" xfId="1" applyFill="1"/>
    <xf numFmtId="0" fontId="0" fillId="8" borderId="0" xfId="0" applyFill="1"/>
    <xf numFmtId="43" fontId="18" fillId="8" borderId="10" xfId="1" applyFont="1" applyFill="1" applyBorder="1"/>
    <xf numFmtId="39" fontId="18" fillId="4" borderId="0" xfId="0" applyNumberFormat="1" applyFont="1" applyFill="1"/>
    <xf numFmtId="39" fontId="18" fillId="8" borderId="10" xfId="0" applyNumberFormat="1" applyFont="1" applyFill="1" applyBorder="1"/>
    <xf numFmtId="211" fontId="34" fillId="7" borderId="0" xfId="0" applyNumberFormat="1" applyFont="1" applyFill="1" applyProtection="1"/>
    <xf numFmtId="165" fontId="34" fillId="7" borderId="0" xfId="0" applyNumberFormat="1" applyFont="1" applyFill="1" applyProtection="1"/>
    <xf numFmtId="211" fontId="35" fillId="7" borderId="0" xfId="0" applyNumberFormat="1" applyFont="1" applyFill="1" applyProtection="1"/>
    <xf numFmtId="211" fontId="36" fillId="7" borderId="0" xfId="0" applyNumberFormat="1" applyFont="1" applyFill="1" applyProtection="1"/>
    <xf numFmtId="10" fontId="0" fillId="0" borderId="15" xfId="0" applyNumberFormat="1" applyBorder="1"/>
    <xf numFmtId="0" fontId="4" fillId="0" borderId="13" xfId="0" applyFont="1" applyBorder="1"/>
    <xf numFmtId="181" fontId="0" fillId="2" borderId="13" xfId="0" applyNumberFormat="1" applyFill="1" applyBorder="1"/>
    <xf numFmtId="43" fontId="34" fillId="7" borderId="0" xfId="0" applyNumberFormat="1" applyFont="1" applyFill="1" applyProtection="1"/>
    <xf numFmtId="43" fontId="35" fillId="7" borderId="0" xfId="0" applyNumberFormat="1" applyFont="1" applyFill="1" applyProtection="1"/>
    <xf numFmtId="43" fontId="36" fillId="7" borderId="0" xfId="0" applyNumberFormat="1" applyFont="1" applyFill="1" applyProtection="1"/>
    <xf numFmtId="165" fontId="34" fillId="7" borderId="1" xfId="0" applyNumberFormat="1" applyFont="1" applyFill="1" applyBorder="1" applyProtection="1"/>
    <xf numFmtId="43" fontId="36" fillId="7" borderId="1" xfId="0" applyNumberFormat="1" applyFont="1" applyFill="1" applyBorder="1" applyProtection="1"/>
    <xf numFmtId="211" fontId="34" fillId="7" borderId="10" xfId="0" applyNumberFormat="1" applyFont="1" applyFill="1" applyBorder="1" applyProtection="1"/>
    <xf numFmtId="10" fontId="34" fillId="7" borderId="10" xfId="0" applyNumberFormat="1" applyFont="1" applyFill="1" applyBorder="1" applyProtection="1"/>
    <xf numFmtId="211" fontId="35" fillId="7" borderId="10" xfId="0" applyNumberFormat="1" applyFont="1" applyFill="1" applyBorder="1" applyProtection="1"/>
    <xf numFmtId="211" fontId="36" fillId="7" borderId="10" xfId="0" applyNumberFormat="1" applyFont="1" applyFill="1" applyBorder="1" applyProtection="1"/>
    <xf numFmtId="0" fontId="0" fillId="0" borderId="13" xfId="0" applyBorder="1" applyAlignment="1">
      <alignment horizontal="right"/>
    </xf>
    <xf numFmtId="0" fontId="0" fillId="0" borderId="0" xfId="0" applyFill="1" applyBorder="1" applyAlignment="1" applyProtection="1">
      <alignment horizontal="right"/>
    </xf>
    <xf numFmtId="4" fontId="4" fillId="0" borderId="0" xfId="0" applyNumberFormat="1" applyFont="1" applyBorder="1"/>
    <xf numFmtId="0" fontId="18" fillId="0" borderId="13" xfId="0" applyFont="1" applyBorder="1"/>
    <xf numFmtId="4" fontId="18" fillId="0" borderId="13" xfId="0" applyNumberFormat="1" applyFont="1" applyBorder="1"/>
    <xf numFmtId="4" fontId="18" fillId="2" borderId="13" xfId="0" applyNumberFormat="1" applyFont="1" applyFill="1" applyBorder="1"/>
    <xf numFmtId="40" fontId="0" fillId="2" borderId="0" xfId="0" applyNumberFormat="1" applyFill="1"/>
    <xf numFmtId="10" fontId="0" fillId="0" borderId="8" xfId="0" applyNumberFormat="1" applyBorder="1"/>
    <xf numFmtId="181" fontId="0" fillId="2" borderId="0" xfId="0" applyNumberFormat="1" applyFill="1"/>
    <xf numFmtId="0" fontId="0" fillId="0" borderId="13" xfId="0" applyBorder="1"/>
    <xf numFmtId="10" fontId="4" fillId="0" borderId="8" xfId="0" applyNumberFormat="1" applyFont="1" applyBorder="1"/>
    <xf numFmtId="10" fontId="0" fillId="0" borderId="13" xfId="0" applyNumberFormat="1" applyBorder="1" applyProtection="1"/>
    <xf numFmtId="191" fontId="0" fillId="0" borderId="13" xfId="0" applyNumberFormat="1" applyBorder="1" applyProtection="1"/>
    <xf numFmtId="165" fontId="2" fillId="0" borderId="0" xfId="4" applyNumberFormat="1" applyBorder="1" applyAlignment="1">
      <alignment wrapText="1"/>
    </xf>
    <xf numFmtId="165" fontId="2" fillId="0" borderId="0" xfId="4" applyNumberFormat="1" applyFont="1" applyBorder="1" applyAlignment="1">
      <alignment wrapText="1"/>
    </xf>
    <xf numFmtId="4" fontId="2" fillId="0" borderId="0" xfId="4" applyNumberFormat="1" applyAlignment="1">
      <alignment wrapText="1"/>
    </xf>
    <xf numFmtId="4" fontId="0" fillId="0" borderId="10" xfId="0" applyNumberFormat="1" applyBorder="1"/>
    <xf numFmtId="4" fontId="0" fillId="2" borderId="10" xfId="0" applyNumberFormat="1" applyFill="1" applyBorder="1"/>
    <xf numFmtId="0" fontId="2" fillId="0" borderId="0" xfId="1" applyNumberFormat="1" applyAlignment="1">
      <alignment wrapText="1"/>
    </xf>
    <xf numFmtId="0" fontId="2" fillId="0" borderId="0" xfId="1" applyNumberFormat="1" applyFont="1" applyAlignment="1">
      <alignment wrapText="1"/>
    </xf>
    <xf numFmtId="39" fontId="4" fillId="2" borderId="0" xfId="0" applyNumberFormat="1" applyFont="1" applyFill="1" applyProtection="1"/>
    <xf numFmtId="0" fontId="0" fillId="7" borderId="0" xfId="0" applyFill="1" applyAlignment="1" applyProtection="1">
      <alignment horizontal="right"/>
    </xf>
    <xf numFmtId="0" fontId="4" fillId="7" borderId="3" xfId="0" quotePrefix="1" applyFont="1" applyFill="1" applyBorder="1" applyAlignment="1" applyProtection="1">
      <alignment horizontal="right"/>
    </xf>
    <xf numFmtId="0" fontId="4" fillId="7" borderId="0" xfId="0" applyFont="1" applyFill="1" applyAlignment="1" applyProtection="1">
      <alignment horizontal="right"/>
    </xf>
    <xf numFmtId="39" fontId="4" fillId="7" borderId="0" xfId="0" applyNumberFormat="1" applyFont="1" applyFill="1" applyProtection="1"/>
    <xf numFmtId="39" fontId="0" fillId="7" borderId="1" xfId="0" applyNumberFormat="1" applyFill="1" applyBorder="1" applyProtection="1"/>
    <xf numFmtId="39" fontId="0" fillId="7" borderId="0" xfId="0" applyNumberFormat="1" applyFill="1" applyProtection="1"/>
    <xf numFmtId="39" fontId="0" fillId="7" borderId="2" xfId="0" applyNumberFormat="1" applyFill="1" applyBorder="1" applyProtection="1"/>
    <xf numFmtId="39" fontId="4" fillId="0" borderId="0" xfId="0" applyNumberFormat="1" applyFont="1" applyFill="1" applyProtection="1"/>
    <xf numFmtId="44" fontId="18" fillId="0" borderId="0" xfId="0" applyNumberFormat="1" applyFont="1"/>
    <xf numFmtId="0" fontId="4" fillId="0" borderId="0" xfId="0" applyFont="1" applyBorder="1" applyProtection="1"/>
    <xf numFmtId="7" fontId="0" fillId="8" borderId="0" xfId="0" applyNumberFormat="1" applyFill="1" applyProtection="1"/>
    <xf numFmtId="0" fontId="0" fillId="8" borderId="0" xfId="0" applyFill="1" applyProtection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8" fillId="7" borderId="16" xfId="0" applyFont="1" applyFill="1" applyBorder="1" applyAlignment="1">
      <alignment horizontal="center"/>
    </xf>
    <xf numFmtId="0" fontId="18" fillId="7" borderId="17" xfId="0" applyFont="1" applyFill="1" applyBorder="1" applyAlignment="1">
      <alignment horizontal="center"/>
    </xf>
    <xf numFmtId="0" fontId="18" fillId="7" borderId="18" xfId="0" applyFont="1" applyFill="1" applyBorder="1" applyAlignment="1">
      <alignment horizontal="center"/>
    </xf>
    <xf numFmtId="0" fontId="18" fillId="0" borderId="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18" fillId="0" borderId="0" xfId="0" quotePrefix="1" applyFont="1" applyAlignment="1">
      <alignment horizontal="center"/>
    </xf>
    <xf numFmtId="40" fontId="18" fillId="0" borderId="0" xfId="0" applyNumberFormat="1" applyFont="1" applyAlignment="1">
      <alignment horizont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cmahoney/LOCALS~1/Temp/FY%202003%20STAT%20Template%20M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"/>
      <sheetName val="zerortn"/>
      <sheetName val="s2"/>
      <sheetName val="s2a"/>
      <sheetName val="s3"/>
      <sheetName val="s3a"/>
      <sheetName val="s3b"/>
      <sheetName val="s3c"/>
      <sheetName val="s4"/>
      <sheetName val="s5"/>
      <sheetName val="s5a"/>
      <sheetName val="s6"/>
      <sheetName val="s7"/>
      <sheetName val="col"/>
      <sheetName val="dis"/>
      <sheetName val="Journal"/>
      <sheetName val="Macros"/>
    </sheetNames>
    <sheetDataSet>
      <sheetData sheetId="0">
        <row r="7">
          <cell r="A7" t="str">
            <v>EXCISE TAX COLLECTED IN APRIL 2002 FOR APRIL 2002 FUEL TRANSACTIONS</v>
          </cell>
        </row>
        <row r="104">
          <cell r="A104" t="str">
            <v>Column Total</v>
          </cell>
        </row>
        <row r="105">
          <cell r="A105" t="str">
            <v>Plus Gasohol</v>
          </cell>
        </row>
        <row r="106">
          <cell r="A106" t="str">
            <v>TOTAL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>
        <row r="52">
          <cell r="C52">
            <v>264634</v>
          </cell>
        </row>
      </sheetData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H346"/>
  <sheetViews>
    <sheetView topLeftCell="A9" workbookViewId="0">
      <selection activeCell="D124" sqref="D124:I124"/>
    </sheetView>
  </sheetViews>
  <sheetFormatPr defaultRowHeight="12.75" x14ac:dyDescent="0.2"/>
  <cols>
    <col min="1" max="1" width="25.7109375" customWidth="1"/>
    <col min="2" max="2" width="14.7109375" customWidth="1"/>
    <col min="3" max="3" width="14" customWidth="1"/>
    <col min="4" max="4" width="16.85546875" customWidth="1"/>
    <col min="5" max="7" width="16.5703125" customWidth="1"/>
    <col min="8" max="9" width="16.7109375" customWidth="1"/>
    <col min="10" max="10" width="17" customWidth="1"/>
    <col min="11" max="11" width="10.28515625" hidden="1" customWidth="1"/>
    <col min="12" max="12" width="10.7109375" hidden="1" customWidth="1"/>
    <col min="13" max="13" width="13.42578125" hidden="1" customWidth="1"/>
    <col min="14" max="14" width="11.140625" hidden="1" customWidth="1"/>
    <col min="15" max="15" width="11.7109375" hidden="1" customWidth="1"/>
    <col min="16" max="16" width="10" hidden="1" customWidth="1"/>
    <col min="17" max="17" width="9.7109375" hidden="1" customWidth="1"/>
    <col min="18" max="18" width="12.5703125" hidden="1" customWidth="1"/>
    <col min="19" max="19" width="9.85546875" hidden="1" customWidth="1"/>
    <col min="20" max="20" width="11.140625" hidden="1" customWidth="1"/>
    <col min="21" max="21" width="9" hidden="1" customWidth="1"/>
    <col min="22" max="22" width="8.7109375" hidden="1" customWidth="1"/>
    <col min="23" max="23" width="9.7109375" hidden="1" customWidth="1"/>
    <col min="24" max="24" width="0" hidden="1" customWidth="1"/>
    <col min="25" max="25" width="9.7109375" hidden="1" customWidth="1"/>
    <col min="26" max="26" width="10.5703125" hidden="1" customWidth="1"/>
    <col min="27" max="27" width="10" hidden="1" customWidth="1"/>
    <col min="28" max="28" width="10.7109375" hidden="1" customWidth="1"/>
    <col min="29" max="29" width="11.7109375" hidden="1" customWidth="1"/>
    <col min="30" max="31" width="10.7109375" hidden="1" customWidth="1"/>
    <col min="32" max="32" width="11.85546875" hidden="1" customWidth="1"/>
    <col min="33" max="33" width="10.42578125" hidden="1" customWidth="1"/>
    <col min="34" max="34" width="13.28515625" hidden="1" customWidth="1"/>
    <col min="35" max="35" width="10.7109375" hidden="1" customWidth="1"/>
    <col min="36" max="39" width="9.28515625" hidden="1" customWidth="1"/>
    <col min="40" max="40" width="12.85546875" hidden="1" customWidth="1"/>
    <col min="41" max="41" width="17.42578125" hidden="1" customWidth="1"/>
    <col min="42" max="42" width="12.42578125" hidden="1" customWidth="1"/>
    <col min="43" max="46" width="9.28515625" hidden="1" customWidth="1"/>
    <col min="47" max="47" width="10.7109375" hidden="1" customWidth="1"/>
    <col min="48" max="48" width="9.28515625" hidden="1" customWidth="1"/>
    <col min="49" max="49" width="14.28515625" hidden="1" customWidth="1"/>
    <col min="50" max="83" width="0" hidden="1" customWidth="1"/>
  </cols>
  <sheetData>
    <row r="1" spans="1:60" ht="15.75" x14ac:dyDescent="0.25">
      <c r="A1" s="63" t="s">
        <v>0</v>
      </c>
      <c r="B1" s="62"/>
      <c r="C1" s="62"/>
      <c r="E1" s="62"/>
      <c r="F1" s="62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N1" t="s">
        <v>1</v>
      </c>
      <c r="AO1" s="82" t="s">
        <v>696</v>
      </c>
      <c r="AP1" s="81"/>
    </row>
    <row r="2" spans="1:60" ht="15.75" x14ac:dyDescent="0.25">
      <c r="A2" s="111" t="str">
        <f>ReportMonth</f>
        <v>MAY 2004</v>
      </c>
      <c r="D2" s="62"/>
      <c r="E2" s="62"/>
      <c r="F2" s="6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N2" t="s">
        <v>2</v>
      </c>
      <c r="AO2" s="82" t="s">
        <v>696</v>
      </c>
    </row>
    <row r="3" spans="1:60" ht="15" x14ac:dyDescent="0.2">
      <c r="A3" s="86" t="s">
        <v>3</v>
      </c>
      <c r="B3" s="86"/>
      <c r="C3" s="43"/>
      <c r="D3" s="86"/>
      <c r="E3" s="86"/>
      <c r="F3" s="86"/>
      <c r="G3" s="42"/>
      <c r="H3" s="42"/>
      <c r="I3" s="42"/>
      <c r="J3" s="4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O3" s="82"/>
    </row>
    <row r="4" spans="1:60" ht="15" x14ac:dyDescent="0.2">
      <c r="A4" s="86" t="s">
        <v>441</v>
      </c>
      <c r="B4" s="86"/>
      <c r="C4" s="43"/>
      <c r="D4" s="86"/>
      <c r="E4" s="86"/>
      <c r="F4" s="86"/>
      <c r="G4" s="42"/>
      <c r="H4" s="42"/>
      <c r="I4" s="42"/>
      <c r="J4" s="4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O4" s="82"/>
    </row>
    <row r="5" spans="1:60" ht="15" x14ac:dyDescent="0.2">
      <c r="A5" s="86" t="s">
        <v>4</v>
      </c>
      <c r="B5" s="43"/>
      <c r="C5" s="86"/>
      <c r="D5" s="86"/>
      <c r="E5" s="86"/>
      <c r="F5" s="86"/>
      <c r="G5" s="42"/>
      <c r="H5" s="42"/>
      <c r="I5" s="42"/>
      <c r="J5" s="42"/>
      <c r="K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7" spans="1:60" ht="20.25" x14ac:dyDescent="0.3">
      <c r="A7" s="112" t="str">
        <f>CONCATENATE("EXCISE TAX COLLECTED IN ",ReportMonth," FOR ",ActivityMonth," FUEL TRANSACTIONS")</f>
        <v>EXCISE TAX COLLECTED IN MAY 2004 FOR MAY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1"/>
      <c r="L7" s="114" t="s">
        <v>5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60" ht="18" customHeight="1" x14ac:dyDescent="0.2"/>
    <row r="9" spans="1:60" x14ac:dyDescent="0.2">
      <c r="A9" s="1"/>
      <c r="B9" s="5" t="s">
        <v>6</v>
      </c>
      <c r="C9" s="5" t="s">
        <v>6</v>
      </c>
      <c r="D9" s="5" t="s">
        <v>7</v>
      </c>
      <c r="E9" s="5" t="s">
        <v>7</v>
      </c>
      <c r="F9" s="5" t="s">
        <v>7</v>
      </c>
      <c r="G9" s="5" t="s">
        <v>8</v>
      </c>
      <c r="H9" s="1"/>
      <c r="I9" s="5" t="s">
        <v>8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60" x14ac:dyDescent="0.2">
      <c r="A10" s="1"/>
      <c r="B10" s="5" t="s">
        <v>5</v>
      </c>
      <c r="C10" s="5" t="s">
        <v>5</v>
      </c>
      <c r="D10" s="5" t="s">
        <v>9</v>
      </c>
      <c r="E10" s="5" t="s">
        <v>9</v>
      </c>
      <c r="F10" s="5" t="s">
        <v>8</v>
      </c>
      <c r="G10" s="5" t="s">
        <v>10</v>
      </c>
      <c r="H10" s="5" t="s">
        <v>8</v>
      </c>
      <c r="I10" s="5" t="s">
        <v>659</v>
      </c>
      <c r="J10" s="377" t="s">
        <v>11</v>
      </c>
      <c r="K10" s="1"/>
      <c r="L10" s="5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8" t="s">
        <v>12</v>
      </c>
      <c r="AE10" s="1"/>
      <c r="AF10" s="393" t="s">
        <v>669</v>
      </c>
      <c r="AG10" s="393"/>
      <c r="AH10" s="393"/>
      <c r="AI10" s="393"/>
      <c r="AJ10" s="393"/>
      <c r="AK10" s="393"/>
      <c r="AL10" s="393"/>
      <c r="AM10" s="393"/>
      <c r="AN10" s="393"/>
      <c r="AO10" s="393"/>
      <c r="AP10" s="393"/>
      <c r="AQ10" s="393"/>
      <c r="AR10" s="393"/>
      <c r="AS10" s="393"/>
      <c r="AT10" s="393"/>
      <c r="AU10" s="393"/>
      <c r="AV10" s="393"/>
    </row>
    <row r="11" spans="1:60" s="20" customFormat="1" ht="15" customHeight="1" thickBot="1" x14ac:dyDescent="0.25">
      <c r="A11" s="80" t="s">
        <v>13</v>
      </c>
      <c r="B11" s="79" t="s">
        <v>9</v>
      </c>
      <c r="C11" s="79" t="s">
        <v>14</v>
      </c>
      <c r="D11" s="79" t="s">
        <v>15</v>
      </c>
      <c r="E11" s="79" t="s">
        <v>16</v>
      </c>
      <c r="F11" s="79" t="s">
        <v>17</v>
      </c>
      <c r="G11" s="79" t="s">
        <v>18</v>
      </c>
      <c r="H11" s="79" t="s">
        <v>19</v>
      </c>
      <c r="I11" s="79" t="s">
        <v>658</v>
      </c>
      <c r="J11" s="378" t="s">
        <v>20</v>
      </c>
      <c r="K11" s="18"/>
      <c r="L11" s="80"/>
      <c r="M11" s="105" t="s">
        <v>21</v>
      </c>
      <c r="N11" s="105" t="s">
        <v>22</v>
      </c>
      <c r="O11" s="106" t="s">
        <v>23</v>
      </c>
      <c r="P11" s="105" t="s">
        <v>24</v>
      </c>
      <c r="Q11" s="106" t="s">
        <v>25</v>
      </c>
      <c r="R11" s="105" t="s">
        <v>26</v>
      </c>
      <c r="S11" s="105" t="s">
        <v>27</v>
      </c>
      <c r="T11" s="105" t="s">
        <v>28</v>
      </c>
      <c r="U11" s="105" t="s">
        <v>29</v>
      </c>
      <c r="V11" s="105" t="s">
        <v>30</v>
      </c>
      <c r="W11" s="106" t="s">
        <v>31</v>
      </c>
      <c r="X11" s="105" t="s">
        <v>32</v>
      </c>
      <c r="Y11" s="106" t="s">
        <v>33</v>
      </c>
      <c r="Z11" s="105" t="s">
        <v>34</v>
      </c>
      <c r="AA11" s="105" t="s">
        <v>35</v>
      </c>
      <c r="AB11" s="106" t="s">
        <v>36</v>
      </c>
      <c r="AC11" s="105" t="s">
        <v>37</v>
      </c>
      <c r="AD11" s="105" t="s">
        <v>5</v>
      </c>
      <c r="AE11" s="18"/>
      <c r="AF11" s="317" t="s">
        <v>21</v>
      </c>
      <c r="AG11" s="317" t="s">
        <v>22</v>
      </c>
      <c r="AH11" s="318" t="s">
        <v>23</v>
      </c>
      <c r="AI11" s="317" t="s">
        <v>24</v>
      </c>
      <c r="AJ11" s="318" t="s">
        <v>25</v>
      </c>
      <c r="AK11" s="317" t="s">
        <v>26</v>
      </c>
      <c r="AL11" s="317" t="s">
        <v>27</v>
      </c>
      <c r="AM11" s="317" t="s">
        <v>28</v>
      </c>
      <c r="AN11" s="317" t="s">
        <v>29</v>
      </c>
      <c r="AO11" s="317" t="s">
        <v>30</v>
      </c>
      <c r="AP11" s="318" t="s">
        <v>31</v>
      </c>
      <c r="AQ11" s="317" t="s">
        <v>32</v>
      </c>
      <c r="AR11" s="318" t="s">
        <v>33</v>
      </c>
      <c r="AS11" s="317" t="s">
        <v>34</v>
      </c>
      <c r="AT11" s="317" t="s">
        <v>35</v>
      </c>
      <c r="AU11" s="318" t="s">
        <v>36</v>
      </c>
      <c r="AV11" s="317" t="s">
        <v>37</v>
      </c>
      <c r="AW11" s="319" t="s">
        <v>670</v>
      </c>
      <c r="AX11" s="315"/>
      <c r="AY11" s="315"/>
      <c r="AZ11" s="315"/>
      <c r="BA11" s="315"/>
      <c r="BB11" s="315"/>
      <c r="BC11" s="315"/>
      <c r="BD11" s="315"/>
      <c r="BE11" s="315"/>
      <c r="BF11" s="315"/>
      <c r="BG11" s="315"/>
      <c r="BH11" s="315"/>
    </row>
    <row r="12" spans="1:60" s="20" customFormat="1" ht="15" customHeight="1" x14ac:dyDescent="0.2">
      <c r="A12" s="18"/>
      <c r="B12" s="19"/>
      <c r="C12" s="19"/>
      <c r="D12" s="19"/>
      <c r="E12" s="19"/>
      <c r="F12" s="19"/>
      <c r="G12" s="19"/>
      <c r="H12" s="19"/>
      <c r="I12" s="19"/>
      <c r="J12" s="379"/>
      <c r="K12" s="18"/>
      <c r="L12" s="18"/>
      <c r="M12" s="28"/>
      <c r="N12" s="28"/>
      <c r="O12" s="26"/>
      <c r="P12" s="28"/>
      <c r="Q12" s="26"/>
      <c r="R12" s="28"/>
      <c r="S12" s="28"/>
      <c r="T12" s="28"/>
      <c r="U12" s="28"/>
      <c r="V12" s="28"/>
      <c r="W12" s="26"/>
      <c r="X12" s="28"/>
      <c r="Y12" s="26"/>
      <c r="Z12" s="28"/>
      <c r="AA12" s="28"/>
      <c r="AB12" s="26"/>
      <c r="AC12" s="28"/>
      <c r="AD12" s="28"/>
      <c r="AE12" s="18"/>
      <c r="AF12">
        <v>8.8200000000000001E-2</v>
      </c>
      <c r="AG12">
        <v>8.8200000000000001E-2</v>
      </c>
      <c r="AH12">
        <v>8.8200000000000001E-2</v>
      </c>
      <c r="AI12">
        <v>3.9199999999999999E-2</v>
      </c>
      <c r="AJ12">
        <v>3.9199999999999999E-2</v>
      </c>
      <c r="AK12">
        <v>3.9199999999999999E-2</v>
      </c>
      <c r="AL12">
        <v>3.9199999999999999E-2</v>
      </c>
      <c r="AM12">
        <v>8.8200000000000001E-2</v>
      </c>
      <c r="AN12">
        <v>8.8200000000000001E-2</v>
      </c>
      <c r="AO12">
        <v>3.9199999999999999E-2</v>
      </c>
      <c r="AP12">
        <v>8.8200000000000001E-2</v>
      </c>
      <c r="AQ12">
        <v>8.8200000000000001E-2</v>
      </c>
      <c r="AR12">
        <v>3.9199999999999999E-2</v>
      </c>
      <c r="AS12">
        <v>8.8200000000000001E-2</v>
      </c>
      <c r="AT12">
        <v>3.9199999999999999E-2</v>
      </c>
      <c r="AU12">
        <v>8.8200000000000001E-2</v>
      </c>
      <c r="AV12">
        <v>8.8200000000000001E-2</v>
      </c>
      <c r="AW12" s="319" t="s">
        <v>671</v>
      </c>
    </row>
    <row r="13" spans="1:60" ht="12.75" customHeight="1" x14ac:dyDescent="0.2">
      <c r="A13" s="1" t="s">
        <v>38</v>
      </c>
      <c r="B13" s="7"/>
      <c r="C13" s="7"/>
      <c r="D13" s="2">
        <f>(B13+C13)*0.124</f>
        <v>0</v>
      </c>
      <c r="E13" s="2">
        <f>(B13+C13)*0.049</f>
        <v>0</v>
      </c>
      <c r="F13" s="2">
        <f>(B13+C13)*0.0524</f>
        <v>0</v>
      </c>
      <c r="G13" s="2">
        <f>+AW13</f>
        <v>0</v>
      </c>
      <c r="H13" s="2">
        <f t="shared" ref="H13:H97" si="0">(B13+C13)*0.0098</f>
        <v>0</v>
      </c>
      <c r="I13" s="2">
        <f>(AB13)*0.0041219</f>
        <v>0</v>
      </c>
      <c r="J13" s="380">
        <f t="shared" ref="J13:J88" si="1">SUM(D13:I13)</f>
        <v>0</v>
      </c>
      <c r="K13" s="1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>
        <f t="shared" ref="AD13:AD30" si="2">SUM(L13:AC13)</f>
        <v>0</v>
      </c>
      <c r="AE13" s="1"/>
      <c r="AF13" s="283">
        <f>+M13*$AF$12</f>
        <v>0</v>
      </c>
      <c r="AG13" s="283">
        <f>+N13*$AG$12</f>
        <v>0</v>
      </c>
      <c r="AH13" s="283">
        <f>+O13*$AH$12</f>
        <v>0</v>
      </c>
      <c r="AI13" s="283">
        <f>+P13*$AI$12</f>
        <v>0</v>
      </c>
      <c r="AJ13" s="283">
        <f>+Q13*$AJ$12</f>
        <v>0</v>
      </c>
      <c r="AK13" s="283">
        <f>+R13*$AK$12</f>
        <v>0</v>
      </c>
      <c r="AL13" s="283">
        <f>+S13*$AL$12</f>
        <v>0</v>
      </c>
      <c r="AM13" s="283">
        <f>+T13*$AM$12</f>
        <v>0</v>
      </c>
      <c r="AN13" s="283">
        <f>+U13*$AN$12</f>
        <v>0</v>
      </c>
      <c r="AO13" s="283">
        <f>+V13*$AO$12</f>
        <v>0</v>
      </c>
      <c r="AP13" s="283">
        <f>+W13*$AP$12</f>
        <v>0</v>
      </c>
      <c r="AQ13" s="283">
        <f>+X13*$AQ$12</f>
        <v>0</v>
      </c>
      <c r="AR13" s="283">
        <f>+Y13*$AR$12</f>
        <v>0</v>
      </c>
      <c r="AS13" s="283">
        <f>+Z13*$AS$12</f>
        <v>0</v>
      </c>
      <c r="AT13" s="283">
        <f>+AA13*$AT$12</f>
        <v>0</v>
      </c>
      <c r="AU13" s="283">
        <f>+AB13*$AU$12</f>
        <v>0</v>
      </c>
      <c r="AV13" s="283">
        <f>+AC13*$AV$12</f>
        <v>0</v>
      </c>
      <c r="AW13" s="320">
        <f>SUM(AF13:AV13)</f>
        <v>0</v>
      </c>
    </row>
    <row r="14" spans="1:60" ht="12.75" customHeight="1" x14ac:dyDescent="0.2">
      <c r="A14" s="1" t="s">
        <v>719</v>
      </c>
      <c r="B14" s="7">
        <v>2585</v>
      </c>
      <c r="C14" s="7">
        <v>0</v>
      </c>
      <c r="D14" s="2">
        <f>(B14+C14)*0.124</f>
        <v>320.54000000000002</v>
      </c>
      <c r="E14" s="2">
        <f>(B14+C14)*0.049</f>
        <v>126.67</v>
      </c>
      <c r="F14" s="2">
        <f>(B14+C14)*0.0524</f>
        <v>135.44999999999999</v>
      </c>
      <c r="G14" s="2">
        <f>+AW14</f>
        <v>228</v>
      </c>
      <c r="H14" s="2">
        <f>(B14+C14)*0.0098</f>
        <v>25.33</v>
      </c>
      <c r="I14" s="2">
        <f>(AB14)*0.0041219</f>
        <v>0</v>
      </c>
      <c r="J14" s="380">
        <f>SUM(D14:I14)</f>
        <v>835.99</v>
      </c>
      <c r="K14" s="1"/>
      <c r="L14" s="7"/>
      <c r="M14" s="7"/>
      <c r="N14" s="7"/>
      <c r="O14" s="7">
        <v>2585</v>
      </c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>
        <f>SUM(L14:AC14)</f>
        <v>2585</v>
      </c>
      <c r="AE14" s="1"/>
      <c r="AF14" s="283">
        <f>+M14*$AF$12</f>
        <v>0</v>
      </c>
      <c r="AG14" s="283">
        <f>+N14*$AG$12</f>
        <v>0</v>
      </c>
      <c r="AH14" s="283">
        <f>+O14*$AH$12</f>
        <v>228</v>
      </c>
      <c r="AI14" s="283">
        <f>+P14*$AI$12</f>
        <v>0</v>
      </c>
      <c r="AJ14" s="283">
        <f>+Q14*$AJ$12</f>
        <v>0</v>
      </c>
      <c r="AK14" s="283">
        <f>+R14*$AK$12</f>
        <v>0</v>
      </c>
      <c r="AL14" s="283">
        <f>+S14*$AL$12</f>
        <v>0</v>
      </c>
      <c r="AM14" s="283">
        <f>+T14*$AM$12</f>
        <v>0</v>
      </c>
      <c r="AN14" s="283">
        <f>+U14*$AN$12</f>
        <v>0</v>
      </c>
      <c r="AO14" s="283">
        <f>+V14*$AO$12</f>
        <v>0</v>
      </c>
      <c r="AP14" s="283">
        <f>+W14*$AP$12</f>
        <v>0</v>
      </c>
      <c r="AQ14" s="283">
        <f>+X14*$AQ$12</f>
        <v>0</v>
      </c>
      <c r="AR14" s="283">
        <f>+Y14*$AR$12</f>
        <v>0</v>
      </c>
      <c r="AS14" s="283">
        <f>+Z14*$AS$12</f>
        <v>0</v>
      </c>
      <c r="AT14" s="283">
        <f>+AA14*$AT$12</f>
        <v>0</v>
      </c>
      <c r="AU14" s="283">
        <f>+AB14*$AU$12</f>
        <v>0</v>
      </c>
      <c r="AV14" s="283">
        <f>+AC14*$AV$12</f>
        <v>0</v>
      </c>
      <c r="AW14" s="320">
        <f>SUM(AF14:AV14)</f>
        <v>228</v>
      </c>
    </row>
    <row r="15" spans="1:60" ht="12.75" customHeight="1" x14ac:dyDescent="0.2">
      <c r="A15" s="1" t="s">
        <v>39</v>
      </c>
      <c r="B15" s="7">
        <v>392131</v>
      </c>
      <c r="C15" s="7">
        <v>0</v>
      </c>
      <c r="D15" s="2">
        <f>(B15+C15)*0.124+0.01</f>
        <v>48624.25</v>
      </c>
      <c r="E15" s="2">
        <f t="shared" ref="E15:E25" si="3">(B15+C15)*0.049</f>
        <v>19214.419999999998</v>
      </c>
      <c r="F15" s="2">
        <f t="shared" ref="F15:F25" si="4">(B15+C15)*0.0524</f>
        <v>20547.66</v>
      </c>
      <c r="G15" s="2">
        <f t="shared" ref="G15:G89" si="5">+AW15</f>
        <v>21223.46</v>
      </c>
      <c r="H15" s="2">
        <f t="shared" si="0"/>
        <v>3842.88</v>
      </c>
      <c r="I15" s="2">
        <f t="shared" ref="I15:I89" si="6">(AB15)*0.0041219</f>
        <v>0</v>
      </c>
      <c r="J15" s="380">
        <f t="shared" si="1"/>
        <v>113452.67</v>
      </c>
      <c r="K15" s="1"/>
      <c r="L15" s="7"/>
      <c r="M15" s="7"/>
      <c r="N15" s="7"/>
      <c r="O15" s="7"/>
      <c r="P15" s="7"/>
      <c r="Q15" s="7">
        <v>262186</v>
      </c>
      <c r="R15" s="7"/>
      <c r="S15" s="7">
        <v>10518</v>
      </c>
      <c r="T15" s="7">
        <v>17732</v>
      </c>
      <c r="U15" s="7">
        <v>87929</v>
      </c>
      <c r="V15" s="7"/>
      <c r="W15" s="7"/>
      <c r="X15" s="7">
        <v>3501</v>
      </c>
      <c r="Y15" s="7"/>
      <c r="Z15" s="7"/>
      <c r="AA15" s="7"/>
      <c r="AB15" s="7"/>
      <c r="AC15" s="7">
        <v>10265</v>
      </c>
      <c r="AD15" s="7">
        <f t="shared" si="2"/>
        <v>392131</v>
      </c>
      <c r="AE15" s="1"/>
      <c r="AF15" s="283">
        <f t="shared" ref="AF15:AF89" si="7">+M15*$AF$12</f>
        <v>0</v>
      </c>
      <c r="AG15" s="283">
        <f t="shared" ref="AG15:AG89" si="8">+N15*$AG$12</f>
        <v>0</v>
      </c>
      <c r="AH15" s="283">
        <f t="shared" ref="AH15:AH89" si="9">+O15*$AH$12</f>
        <v>0</v>
      </c>
      <c r="AI15" s="283">
        <f t="shared" ref="AI15:AI89" si="10">+P15*$AI$12</f>
        <v>0</v>
      </c>
      <c r="AJ15" s="283">
        <f t="shared" ref="AJ15:AJ89" si="11">+Q15*$AJ$12</f>
        <v>10277.69</v>
      </c>
      <c r="AK15" s="283">
        <f t="shared" ref="AK15:AK89" si="12">+R15*$AK$12</f>
        <v>0</v>
      </c>
      <c r="AL15" s="283">
        <f t="shared" ref="AL15:AL89" si="13">+S15*$AL$12</f>
        <v>412.31</v>
      </c>
      <c r="AM15" s="283">
        <f t="shared" ref="AM15:AM89" si="14">+T15*$AM$12</f>
        <v>1563.96</v>
      </c>
      <c r="AN15" s="283">
        <f t="shared" ref="AN15:AN89" si="15">+U15*$AN$12</f>
        <v>7755.34</v>
      </c>
      <c r="AO15" s="283">
        <f t="shared" ref="AO15:AO89" si="16">+V15*$AO$12</f>
        <v>0</v>
      </c>
      <c r="AP15" s="283">
        <f t="shared" ref="AP15:AP89" si="17">+W15*$AP$12</f>
        <v>0</v>
      </c>
      <c r="AQ15" s="283">
        <f t="shared" ref="AQ15:AQ89" si="18">+X15*$AQ$12</f>
        <v>308.79000000000002</v>
      </c>
      <c r="AR15" s="283">
        <f t="shared" ref="AR15:AR89" si="19">+Y15*$AR$12</f>
        <v>0</v>
      </c>
      <c r="AS15" s="283">
        <f t="shared" ref="AS15:AS89" si="20">+Z15*$AS$12</f>
        <v>0</v>
      </c>
      <c r="AT15" s="283">
        <f t="shared" ref="AT15:AT89" si="21">+AA15*$AT$12</f>
        <v>0</v>
      </c>
      <c r="AU15" s="283">
        <f t="shared" ref="AU15:AU89" si="22">+AB15*$AU$12</f>
        <v>0</v>
      </c>
      <c r="AV15" s="283">
        <f t="shared" ref="AV15:AV89" si="23">+AC15*$AV$12</f>
        <v>905.37</v>
      </c>
      <c r="AW15" s="320">
        <f t="shared" ref="AW15:AW89" si="24">SUM(AF15:AV15)</f>
        <v>21223.46</v>
      </c>
    </row>
    <row r="16" spans="1:60" x14ac:dyDescent="0.2">
      <c r="A16" s="1" t="s">
        <v>343</v>
      </c>
      <c r="B16" s="7">
        <v>24918</v>
      </c>
      <c r="C16" s="7">
        <v>0</v>
      </c>
      <c r="D16" s="2">
        <f>(B16+C16)*0.124</f>
        <v>3089.83</v>
      </c>
      <c r="E16" s="2">
        <f t="shared" si="3"/>
        <v>1220.98</v>
      </c>
      <c r="F16" s="2">
        <f t="shared" si="4"/>
        <v>1305.7</v>
      </c>
      <c r="G16" s="2">
        <f t="shared" si="5"/>
        <v>2197.77</v>
      </c>
      <c r="H16" s="2">
        <f t="shared" si="0"/>
        <v>244.2</v>
      </c>
      <c r="I16" s="2">
        <f t="shared" si="6"/>
        <v>0</v>
      </c>
      <c r="J16" s="380">
        <f t="shared" si="1"/>
        <v>8058.48</v>
      </c>
      <c r="K16" s="1"/>
      <c r="L16" s="7"/>
      <c r="M16" s="7"/>
      <c r="N16" s="7"/>
      <c r="O16" s="7"/>
      <c r="P16" s="7"/>
      <c r="Q16" s="7"/>
      <c r="R16" s="7"/>
      <c r="S16" s="7"/>
      <c r="T16" s="7"/>
      <c r="U16" s="7">
        <v>24918</v>
      </c>
      <c r="V16" s="7"/>
      <c r="W16" s="7"/>
      <c r="X16" s="7"/>
      <c r="Y16" s="7"/>
      <c r="Z16" s="7"/>
      <c r="AA16" s="7"/>
      <c r="AB16" s="7"/>
      <c r="AC16" s="7"/>
      <c r="AD16" s="7">
        <f t="shared" si="2"/>
        <v>24918</v>
      </c>
      <c r="AE16" s="1"/>
      <c r="AF16" s="283">
        <f t="shared" si="7"/>
        <v>0</v>
      </c>
      <c r="AG16" s="283">
        <f t="shared" si="8"/>
        <v>0</v>
      </c>
      <c r="AH16" s="283">
        <f t="shared" si="9"/>
        <v>0</v>
      </c>
      <c r="AI16" s="283">
        <f t="shared" si="10"/>
        <v>0</v>
      </c>
      <c r="AJ16" s="283">
        <f t="shared" si="11"/>
        <v>0</v>
      </c>
      <c r="AK16" s="283">
        <f t="shared" si="12"/>
        <v>0</v>
      </c>
      <c r="AL16" s="283">
        <f t="shared" si="13"/>
        <v>0</v>
      </c>
      <c r="AM16" s="283">
        <f t="shared" si="14"/>
        <v>0</v>
      </c>
      <c r="AN16" s="283">
        <f t="shared" si="15"/>
        <v>2197.77</v>
      </c>
      <c r="AO16" s="283">
        <f t="shared" si="16"/>
        <v>0</v>
      </c>
      <c r="AP16" s="283">
        <f t="shared" si="17"/>
        <v>0</v>
      </c>
      <c r="AQ16" s="283">
        <f t="shared" si="18"/>
        <v>0</v>
      </c>
      <c r="AR16" s="283">
        <f t="shared" si="19"/>
        <v>0</v>
      </c>
      <c r="AS16" s="283">
        <f t="shared" si="20"/>
        <v>0</v>
      </c>
      <c r="AT16" s="283">
        <f t="shared" si="21"/>
        <v>0</v>
      </c>
      <c r="AU16" s="283">
        <f t="shared" si="22"/>
        <v>0</v>
      </c>
      <c r="AV16" s="283">
        <f t="shared" si="23"/>
        <v>0</v>
      </c>
      <c r="AW16" s="320">
        <f t="shared" si="24"/>
        <v>2197.77</v>
      </c>
    </row>
    <row r="17" spans="1:49" x14ac:dyDescent="0.2">
      <c r="A17" s="7" t="s">
        <v>40</v>
      </c>
      <c r="B17" s="7">
        <v>156</v>
      </c>
      <c r="C17" s="7">
        <v>0</v>
      </c>
      <c r="D17" s="2">
        <f>(B17+C17)*0.124+0.01</f>
        <v>19.350000000000001</v>
      </c>
      <c r="E17" s="2">
        <f t="shared" si="3"/>
        <v>7.64</v>
      </c>
      <c r="F17" s="2">
        <f t="shared" si="4"/>
        <v>8.17</v>
      </c>
      <c r="G17" s="2">
        <f t="shared" si="5"/>
        <v>13.76</v>
      </c>
      <c r="H17" s="2">
        <f t="shared" si="0"/>
        <v>1.53</v>
      </c>
      <c r="I17" s="2">
        <f t="shared" si="6"/>
        <v>0</v>
      </c>
      <c r="J17" s="380">
        <f t="shared" si="1"/>
        <v>50.45</v>
      </c>
      <c r="K17" s="1"/>
      <c r="L17" s="7"/>
      <c r="M17" s="7"/>
      <c r="N17" s="7"/>
      <c r="O17" s="7">
        <v>156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>
        <f t="shared" si="2"/>
        <v>156</v>
      </c>
      <c r="AF17" s="283">
        <f t="shared" si="7"/>
        <v>0</v>
      </c>
      <c r="AG17" s="283">
        <f t="shared" si="8"/>
        <v>0</v>
      </c>
      <c r="AH17" s="283">
        <f t="shared" si="9"/>
        <v>13.76</v>
      </c>
      <c r="AI17" s="283">
        <f t="shared" si="10"/>
        <v>0</v>
      </c>
      <c r="AJ17" s="283">
        <f t="shared" si="11"/>
        <v>0</v>
      </c>
      <c r="AK17" s="283">
        <f t="shared" si="12"/>
        <v>0</v>
      </c>
      <c r="AL17" s="283">
        <f t="shared" si="13"/>
        <v>0</v>
      </c>
      <c r="AM17" s="283">
        <f t="shared" si="14"/>
        <v>0</v>
      </c>
      <c r="AN17" s="283">
        <f t="shared" si="15"/>
        <v>0</v>
      </c>
      <c r="AO17" s="283">
        <f t="shared" si="16"/>
        <v>0</v>
      </c>
      <c r="AP17" s="283">
        <f t="shared" si="17"/>
        <v>0</v>
      </c>
      <c r="AQ17" s="283">
        <f t="shared" si="18"/>
        <v>0</v>
      </c>
      <c r="AR17" s="283">
        <f t="shared" si="19"/>
        <v>0</v>
      </c>
      <c r="AS17" s="283">
        <f t="shared" si="20"/>
        <v>0</v>
      </c>
      <c r="AT17" s="283">
        <f t="shared" si="21"/>
        <v>0</v>
      </c>
      <c r="AU17" s="283">
        <f t="shared" si="22"/>
        <v>0</v>
      </c>
      <c r="AV17" s="283">
        <f t="shared" si="23"/>
        <v>0</v>
      </c>
      <c r="AW17" s="320">
        <f t="shared" si="24"/>
        <v>13.76</v>
      </c>
    </row>
    <row r="18" spans="1:49" x14ac:dyDescent="0.2">
      <c r="A18" s="18" t="s">
        <v>609</v>
      </c>
      <c r="B18" s="7">
        <v>228</v>
      </c>
      <c r="C18" s="7">
        <v>0</v>
      </c>
      <c r="D18" s="2">
        <f>(B18+C18)*0.124</f>
        <v>28.27</v>
      </c>
      <c r="E18" s="2">
        <f>(B18+C18)*0.049</f>
        <v>11.17</v>
      </c>
      <c r="F18" s="2">
        <f>(B18+C18)*0.0524</f>
        <v>11.95</v>
      </c>
      <c r="G18" s="2">
        <f t="shared" si="5"/>
        <v>20.11</v>
      </c>
      <c r="H18" s="2">
        <f t="shared" si="0"/>
        <v>2.23</v>
      </c>
      <c r="I18" s="2">
        <f t="shared" si="6"/>
        <v>0.94</v>
      </c>
      <c r="J18" s="380">
        <f t="shared" si="1"/>
        <v>74.67</v>
      </c>
      <c r="K18" s="1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>
        <v>228</v>
      </c>
      <c r="AC18" s="7"/>
      <c r="AD18" s="7">
        <f t="shared" si="2"/>
        <v>228</v>
      </c>
      <c r="AF18" s="283">
        <f t="shared" si="7"/>
        <v>0</v>
      </c>
      <c r="AG18" s="283">
        <f t="shared" si="8"/>
        <v>0</v>
      </c>
      <c r="AH18" s="283">
        <f t="shared" si="9"/>
        <v>0</v>
      </c>
      <c r="AI18" s="283">
        <f t="shared" si="10"/>
        <v>0</v>
      </c>
      <c r="AJ18" s="283">
        <f t="shared" si="11"/>
        <v>0</v>
      </c>
      <c r="AK18" s="283">
        <f t="shared" si="12"/>
        <v>0</v>
      </c>
      <c r="AL18" s="283">
        <f t="shared" si="13"/>
        <v>0</v>
      </c>
      <c r="AM18" s="283">
        <f t="shared" si="14"/>
        <v>0</v>
      </c>
      <c r="AN18" s="283">
        <f t="shared" si="15"/>
        <v>0</v>
      </c>
      <c r="AO18" s="283">
        <f t="shared" si="16"/>
        <v>0</v>
      </c>
      <c r="AP18" s="283">
        <f t="shared" si="17"/>
        <v>0</v>
      </c>
      <c r="AQ18" s="283">
        <f t="shared" si="18"/>
        <v>0</v>
      </c>
      <c r="AR18" s="283">
        <f t="shared" si="19"/>
        <v>0</v>
      </c>
      <c r="AS18" s="283">
        <f t="shared" si="20"/>
        <v>0</v>
      </c>
      <c r="AT18" s="283">
        <f t="shared" si="21"/>
        <v>0</v>
      </c>
      <c r="AU18" s="283">
        <f t="shared" si="22"/>
        <v>20.11</v>
      </c>
      <c r="AV18" s="283">
        <f t="shared" si="23"/>
        <v>0</v>
      </c>
      <c r="AW18" s="320">
        <f t="shared" si="24"/>
        <v>20.11</v>
      </c>
    </row>
    <row r="19" spans="1:49" x14ac:dyDescent="0.2">
      <c r="A19" s="1" t="s">
        <v>492</v>
      </c>
      <c r="B19" s="7">
        <v>0</v>
      </c>
      <c r="C19" s="7">
        <v>237786</v>
      </c>
      <c r="D19" s="2">
        <f>(B19+C19)*0.124</f>
        <v>29485.46</v>
      </c>
      <c r="E19" s="2">
        <f t="shared" si="3"/>
        <v>11651.51</v>
      </c>
      <c r="F19" s="2">
        <f t="shared" si="4"/>
        <v>12459.99</v>
      </c>
      <c r="G19" s="2">
        <f t="shared" si="5"/>
        <v>20972.73</v>
      </c>
      <c r="H19" s="2">
        <f t="shared" si="0"/>
        <v>2330.3000000000002</v>
      </c>
      <c r="I19" s="2">
        <f t="shared" si="6"/>
        <v>0</v>
      </c>
      <c r="J19" s="380">
        <f t="shared" si="1"/>
        <v>76899.990000000005</v>
      </c>
      <c r="K19" s="1"/>
      <c r="L19" s="7"/>
      <c r="M19" s="7"/>
      <c r="N19" s="7"/>
      <c r="O19" s="7">
        <v>237786</v>
      </c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>
        <f t="shared" si="2"/>
        <v>237786</v>
      </c>
      <c r="AE19" s="7"/>
      <c r="AF19" s="283">
        <f t="shared" si="7"/>
        <v>0</v>
      </c>
      <c r="AG19" s="283">
        <f t="shared" si="8"/>
        <v>0</v>
      </c>
      <c r="AH19" s="283">
        <f t="shared" si="9"/>
        <v>20972.73</v>
      </c>
      <c r="AI19" s="283">
        <f t="shared" si="10"/>
        <v>0</v>
      </c>
      <c r="AJ19" s="283">
        <f t="shared" si="11"/>
        <v>0</v>
      </c>
      <c r="AK19" s="283">
        <f t="shared" si="12"/>
        <v>0</v>
      </c>
      <c r="AL19" s="283">
        <f t="shared" si="13"/>
        <v>0</v>
      </c>
      <c r="AM19" s="283">
        <f t="shared" si="14"/>
        <v>0</v>
      </c>
      <c r="AN19" s="283">
        <f t="shared" si="15"/>
        <v>0</v>
      </c>
      <c r="AO19" s="283">
        <f t="shared" si="16"/>
        <v>0</v>
      </c>
      <c r="AP19" s="283">
        <f t="shared" si="17"/>
        <v>0</v>
      </c>
      <c r="AQ19" s="283">
        <f t="shared" si="18"/>
        <v>0</v>
      </c>
      <c r="AR19" s="283">
        <f t="shared" si="19"/>
        <v>0</v>
      </c>
      <c r="AS19" s="283">
        <f t="shared" si="20"/>
        <v>0</v>
      </c>
      <c r="AT19" s="283">
        <f t="shared" si="21"/>
        <v>0</v>
      </c>
      <c r="AU19" s="283">
        <f t="shared" si="22"/>
        <v>0</v>
      </c>
      <c r="AV19" s="283">
        <f t="shared" si="23"/>
        <v>0</v>
      </c>
      <c r="AW19" s="320">
        <f t="shared" si="24"/>
        <v>20972.73</v>
      </c>
    </row>
    <row r="20" spans="1:49" x14ac:dyDescent="0.2">
      <c r="A20" s="7" t="s">
        <v>605</v>
      </c>
      <c r="B20" s="7">
        <v>35554</v>
      </c>
      <c r="C20" s="7">
        <v>0</v>
      </c>
      <c r="D20" s="2">
        <f>(B20+C20)*0.124-360.88</f>
        <v>4047.82</v>
      </c>
      <c r="E20" s="2">
        <f>(B20+C20)*0.049-142.23</f>
        <v>1599.92</v>
      </c>
      <c r="F20" s="2">
        <f>(B20+C20)*0.0524-151.1</f>
        <v>1711.93</v>
      </c>
      <c r="G20" s="2">
        <f t="shared" si="5"/>
        <v>1279.94</v>
      </c>
      <c r="H20" s="2">
        <f>(B20+C20)*0.0098-28.44</f>
        <v>319.99</v>
      </c>
      <c r="I20" s="2">
        <f t="shared" si="6"/>
        <v>0</v>
      </c>
      <c r="J20" s="380">
        <f t="shared" si="1"/>
        <v>8959.6</v>
      </c>
      <c r="K20" s="1"/>
      <c r="L20" s="7"/>
      <c r="M20" s="7"/>
      <c r="N20" s="7"/>
      <c r="O20" s="7"/>
      <c r="P20" s="7"/>
      <c r="Q20" s="7"/>
      <c r="R20" s="7"/>
      <c r="S20" s="7"/>
      <c r="T20" s="7"/>
      <c r="U20" s="7">
        <v>35554</v>
      </c>
      <c r="V20" s="7"/>
      <c r="W20" s="7"/>
      <c r="X20" s="7"/>
      <c r="Y20" s="7"/>
      <c r="Z20" s="7"/>
      <c r="AA20" s="7"/>
      <c r="AB20" s="7"/>
      <c r="AC20" s="7"/>
      <c r="AD20" s="7">
        <f t="shared" si="2"/>
        <v>35554</v>
      </c>
      <c r="AF20" s="283">
        <f t="shared" si="7"/>
        <v>0</v>
      </c>
      <c r="AG20" s="283">
        <f t="shared" si="8"/>
        <v>0</v>
      </c>
      <c r="AH20" s="283">
        <f t="shared" si="9"/>
        <v>0</v>
      </c>
      <c r="AI20" s="283">
        <f t="shared" si="10"/>
        <v>0</v>
      </c>
      <c r="AJ20" s="283">
        <f t="shared" si="11"/>
        <v>0</v>
      </c>
      <c r="AK20" s="283">
        <f t="shared" si="12"/>
        <v>0</v>
      </c>
      <c r="AL20" s="283">
        <f t="shared" si="13"/>
        <v>0</v>
      </c>
      <c r="AM20" s="283">
        <f t="shared" si="14"/>
        <v>0</v>
      </c>
      <c r="AN20" s="283">
        <f>+U20*$AN$12-1855.92</f>
        <v>1279.94</v>
      </c>
      <c r="AO20" s="283">
        <f t="shared" si="16"/>
        <v>0</v>
      </c>
      <c r="AP20" s="283">
        <f t="shared" si="17"/>
        <v>0</v>
      </c>
      <c r="AQ20" s="283">
        <f t="shared" si="18"/>
        <v>0</v>
      </c>
      <c r="AR20" s="283">
        <f t="shared" si="19"/>
        <v>0</v>
      </c>
      <c r="AS20" s="283">
        <f t="shared" si="20"/>
        <v>0</v>
      </c>
      <c r="AT20" s="283">
        <f t="shared" si="21"/>
        <v>0</v>
      </c>
      <c r="AU20" s="283">
        <f t="shared" si="22"/>
        <v>0</v>
      </c>
      <c r="AV20" s="283">
        <f t="shared" si="23"/>
        <v>0</v>
      </c>
      <c r="AW20" s="320">
        <f t="shared" si="24"/>
        <v>1279.94</v>
      </c>
    </row>
    <row r="21" spans="1:49" x14ac:dyDescent="0.2">
      <c r="A21" s="1" t="s">
        <v>701</v>
      </c>
      <c r="B21" s="7">
        <v>142154</v>
      </c>
      <c r="C21" s="7">
        <v>0</v>
      </c>
      <c r="D21" s="2">
        <f>(B21+C21)*0.124-0.01</f>
        <v>17627.09</v>
      </c>
      <c r="E21" s="2">
        <f>(B21+C21)*0.049</f>
        <v>6965.55</v>
      </c>
      <c r="F21" s="2">
        <f>(B21+C21)*0.0524</f>
        <v>7448.87</v>
      </c>
      <c r="G21" s="2">
        <f>+AW21</f>
        <v>12537.98</v>
      </c>
      <c r="H21" s="2">
        <f>(B21+C21)*0.0098</f>
        <v>1393.11</v>
      </c>
      <c r="I21" s="2">
        <f>(AB21)*0.0041219</f>
        <v>390.89</v>
      </c>
      <c r="J21" s="380">
        <f>SUM(D21:I21)</f>
        <v>46363.49</v>
      </c>
      <c r="K21" s="1"/>
      <c r="L21" s="7"/>
      <c r="M21" s="7"/>
      <c r="N21" s="7"/>
      <c r="O21" s="7"/>
      <c r="P21" s="7"/>
      <c r="Q21" s="7"/>
      <c r="R21" s="7"/>
      <c r="S21" s="7"/>
      <c r="T21" s="7">
        <v>47322</v>
      </c>
      <c r="U21" s="7"/>
      <c r="V21" s="7"/>
      <c r="W21" s="7"/>
      <c r="X21" s="7"/>
      <c r="Y21" s="7"/>
      <c r="Z21" s="7"/>
      <c r="AA21" s="7"/>
      <c r="AB21" s="7">
        <v>94832</v>
      </c>
      <c r="AC21" s="7"/>
      <c r="AD21" s="7">
        <f>SUM(L21:AC21)</f>
        <v>142154</v>
      </c>
      <c r="AE21" s="7"/>
      <c r="AF21" s="283">
        <f>+M21*$AF$12</f>
        <v>0</v>
      </c>
      <c r="AG21" s="283">
        <f>+N21*$AG$12</f>
        <v>0</v>
      </c>
      <c r="AH21" s="283">
        <f>+O21*$AH$12</f>
        <v>0</v>
      </c>
      <c r="AI21" s="283">
        <f>+P21*$AI$12</f>
        <v>0</v>
      </c>
      <c r="AJ21" s="283">
        <f>+Q21*$AJ$12</f>
        <v>0</v>
      </c>
      <c r="AK21" s="283">
        <f>+R21*$AK$12</f>
        <v>0</v>
      </c>
      <c r="AL21" s="283">
        <f>+S21*$AL$12</f>
        <v>0</v>
      </c>
      <c r="AM21" s="283">
        <f>+T21*$AM$12</f>
        <v>4173.8</v>
      </c>
      <c r="AN21" s="283">
        <f>+U21*$AN$12</f>
        <v>0</v>
      </c>
      <c r="AO21" s="283">
        <f>+V21*$AO$12</f>
        <v>0</v>
      </c>
      <c r="AP21" s="283">
        <f>+W21*$AP$12</f>
        <v>0</v>
      </c>
      <c r="AQ21" s="283">
        <f>+X21*$AQ$12</f>
        <v>0</v>
      </c>
      <c r="AR21" s="283">
        <f>+Y21*$AR$12</f>
        <v>0</v>
      </c>
      <c r="AS21" s="283">
        <f>+Z21*$AS$12</f>
        <v>0</v>
      </c>
      <c r="AT21" s="283">
        <f>+AA21*$AT$12</f>
        <v>0</v>
      </c>
      <c r="AU21" s="283">
        <f>+AB21*$AU$12</f>
        <v>8364.18</v>
      </c>
      <c r="AV21" s="283">
        <f>+AC21*$AV$12</f>
        <v>0</v>
      </c>
      <c r="AW21" s="320">
        <f>SUM(AF21:AV21)</f>
        <v>12537.98</v>
      </c>
    </row>
    <row r="22" spans="1:49" x14ac:dyDescent="0.2">
      <c r="A22" s="1" t="s">
        <v>41</v>
      </c>
      <c r="B22" s="7">
        <v>4111</v>
      </c>
      <c r="C22" s="7">
        <v>0</v>
      </c>
      <c r="D22" s="2">
        <f>(B22+C22)*0.124</f>
        <v>509.76</v>
      </c>
      <c r="E22" s="2">
        <f t="shared" si="3"/>
        <v>201.44</v>
      </c>
      <c r="F22" s="2">
        <f t="shared" si="4"/>
        <v>215.42</v>
      </c>
      <c r="G22" s="2">
        <f t="shared" si="5"/>
        <v>362.59</v>
      </c>
      <c r="H22" s="2">
        <f t="shared" si="0"/>
        <v>40.29</v>
      </c>
      <c r="I22" s="2">
        <f t="shared" si="6"/>
        <v>0</v>
      </c>
      <c r="J22" s="380">
        <f t="shared" si="1"/>
        <v>1329.5</v>
      </c>
      <c r="K22" s="1"/>
      <c r="L22" s="7"/>
      <c r="M22" s="7"/>
      <c r="N22" s="7"/>
      <c r="O22" s="7"/>
      <c r="P22" s="7"/>
      <c r="Q22" s="7"/>
      <c r="R22" s="7"/>
      <c r="S22" s="7"/>
      <c r="T22" s="7"/>
      <c r="U22" s="7">
        <v>4111</v>
      </c>
      <c r="V22" s="7"/>
      <c r="W22" s="7"/>
      <c r="X22" s="7"/>
      <c r="Y22" s="7"/>
      <c r="Z22" s="7"/>
      <c r="AA22" s="7"/>
      <c r="AB22" s="7"/>
      <c r="AC22" s="7"/>
      <c r="AD22" s="7">
        <f t="shared" si="2"/>
        <v>4111</v>
      </c>
      <c r="AE22" s="7"/>
      <c r="AF22" s="283">
        <f t="shared" si="7"/>
        <v>0</v>
      </c>
      <c r="AG22" s="283">
        <f t="shared" si="8"/>
        <v>0</v>
      </c>
      <c r="AH22" s="283">
        <f t="shared" si="9"/>
        <v>0</v>
      </c>
      <c r="AI22" s="283">
        <f t="shared" si="10"/>
        <v>0</v>
      </c>
      <c r="AJ22" s="283">
        <f t="shared" si="11"/>
        <v>0</v>
      </c>
      <c r="AK22" s="283">
        <f t="shared" si="12"/>
        <v>0</v>
      </c>
      <c r="AL22" s="283">
        <f t="shared" si="13"/>
        <v>0</v>
      </c>
      <c r="AM22" s="283">
        <f t="shared" si="14"/>
        <v>0</v>
      </c>
      <c r="AN22" s="283">
        <f t="shared" si="15"/>
        <v>362.59</v>
      </c>
      <c r="AO22" s="283">
        <f t="shared" si="16"/>
        <v>0</v>
      </c>
      <c r="AP22" s="283">
        <f t="shared" si="17"/>
        <v>0</v>
      </c>
      <c r="AQ22" s="283">
        <f t="shared" si="18"/>
        <v>0</v>
      </c>
      <c r="AR22" s="283">
        <f t="shared" si="19"/>
        <v>0</v>
      </c>
      <c r="AS22" s="283">
        <f t="shared" si="20"/>
        <v>0</v>
      </c>
      <c r="AT22" s="283">
        <f t="shared" si="21"/>
        <v>0</v>
      </c>
      <c r="AU22" s="283">
        <f t="shared" si="22"/>
        <v>0</v>
      </c>
      <c r="AV22" s="283">
        <f t="shared" si="23"/>
        <v>0</v>
      </c>
      <c r="AW22" s="320">
        <f t="shared" si="24"/>
        <v>362.59</v>
      </c>
    </row>
    <row r="23" spans="1:49" x14ac:dyDescent="0.2">
      <c r="A23" s="1" t="s">
        <v>429</v>
      </c>
      <c r="B23" s="7">
        <v>1917215</v>
      </c>
      <c r="C23" s="7">
        <v>0</v>
      </c>
      <c r="D23" s="2">
        <f>(B23+C23)*0.124-0.03</f>
        <v>237734.63</v>
      </c>
      <c r="E23" s="2">
        <f t="shared" si="3"/>
        <v>93943.54</v>
      </c>
      <c r="F23" s="2">
        <f t="shared" si="4"/>
        <v>100462.07</v>
      </c>
      <c r="G23" s="2">
        <f t="shared" si="5"/>
        <v>169098.37</v>
      </c>
      <c r="H23" s="2">
        <f t="shared" si="0"/>
        <v>18788.71</v>
      </c>
      <c r="I23" s="2">
        <f t="shared" si="6"/>
        <v>1992.1</v>
      </c>
      <c r="J23" s="380">
        <f t="shared" si="1"/>
        <v>622019.42000000004</v>
      </c>
      <c r="K23" s="1"/>
      <c r="L23" s="7"/>
      <c r="M23" s="7"/>
      <c r="N23" s="7"/>
      <c r="O23" s="7">
        <v>1433918</v>
      </c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v>483297</v>
      </c>
      <c r="AC23" s="7"/>
      <c r="AD23" s="7">
        <f t="shared" si="2"/>
        <v>1917215</v>
      </c>
      <c r="AE23" s="1"/>
      <c r="AF23" s="283">
        <f t="shared" si="7"/>
        <v>0</v>
      </c>
      <c r="AG23" s="283">
        <f t="shared" si="8"/>
        <v>0</v>
      </c>
      <c r="AH23" s="283">
        <f t="shared" si="9"/>
        <v>126471.57</v>
      </c>
      <c r="AI23" s="283">
        <f t="shared" si="10"/>
        <v>0</v>
      </c>
      <c r="AJ23" s="283">
        <f t="shared" si="11"/>
        <v>0</v>
      </c>
      <c r="AK23" s="283">
        <f t="shared" si="12"/>
        <v>0</v>
      </c>
      <c r="AL23" s="283">
        <f t="shared" si="13"/>
        <v>0</v>
      </c>
      <c r="AM23" s="283">
        <f t="shared" si="14"/>
        <v>0</v>
      </c>
      <c r="AN23" s="283">
        <f t="shared" si="15"/>
        <v>0</v>
      </c>
      <c r="AO23" s="283">
        <f t="shared" si="16"/>
        <v>0</v>
      </c>
      <c r="AP23" s="283">
        <f t="shared" si="17"/>
        <v>0</v>
      </c>
      <c r="AQ23" s="283">
        <f t="shared" si="18"/>
        <v>0</v>
      </c>
      <c r="AR23" s="283">
        <f t="shared" si="19"/>
        <v>0</v>
      </c>
      <c r="AS23" s="283">
        <f t="shared" si="20"/>
        <v>0</v>
      </c>
      <c r="AT23" s="283">
        <f t="shared" si="21"/>
        <v>0</v>
      </c>
      <c r="AU23" s="283">
        <f t="shared" si="22"/>
        <v>42626.8</v>
      </c>
      <c r="AV23" s="283">
        <f t="shared" si="23"/>
        <v>0</v>
      </c>
      <c r="AW23" s="320">
        <f t="shared" si="24"/>
        <v>169098.37</v>
      </c>
    </row>
    <row r="24" spans="1:49" x14ac:dyDescent="0.2">
      <c r="A24" s="18" t="s">
        <v>740</v>
      </c>
      <c r="B24" s="7"/>
      <c r="C24" s="7"/>
      <c r="D24" s="2">
        <f>(B24+C24)*0.124+0.01</f>
        <v>0.01</v>
      </c>
      <c r="E24" s="2">
        <f>(B24+C24)*0.049</f>
        <v>0</v>
      </c>
      <c r="F24" s="2">
        <f>(B24+C24)*0.0524</f>
        <v>0</v>
      </c>
      <c r="G24" s="2">
        <f t="shared" si="5"/>
        <v>0</v>
      </c>
      <c r="H24" s="2">
        <f t="shared" si="0"/>
        <v>0</v>
      </c>
      <c r="I24" s="2">
        <f t="shared" si="6"/>
        <v>0</v>
      </c>
      <c r="J24" s="380">
        <f>SUM(D24:I24)</f>
        <v>0.01</v>
      </c>
      <c r="K24" s="1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>
        <f t="shared" si="2"/>
        <v>0</v>
      </c>
      <c r="AF24" s="283">
        <f t="shared" si="7"/>
        <v>0</v>
      </c>
      <c r="AG24" s="283">
        <f t="shared" si="8"/>
        <v>0</v>
      </c>
      <c r="AH24" s="283">
        <f t="shared" si="9"/>
        <v>0</v>
      </c>
      <c r="AI24" s="283">
        <f t="shared" si="10"/>
        <v>0</v>
      </c>
      <c r="AJ24" s="283">
        <f t="shared" si="11"/>
        <v>0</v>
      </c>
      <c r="AK24" s="283">
        <f t="shared" si="12"/>
        <v>0</v>
      </c>
      <c r="AL24" s="283">
        <f t="shared" si="13"/>
        <v>0</v>
      </c>
      <c r="AM24" s="283">
        <f t="shared" si="14"/>
        <v>0</v>
      </c>
      <c r="AN24" s="283">
        <f t="shared" si="15"/>
        <v>0</v>
      </c>
      <c r="AO24" s="283">
        <f t="shared" si="16"/>
        <v>0</v>
      </c>
      <c r="AP24" s="283">
        <f t="shared" si="17"/>
        <v>0</v>
      </c>
      <c r="AQ24" s="283">
        <f t="shared" si="18"/>
        <v>0</v>
      </c>
      <c r="AR24" s="283">
        <f t="shared" si="19"/>
        <v>0</v>
      </c>
      <c r="AS24" s="283">
        <f t="shared" si="20"/>
        <v>0</v>
      </c>
      <c r="AT24" s="283">
        <f t="shared" si="21"/>
        <v>0</v>
      </c>
      <c r="AU24" s="283">
        <f t="shared" si="22"/>
        <v>0</v>
      </c>
      <c r="AV24" s="283">
        <f t="shared" si="23"/>
        <v>0</v>
      </c>
      <c r="AW24" s="320">
        <f t="shared" si="24"/>
        <v>0</v>
      </c>
    </row>
    <row r="25" spans="1:49" x14ac:dyDescent="0.2">
      <c r="A25" s="1" t="s">
        <v>702</v>
      </c>
      <c r="B25" s="7">
        <v>18837</v>
      </c>
      <c r="C25" s="7">
        <v>0</v>
      </c>
      <c r="D25" s="2">
        <f>(B25+C25)*0.124+0.01</f>
        <v>2335.8000000000002</v>
      </c>
      <c r="E25" s="2">
        <f t="shared" si="3"/>
        <v>923.01</v>
      </c>
      <c r="F25" s="2">
        <f t="shared" si="4"/>
        <v>987.06</v>
      </c>
      <c r="G25" s="2">
        <f>+AW25</f>
        <v>1661.42</v>
      </c>
      <c r="H25" s="2">
        <f>(B25+C25)*0.0098</f>
        <v>184.6</v>
      </c>
      <c r="I25" s="2">
        <f>(AB25)*0.0041219</f>
        <v>0</v>
      </c>
      <c r="J25" s="380">
        <f>SUM(D25:I25)</f>
        <v>6091.89</v>
      </c>
      <c r="K25" s="1"/>
      <c r="L25" s="7"/>
      <c r="M25" s="7">
        <v>18837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>
        <f>SUM(L25:AC25)</f>
        <v>18837</v>
      </c>
      <c r="AE25" s="7"/>
      <c r="AF25" s="283">
        <f>+M25*$AF$12</f>
        <v>1661.42</v>
      </c>
      <c r="AG25" s="283">
        <f>+N25*$AG$12</f>
        <v>0</v>
      </c>
      <c r="AH25" s="283">
        <f>+O25*$AH$12</f>
        <v>0</v>
      </c>
      <c r="AI25" s="283">
        <f>+P25*$AI$12</f>
        <v>0</v>
      </c>
      <c r="AJ25" s="283">
        <f>+Q25*$AJ$12</f>
        <v>0</v>
      </c>
      <c r="AK25" s="283">
        <f>+R25*$AK$12</f>
        <v>0</v>
      </c>
      <c r="AL25" s="283">
        <f>+S25*$AL$12</f>
        <v>0</v>
      </c>
      <c r="AM25" s="283">
        <f>+T25*$AM$12</f>
        <v>0</v>
      </c>
      <c r="AN25" s="283">
        <f>+U25*$AN$12</f>
        <v>0</v>
      </c>
      <c r="AO25" s="283">
        <f>+V25*$AO$12</f>
        <v>0</v>
      </c>
      <c r="AP25" s="283">
        <f>+W25*$AP$12</f>
        <v>0</v>
      </c>
      <c r="AQ25" s="283">
        <f>+X25*$AQ$12</f>
        <v>0</v>
      </c>
      <c r="AR25" s="283">
        <f>+Y25*$AR$12</f>
        <v>0</v>
      </c>
      <c r="AS25" s="283">
        <f>+Z25*$AS$12</f>
        <v>0</v>
      </c>
      <c r="AT25" s="283">
        <f>+AA25*$AT$12</f>
        <v>0</v>
      </c>
      <c r="AU25" s="283">
        <f>+AB25*$AU$12</f>
        <v>0</v>
      </c>
      <c r="AV25" s="283">
        <f>+AC25*$AV$12</f>
        <v>0</v>
      </c>
      <c r="AW25" s="320">
        <f>SUM(AF25:AV25)</f>
        <v>1661.42</v>
      </c>
    </row>
    <row r="26" spans="1:49" x14ac:dyDescent="0.2">
      <c r="A26" s="1" t="s">
        <v>444</v>
      </c>
      <c r="B26" s="7">
        <v>305168</v>
      </c>
      <c r="C26" s="7">
        <v>0</v>
      </c>
      <c r="D26" s="2">
        <f>(B26+C26)*0.124</f>
        <v>37840.83</v>
      </c>
      <c r="E26" s="2">
        <f t="shared" ref="E26:E31" si="25">(B26+C26)*0.049</f>
        <v>14953.23</v>
      </c>
      <c r="F26" s="2">
        <f t="shared" ref="F26:F31" si="26">(B26+C26)*0.0524</f>
        <v>15990.8</v>
      </c>
      <c r="G26" s="2">
        <f t="shared" si="5"/>
        <v>25150.69</v>
      </c>
      <c r="H26" s="2">
        <f t="shared" si="0"/>
        <v>2990.65</v>
      </c>
      <c r="I26" s="2">
        <f t="shared" si="6"/>
        <v>0</v>
      </c>
      <c r="J26" s="380">
        <f t="shared" si="1"/>
        <v>96926.2</v>
      </c>
      <c r="K26" s="1"/>
      <c r="L26" s="7"/>
      <c r="M26" s="7"/>
      <c r="N26" s="7">
        <v>269145</v>
      </c>
      <c r="O26" s="7"/>
      <c r="P26" s="7">
        <v>36023</v>
      </c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>
        <f t="shared" si="2"/>
        <v>305168</v>
      </c>
      <c r="AE26" s="7"/>
      <c r="AF26" s="283">
        <f t="shared" si="7"/>
        <v>0</v>
      </c>
      <c r="AG26" s="283">
        <f t="shared" si="8"/>
        <v>23738.59</v>
      </c>
      <c r="AH26" s="283">
        <f t="shared" si="9"/>
        <v>0</v>
      </c>
      <c r="AI26" s="283">
        <f t="shared" si="10"/>
        <v>1412.1</v>
      </c>
      <c r="AJ26" s="283">
        <f t="shared" si="11"/>
        <v>0</v>
      </c>
      <c r="AK26" s="283">
        <f t="shared" si="12"/>
        <v>0</v>
      </c>
      <c r="AL26" s="283">
        <f t="shared" si="13"/>
        <v>0</v>
      </c>
      <c r="AM26" s="283">
        <f t="shared" si="14"/>
        <v>0</v>
      </c>
      <c r="AN26" s="283">
        <f t="shared" si="15"/>
        <v>0</v>
      </c>
      <c r="AO26" s="283">
        <f t="shared" si="16"/>
        <v>0</v>
      </c>
      <c r="AP26" s="283">
        <f t="shared" si="17"/>
        <v>0</v>
      </c>
      <c r="AQ26" s="283">
        <f t="shared" si="18"/>
        <v>0</v>
      </c>
      <c r="AR26" s="283">
        <f t="shared" si="19"/>
        <v>0</v>
      </c>
      <c r="AS26" s="283">
        <f t="shared" si="20"/>
        <v>0</v>
      </c>
      <c r="AT26" s="283">
        <f t="shared" si="21"/>
        <v>0</v>
      </c>
      <c r="AU26" s="283">
        <f t="shared" si="22"/>
        <v>0</v>
      </c>
      <c r="AV26" s="283">
        <f t="shared" si="23"/>
        <v>0</v>
      </c>
      <c r="AW26" s="320">
        <f t="shared" si="24"/>
        <v>25150.69</v>
      </c>
    </row>
    <row r="27" spans="1:49" x14ac:dyDescent="0.2">
      <c r="A27" s="1" t="s">
        <v>445</v>
      </c>
      <c r="B27" s="7">
        <v>7934200</v>
      </c>
      <c r="C27" s="7">
        <v>0</v>
      </c>
      <c r="D27" s="2">
        <f>(B27+C27)*0.124-0.12</f>
        <v>983840.68</v>
      </c>
      <c r="E27" s="2">
        <f>(B27+C27)*0.049</f>
        <v>388775.8</v>
      </c>
      <c r="F27" s="2">
        <f>(B27+C27)*0.0524</f>
        <v>415752.08</v>
      </c>
      <c r="G27" s="2">
        <f t="shared" si="5"/>
        <v>652332.68999999994</v>
      </c>
      <c r="H27" s="2">
        <f>(B27+C27)*0.0098+0.01</f>
        <v>77755.17</v>
      </c>
      <c r="I27" s="2">
        <f t="shared" si="6"/>
        <v>22318.54</v>
      </c>
      <c r="J27" s="380">
        <f t="shared" si="1"/>
        <v>2540774.96</v>
      </c>
      <c r="K27" s="1"/>
      <c r="L27" s="7"/>
      <c r="M27" s="7">
        <v>543707</v>
      </c>
      <c r="N27" s="7">
        <v>110102</v>
      </c>
      <c r="O27" s="7">
        <v>6362</v>
      </c>
      <c r="P27" s="7">
        <v>596294</v>
      </c>
      <c r="Q27" s="7">
        <v>318097</v>
      </c>
      <c r="R27" s="7"/>
      <c r="S27" s="7">
        <v>40341</v>
      </c>
      <c r="T27" s="7">
        <v>216142</v>
      </c>
      <c r="U27" s="7">
        <v>163720</v>
      </c>
      <c r="V27" s="7"/>
      <c r="W27" s="7">
        <v>302809</v>
      </c>
      <c r="X27" s="7">
        <v>44019</v>
      </c>
      <c r="Y27" s="7">
        <v>13916</v>
      </c>
      <c r="Z27" s="7">
        <v>112530</v>
      </c>
      <c r="AA27" s="7"/>
      <c r="AB27" s="7">
        <v>5414624</v>
      </c>
      <c r="AC27" s="7">
        <v>51537</v>
      </c>
      <c r="AD27" s="7">
        <f>SUM(L27:AC27)</f>
        <v>7934200</v>
      </c>
      <c r="AE27" s="7"/>
      <c r="AF27" s="283">
        <f t="shared" si="7"/>
        <v>47954.96</v>
      </c>
      <c r="AG27" s="283">
        <f t="shared" si="8"/>
        <v>9711</v>
      </c>
      <c r="AH27" s="283">
        <f t="shared" si="9"/>
        <v>561.13</v>
      </c>
      <c r="AI27" s="283">
        <f t="shared" si="10"/>
        <v>23374.720000000001</v>
      </c>
      <c r="AJ27" s="283">
        <f t="shared" si="11"/>
        <v>12469.4</v>
      </c>
      <c r="AK27" s="283">
        <f t="shared" si="12"/>
        <v>0</v>
      </c>
      <c r="AL27" s="283">
        <f t="shared" si="13"/>
        <v>1581.37</v>
      </c>
      <c r="AM27" s="283">
        <f t="shared" si="14"/>
        <v>19063.72</v>
      </c>
      <c r="AN27" s="283">
        <f t="shared" si="15"/>
        <v>14440.1</v>
      </c>
      <c r="AO27" s="283">
        <f t="shared" si="16"/>
        <v>0</v>
      </c>
      <c r="AP27" s="283">
        <f t="shared" si="17"/>
        <v>26707.75</v>
      </c>
      <c r="AQ27" s="283">
        <f t="shared" si="18"/>
        <v>3882.48</v>
      </c>
      <c r="AR27" s="283">
        <f t="shared" si="19"/>
        <v>545.51</v>
      </c>
      <c r="AS27" s="283">
        <f t="shared" si="20"/>
        <v>9925.15</v>
      </c>
      <c r="AT27" s="283">
        <f t="shared" si="21"/>
        <v>0</v>
      </c>
      <c r="AU27" s="283">
        <f t="shared" si="22"/>
        <v>477569.84</v>
      </c>
      <c r="AV27" s="283">
        <f t="shared" si="23"/>
        <v>4545.5600000000004</v>
      </c>
      <c r="AW27" s="320">
        <f t="shared" si="24"/>
        <v>652332.68999999994</v>
      </c>
    </row>
    <row r="28" spans="1:49" x14ac:dyDescent="0.2">
      <c r="A28" s="1" t="s">
        <v>362</v>
      </c>
      <c r="B28" s="7">
        <v>146707</v>
      </c>
      <c r="C28" s="7">
        <v>0</v>
      </c>
      <c r="D28" s="2">
        <f>(B28+C28)*0.124-0.01</f>
        <v>18191.66</v>
      </c>
      <c r="E28" s="2">
        <f t="shared" si="25"/>
        <v>7188.64</v>
      </c>
      <c r="F28" s="2">
        <f t="shared" si="26"/>
        <v>7687.45</v>
      </c>
      <c r="G28" s="2">
        <f t="shared" si="5"/>
        <v>12939.56</v>
      </c>
      <c r="H28" s="2">
        <f t="shared" si="0"/>
        <v>1437.73</v>
      </c>
      <c r="I28" s="2">
        <f t="shared" si="6"/>
        <v>0</v>
      </c>
      <c r="J28" s="380">
        <f t="shared" si="1"/>
        <v>47445.04</v>
      </c>
      <c r="K28" s="1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>
        <v>146707</v>
      </c>
      <c r="X28" s="7"/>
      <c r="Y28" s="7"/>
      <c r="Z28" s="7"/>
      <c r="AA28" s="7"/>
      <c r="AB28" s="7"/>
      <c r="AC28" s="7"/>
      <c r="AD28" s="7">
        <f t="shared" si="2"/>
        <v>146707</v>
      </c>
      <c r="AE28" s="7"/>
      <c r="AF28" s="283">
        <f t="shared" si="7"/>
        <v>0</v>
      </c>
      <c r="AG28" s="283">
        <f t="shared" si="8"/>
        <v>0</v>
      </c>
      <c r="AH28" s="283">
        <f t="shared" si="9"/>
        <v>0</v>
      </c>
      <c r="AI28" s="283">
        <f t="shared" si="10"/>
        <v>0</v>
      </c>
      <c r="AJ28" s="283">
        <f t="shared" si="11"/>
        <v>0</v>
      </c>
      <c r="AK28" s="283">
        <f t="shared" si="12"/>
        <v>0</v>
      </c>
      <c r="AL28" s="283">
        <f t="shared" si="13"/>
        <v>0</v>
      </c>
      <c r="AM28" s="283">
        <f t="shared" si="14"/>
        <v>0</v>
      </c>
      <c r="AN28" s="283">
        <f t="shared" si="15"/>
        <v>0</v>
      </c>
      <c r="AO28" s="283">
        <f t="shared" si="16"/>
        <v>0</v>
      </c>
      <c r="AP28" s="283">
        <f t="shared" si="17"/>
        <v>12939.56</v>
      </c>
      <c r="AQ28" s="283">
        <f t="shared" si="18"/>
        <v>0</v>
      </c>
      <c r="AR28" s="283">
        <f t="shared" si="19"/>
        <v>0</v>
      </c>
      <c r="AS28" s="283">
        <f t="shared" si="20"/>
        <v>0</v>
      </c>
      <c r="AT28" s="283">
        <f t="shared" si="21"/>
        <v>0</v>
      </c>
      <c r="AU28" s="283">
        <f t="shared" si="22"/>
        <v>0</v>
      </c>
      <c r="AV28" s="283">
        <f t="shared" si="23"/>
        <v>0</v>
      </c>
      <c r="AW28" s="320">
        <f t="shared" si="24"/>
        <v>12939.56</v>
      </c>
    </row>
    <row r="29" spans="1:49" x14ac:dyDescent="0.2">
      <c r="A29" s="1" t="s">
        <v>446</v>
      </c>
      <c r="B29" s="7">
        <v>0</v>
      </c>
      <c r="C29" s="7">
        <v>14391332</v>
      </c>
      <c r="D29" s="2">
        <f>(B29+C29)*0.124-0.05</f>
        <v>1784525.12</v>
      </c>
      <c r="E29" s="2">
        <f t="shared" si="25"/>
        <v>705175.27</v>
      </c>
      <c r="F29" s="2">
        <f t="shared" si="26"/>
        <v>754105.8</v>
      </c>
      <c r="G29" s="2">
        <f t="shared" si="5"/>
        <v>1231273.45</v>
      </c>
      <c r="H29" s="2">
        <f t="shared" si="0"/>
        <v>141035.04999999999</v>
      </c>
      <c r="I29" s="2">
        <f t="shared" si="6"/>
        <v>10922.39</v>
      </c>
      <c r="J29" s="380">
        <f t="shared" si="1"/>
        <v>4627037.08</v>
      </c>
      <c r="K29" s="1"/>
      <c r="L29" s="7"/>
      <c r="M29" s="7">
        <v>1231976</v>
      </c>
      <c r="N29" s="7">
        <v>0</v>
      </c>
      <c r="O29" s="7">
        <v>9733144</v>
      </c>
      <c r="P29" s="7">
        <v>776368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>
        <v>2649844</v>
      </c>
      <c r="AC29" s="7"/>
      <c r="AD29" s="7">
        <f t="shared" si="2"/>
        <v>14391332</v>
      </c>
      <c r="AE29" s="7"/>
      <c r="AF29" s="283">
        <f t="shared" si="7"/>
        <v>108660.28</v>
      </c>
      <c r="AG29" s="283">
        <f t="shared" si="8"/>
        <v>0</v>
      </c>
      <c r="AH29" s="283">
        <f t="shared" si="9"/>
        <v>858463.3</v>
      </c>
      <c r="AI29" s="283">
        <f t="shared" si="10"/>
        <v>30433.63</v>
      </c>
      <c r="AJ29" s="283">
        <f t="shared" si="11"/>
        <v>0</v>
      </c>
      <c r="AK29" s="283">
        <f t="shared" si="12"/>
        <v>0</v>
      </c>
      <c r="AL29" s="283">
        <f t="shared" si="13"/>
        <v>0</v>
      </c>
      <c r="AM29" s="283">
        <f t="shared" si="14"/>
        <v>0</v>
      </c>
      <c r="AN29" s="283">
        <f t="shared" si="15"/>
        <v>0</v>
      </c>
      <c r="AO29" s="283">
        <f t="shared" si="16"/>
        <v>0</v>
      </c>
      <c r="AP29" s="283">
        <f t="shared" si="17"/>
        <v>0</v>
      </c>
      <c r="AQ29" s="283">
        <f t="shared" si="18"/>
        <v>0</v>
      </c>
      <c r="AR29" s="283">
        <f t="shared" si="19"/>
        <v>0</v>
      </c>
      <c r="AS29" s="283">
        <f t="shared" si="20"/>
        <v>0</v>
      </c>
      <c r="AT29" s="283">
        <f t="shared" si="21"/>
        <v>0</v>
      </c>
      <c r="AU29" s="283">
        <f t="shared" si="22"/>
        <v>233716.24</v>
      </c>
      <c r="AV29" s="283">
        <f t="shared" si="23"/>
        <v>0</v>
      </c>
      <c r="AW29" s="320">
        <f t="shared" si="24"/>
        <v>1231273.45</v>
      </c>
    </row>
    <row r="30" spans="1:49" x14ac:dyDescent="0.2">
      <c r="A30" s="1" t="s">
        <v>347</v>
      </c>
      <c r="B30" s="7">
        <v>395256</v>
      </c>
      <c r="C30" s="7">
        <v>0</v>
      </c>
      <c r="D30" s="2">
        <f>(B30+C30)*0.124+0.02</f>
        <v>49011.76</v>
      </c>
      <c r="E30" s="2">
        <f t="shared" si="25"/>
        <v>19367.54</v>
      </c>
      <c r="F30" s="2">
        <f t="shared" si="26"/>
        <v>20711.41</v>
      </c>
      <c r="G30" s="2">
        <f t="shared" si="5"/>
        <v>34861.57</v>
      </c>
      <c r="H30" s="2">
        <f t="shared" si="0"/>
        <v>3873.51</v>
      </c>
      <c r="I30" s="2">
        <f t="shared" si="6"/>
        <v>0</v>
      </c>
      <c r="J30" s="380">
        <f t="shared" si="1"/>
        <v>127825.79</v>
      </c>
      <c r="K30" s="1"/>
      <c r="L30" s="7"/>
      <c r="M30" s="7"/>
      <c r="N30" s="7"/>
      <c r="O30" s="7">
        <v>390214</v>
      </c>
      <c r="P30" s="7"/>
      <c r="Q30" s="7"/>
      <c r="R30" s="7"/>
      <c r="S30" s="7"/>
      <c r="T30" s="7"/>
      <c r="U30" s="7"/>
      <c r="V30" s="7"/>
      <c r="W30" s="7">
        <v>5042</v>
      </c>
      <c r="X30" s="7"/>
      <c r="Y30" s="7"/>
      <c r="Z30" s="7"/>
      <c r="AA30" s="7"/>
      <c r="AB30" s="7"/>
      <c r="AC30" s="7"/>
      <c r="AD30" s="7">
        <f t="shared" si="2"/>
        <v>395256</v>
      </c>
      <c r="AE30" s="7"/>
      <c r="AF30" s="283">
        <f t="shared" si="7"/>
        <v>0</v>
      </c>
      <c r="AG30" s="283">
        <f t="shared" si="8"/>
        <v>0</v>
      </c>
      <c r="AH30" s="283">
        <f t="shared" si="9"/>
        <v>34416.870000000003</v>
      </c>
      <c r="AI30" s="283">
        <f t="shared" si="10"/>
        <v>0</v>
      </c>
      <c r="AJ30" s="283">
        <f t="shared" si="11"/>
        <v>0</v>
      </c>
      <c r="AK30" s="283">
        <f t="shared" si="12"/>
        <v>0</v>
      </c>
      <c r="AL30" s="283">
        <f t="shared" si="13"/>
        <v>0</v>
      </c>
      <c r="AM30" s="283">
        <f t="shared" si="14"/>
        <v>0</v>
      </c>
      <c r="AN30" s="283">
        <f t="shared" si="15"/>
        <v>0</v>
      </c>
      <c r="AO30" s="283">
        <f t="shared" si="16"/>
        <v>0</v>
      </c>
      <c r="AP30" s="283">
        <f t="shared" si="17"/>
        <v>444.7</v>
      </c>
      <c r="AQ30" s="283">
        <f t="shared" si="18"/>
        <v>0</v>
      </c>
      <c r="AR30" s="283">
        <f t="shared" si="19"/>
        <v>0</v>
      </c>
      <c r="AS30" s="283">
        <f t="shared" si="20"/>
        <v>0</v>
      </c>
      <c r="AT30" s="283">
        <f t="shared" si="21"/>
        <v>0</v>
      </c>
      <c r="AU30" s="283">
        <f t="shared" si="22"/>
        <v>0</v>
      </c>
      <c r="AV30" s="283">
        <f t="shared" si="23"/>
        <v>0</v>
      </c>
      <c r="AW30" s="320">
        <f t="shared" si="24"/>
        <v>34861.57</v>
      </c>
    </row>
    <row r="31" spans="1:49" s="20" customFormat="1" x14ac:dyDescent="0.2">
      <c r="A31" s="18" t="s">
        <v>493</v>
      </c>
      <c r="B31" s="245">
        <v>45093</v>
      </c>
      <c r="C31" s="245">
        <v>0</v>
      </c>
      <c r="D31" s="2">
        <f>(B31+C31)*0.124</f>
        <v>5591.53</v>
      </c>
      <c r="E31" s="78">
        <f t="shared" si="25"/>
        <v>2209.56</v>
      </c>
      <c r="F31" s="78">
        <f t="shared" si="26"/>
        <v>2362.87</v>
      </c>
      <c r="G31" s="2">
        <f t="shared" si="5"/>
        <v>1767.65</v>
      </c>
      <c r="H31" s="2">
        <f t="shared" si="0"/>
        <v>441.91</v>
      </c>
      <c r="I31" s="2">
        <f t="shared" si="6"/>
        <v>0</v>
      </c>
      <c r="J31" s="380">
        <f t="shared" si="1"/>
        <v>12373.52</v>
      </c>
      <c r="K31" s="18"/>
      <c r="L31" s="245"/>
      <c r="M31" s="245"/>
      <c r="N31" s="245"/>
      <c r="O31" s="245"/>
      <c r="P31" s="245"/>
      <c r="Q31" s="245">
        <v>45093</v>
      </c>
      <c r="R31" s="245"/>
      <c r="S31" s="245"/>
      <c r="T31" s="245"/>
      <c r="U31" s="245"/>
      <c r="V31" s="245"/>
      <c r="W31" s="245"/>
      <c r="X31" s="245"/>
      <c r="Y31" s="245"/>
      <c r="Z31" s="245"/>
      <c r="AA31" s="245"/>
      <c r="AB31" s="245"/>
      <c r="AC31" s="245"/>
      <c r="AD31" s="245">
        <f>SUM(L31:AC31)</f>
        <v>45093</v>
      </c>
      <c r="AE31" s="245"/>
      <c r="AF31" s="283">
        <f t="shared" si="7"/>
        <v>0</v>
      </c>
      <c r="AG31" s="283">
        <f t="shared" si="8"/>
        <v>0</v>
      </c>
      <c r="AH31" s="283">
        <f t="shared" si="9"/>
        <v>0</v>
      </c>
      <c r="AI31" s="283">
        <f t="shared" si="10"/>
        <v>0</v>
      </c>
      <c r="AJ31" s="283">
        <f t="shared" si="11"/>
        <v>1767.65</v>
      </c>
      <c r="AK31" s="283">
        <f t="shared" si="12"/>
        <v>0</v>
      </c>
      <c r="AL31" s="283">
        <f t="shared" si="13"/>
        <v>0</v>
      </c>
      <c r="AM31" s="283">
        <f t="shared" si="14"/>
        <v>0</v>
      </c>
      <c r="AN31" s="283">
        <f t="shared" si="15"/>
        <v>0</v>
      </c>
      <c r="AO31" s="283">
        <f t="shared" si="16"/>
        <v>0</v>
      </c>
      <c r="AP31" s="283">
        <f t="shared" si="17"/>
        <v>0</v>
      </c>
      <c r="AQ31" s="283">
        <f t="shared" si="18"/>
        <v>0</v>
      </c>
      <c r="AR31" s="283">
        <f t="shared" si="19"/>
        <v>0</v>
      </c>
      <c r="AS31" s="283">
        <f t="shared" si="20"/>
        <v>0</v>
      </c>
      <c r="AT31" s="283">
        <f t="shared" si="21"/>
        <v>0</v>
      </c>
      <c r="AU31" s="283">
        <f t="shared" si="22"/>
        <v>0</v>
      </c>
      <c r="AV31" s="283">
        <f t="shared" si="23"/>
        <v>0</v>
      </c>
      <c r="AW31" s="320">
        <f t="shared" si="24"/>
        <v>1767.65</v>
      </c>
    </row>
    <row r="32" spans="1:49" s="20" customFormat="1" x14ac:dyDescent="0.2">
      <c r="A32" s="1" t="s">
        <v>293</v>
      </c>
      <c r="B32" s="245">
        <v>124418</v>
      </c>
      <c r="C32" s="245">
        <v>0</v>
      </c>
      <c r="D32" s="2">
        <f>(B32+C32)*0.124</f>
        <v>15427.83</v>
      </c>
      <c r="E32" s="78">
        <f t="shared" ref="E32:E38" si="27">(B32+C32)*0.049</f>
        <v>6096.48</v>
      </c>
      <c r="F32" s="78">
        <f t="shared" ref="F32:F38" si="28">(B32+C32)*0.0524</f>
        <v>6519.5</v>
      </c>
      <c r="G32" s="2">
        <f t="shared" si="5"/>
        <v>10973.67</v>
      </c>
      <c r="H32" s="2">
        <f t="shared" si="0"/>
        <v>1219.3</v>
      </c>
      <c r="I32" s="2">
        <f t="shared" si="6"/>
        <v>0</v>
      </c>
      <c r="J32" s="380">
        <f t="shared" si="1"/>
        <v>40236.78</v>
      </c>
      <c r="K32" s="18"/>
      <c r="L32" s="245"/>
      <c r="M32" s="245"/>
      <c r="N32" s="245"/>
      <c r="O32" s="245">
        <v>124418</v>
      </c>
      <c r="P32" s="245"/>
      <c r="Q32" s="245"/>
      <c r="R32" s="245"/>
      <c r="S32" s="245"/>
      <c r="T32" s="245"/>
      <c r="U32" s="245"/>
      <c r="V32" s="245"/>
      <c r="W32" s="245"/>
      <c r="X32" s="245"/>
      <c r="Y32" s="245"/>
      <c r="Z32" s="245"/>
      <c r="AA32" s="245"/>
      <c r="AB32" s="245"/>
      <c r="AC32" s="245"/>
      <c r="AD32" s="245">
        <f t="shared" ref="AD32:AD38" si="29">SUM(L32:AC32)</f>
        <v>124418</v>
      </c>
      <c r="AE32" s="245"/>
      <c r="AF32" s="283">
        <f t="shared" si="7"/>
        <v>0</v>
      </c>
      <c r="AG32" s="283">
        <f t="shared" si="8"/>
        <v>0</v>
      </c>
      <c r="AH32" s="283">
        <f t="shared" si="9"/>
        <v>10973.67</v>
      </c>
      <c r="AI32" s="283">
        <f t="shared" si="10"/>
        <v>0</v>
      </c>
      <c r="AJ32" s="283">
        <f t="shared" si="11"/>
        <v>0</v>
      </c>
      <c r="AK32" s="283">
        <f t="shared" si="12"/>
        <v>0</v>
      </c>
      <c r="AL32" s="283">
        <f t="shared" si="13"/>
        <v>0</v>
      </c>
      <c r="AM32" s="283">
        <f t="shared" si="14"/>
        <v>0</v>
      </c>
      <c r="AN32" s="283">
        <f t="shared" si="15"/>
        <v>0</v>
      </c>
      <c r="AO32" s="283">
        <f t="shared" si="16"/>
        <v>0</v>
      </c>
      <c r="AP32" s="283">
        <f t="shared" si="17"/>
        <v>0</v>
      </c>
      <c r="AQ32" s="283">
        <f t="shared" si="18"/>
        <v>0</v>
      </c>
      <c r="AR32" s="283">
        <f t="shared" si="19"/>
        <v>0</v>
      </c>
      <c r="AS32" s="283">
        <f t="shared" si="20"/>
        <v>0</v>
      </c>
      <c r="AT32" s="283">
        <f t="shared" si="21"/>
        <v>0</v>
      </c>
      <c r="AU32" s="283">
        <f t="shared" si="22"/>
        <v>0</v>
      </c>
      <c r="AV32" s="283">
        <f t="shared" si="23"/>
        <v>0</v>
      </c>
      <c r="AW32" s="320">
        <f t="shared" si="24"/>
        <v>10973.67</v>
      </c>
    </row>
    <row r="33" spans="1:49" x14ac:dyDescent="0.2">
      <c r="A33" s="18" t="s">
        <v>636</v>
      </c>
      <c r="B33" s="7">
        <v>793</v>
      </c>
      <c r="C33" s="7">
        <v>0</v>
      </c>
      <c r="D33" s="2">
        <f>(B33+C33)*0.124</f>
        <v>98.33</v>
      </c>
      <c r="E33" s="2">
        <f>(B33+C33)*0.049</f>
        <v>38.86</v>
      </c>
      <c r="F33" s="2">
        <f>(B33+C33)*0.0524</f>
        <v>41.55</v>
      </c>
      <c r="G33" s="2">
        <f t="shared" si="5"/>
        <v>31.09</v>
      </c>
      <c r="H33" s="2">
        <f t="shared" si="0"/>
        <v>7.77</v>
      </c>
      <c r="I33" s="2">
        <f t="shared" si="6"/>
        <v>0</v>
      </c>
      <c r="J33" s="380">
        <f t="shared" si="1"/>
        <v>217.6</v>
      </c>
      <c r="K33" s="1"/>
      <c r="L33" s="7"/>
      <c r="M33" s="7"/>
      <c r="N33" s="7"/>
      <c r="O33" s="7"/>
      <c r="P33" s="7"/>
      <c r="Q33" s="7">
        <v>793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>
        <f t="shared" si="29"/>
        <v>793</v>
      </c>
      <c r="AF33" s="283">
        <f t="shared" si="7"/>
        <v>0</v>
      </c>
      <c r="AG33" s="283">
        <f t="shared" si="8"/>
        <v>0</v>
      </c>
      <c r="AH33" s="283">
        <f t="shared" si="9"/>
        <v>0</v>
      </c>
      <c r="AI33" s="283">
        <f t="shared" si="10"/>
        <v>0</v>
      </c>
      <c r="AJ33" s="283">
        <f t="shared" si="11"/>
        <v>31.09</v>
      </c>
      <c r="AK33" s="283">
        <f t="shared" si="12"/>
        <v>0</v>
      </c>
      <c r="AL33" s="283">
        <f t="shared" si="13"/>
        <v>0</v>
      </c>
      <c r="AM33" s="283">
        <f t="shared" si="14"/>
        <v>0</v>
      </c>
      <c r="AN33" s="283">
        <f t="shared" si="15"/>
        <v>0</v>
      </c>
      <c r="AO33" s="283">
        <f t="shared" si="16"/>
        <v>0</v>
      </c>
      <c r="AP33" s="283">
        <f t="shared" si="17"/>
        <v>0</v>
      </c>
      <c r="AQ33" s="283">
        <f t="shared" si="18"/>
        <v>0</v>
      </c>
      <c r="AR33" s="283">
        <f t="shared" si="19"/>
        <v>0</v>
      </c>
      <c r="AS33" s="283">
        <f t="shared" si="20"/>
        <v>0</v>
      </c>
      <c r="AT33" s="283">
        <f t="shared" si="21"/>
        <v>0</v>
      </c>
      <c r="AU33" s="283">
        <f t="shared" si="22"/>
        <v>0</v>
      </c>
      <c r="AV33" s="283">
        <f t="shared" si="23"/>
        <v>0</v>
      </c>
      <c r="AW33" s="320">
        <f t="shared" si="24"/>
        <v>31.09</v>
      </c>
    </row>
    <row r="34" spans="1:49" x14ac:dyDescent="0.2">
      <c r="A34" s="1" t="s">
        <v>42</v>
      </c>
      <c r="B34" s="7">
        <v>512825</v>
      </c>
      <c r="C34" s="7">
        <v>0</v>
      </c>
      <c r="D34" s="2">
        <f>(B34+C34)*0.124-0.02</f>
        <v>63590.28</v>
      </c>
      <c r="E34" s="2">
        <f t="shared" si="27"/>
        <v>25128.43</v>
      </c>
      <c r="F34" s="2">
        <f t="shared" si="28"/>
        <v>26872.03</v>
      </c>
      <c r="G34" s="2">
        <f t="shared" si="5"/>
        <v>38248.339999999997</v>
      </c>
      <c r="H34" s="2">
        <f>(B34+C34)*0.0098-0.01</f>
        <v>5025.68</v>
      </c>
      <c r="I34" s="2">
        <f t="shared" si="6"/>
        <v>200.44</v>
      </c>
      <c r="J34" s="380">
        <f t="shared" si="1"/>
        <v>159065.20000000001</v>
      </c>
      <c r="K34" s="1"/>
      <c r="L34" s="7"/>
      <c r="M34" s="7">
        <v>171929</v>
      </c>
      <c r="N34" s="7"/>
      <c r="O34" s="7"/>
      <c r="P34" s="7">
        <v>120203</v>
      </c>
      <c r="Q34" s="7"/>
      <c r="R34" s="7"/>
      <c r="S34" s="7"/>
      <c r="T34" s="7">
        <v>12806</v>
      </c>
      <c r="U34" s="7">
        <v>17908</v>
      </c>
      <c r="V34" s="7"/>
      <c r="W34" s="7">
        <v>119046</v>
      </c>
      <c r="X34" s="7"/>
      <c r="Y34" s="7"/>
      <c r="Z34" s="7"/>
      <c r="AA34" s="7">
        <v>22304</v>
      </c>
      <c r="AB34" s="7">
        <v>48629</v>
      </c>
      <c r="AC34" s="7"/>
      <c r="AD34" s="7">
        <f t="shared" si="29"/>
        <v>512825</v>
      </c>
      <c r="AE34" s="7"/>
      <c r="AF34" s="283">
        <f t="shared" si="7"/>
        <v>15164.14</v>
      </c>
      <c r="AG34" s="283">
        <f t="shared" si="8"/>
        <v>0</v>
      </c>
      <c r="AH34" s="283">
        <f t="shared" si="9"/>
        <v>0</v>
      </c>
      <c r="AI34" s="283">
        <f t="shared" si="10"/>
        <v>4711.96</v>
      </c>
      <c r="AJ34" s="283">
        <f t="shared" si="11"/>
        <v>0</v>
      </c>
      <c r="AK34" s="283">
        <f t="shared" si="12"/>
        <v>0</v>
      </c>
      <c r="AL34" s="283">
        <f t="shared" si="13"/>
        <v>0</v>
      </c>
      <c r="AM34" s="283">
        <f t="shared" si="14"/>
        <v>1129.49</v>
      </c>
      <c r="AN34" s="283">
        <f t="shared" si="15"/>
        <v>1579.49</v>
      </c>
      <c r="AO34" s="283">
        <f t="shared" si="16"/>
        <v>0</v>
      </c>
      <c r="AP34" s="283">
        <f t="shared" si="17"/>
        <v>10499.86</v>
      </c>
      <c r="AQ34" s="283">
        <f t="shared" si="18"/>
        <v>0</v>
      </c>
      <c r="AR34" s="283">
        <f t="shared" si="19"/>
        <v>0</v>
      </c>
      <c r="AS34" s="283">
        <f t="shared" si="20"/>
        <v>0</v>
      </c>
      <c r="AT34" s="283">
        <f t="shared" si="21"/>
        <v>874.32</v>
      </c>
      <c r="AU34" s="283">
        <f t="shared" si="22"/>
        <v>4289.08</v>
      </c>
      <c r="AV34" s="283">
        <f t="shared" si="23"/>
        <v>0</v>
      </c>
      <c r="AW34" s="320">
        <f t="shared" si="24"/>
        <v>38248.339999999997</v>
      </c>
    </row>
    <row r="35" spans="1:49" x14ac:dyDescent="0.2">
      <c r="A35" s="1" t="s">
        <v>447</v>
      </c>
      <c r="B35" s="7">
        <v>471847</v>
      </c>
      <c r="C35" s="7">
        <v>0</v>
      </c>
      <c r="D35" s="2">
        <f>(B35+C35)*0.124+0.01</f>
        <v>58509.04</v>
      </c>
      <c r="E35" s="2">
        <f>(B35+C35)*0.049</f>
        <v>23120.5</v>
      </c>
      <c r="F35" s="2">
        <f>(B35+C35)*0.0524</f>
        <v>24724.78</v>
      </c>
      <c r="G35" s="2">
        <f t="shared" si="5"/>
        <v>33724.04</v>
      </c>
      <c r="H35" s="2">
        <f t="shared" si="0"/>
        <v>4624.1000000000004</v>
      </c>
      <c r="I35" s="2">
        <f t="shared" si="6"/>
        <v>0</v>
      </c>
      <c r="J35" s="380">
        <f t="shared" si="1"/>
        <v>144702.46</v>
      </c>
      <c r="K35" s="1"/>
      <c r="L35" s="7"/>
      <c r="M35" s="7"/>
      <c r="N35" s="7"/>
      <c r="O35" s="7"/>
      <c r="P35" s="7"/>
      <c r="Q35" s="7">
        <v>161079</v>
      </c>
      <c r="R35" s="7"/>
      <c r="S35" s="7"/>
      <c r="T35" s="7">
        <v>310768</v>
      </c>
      <c r="U35" s="7"/>
      <c r="V35" s="7"/>
      <c r="W35" s="7"/>
      <c r="X35" s="7"/>
      <c r="Y35" s="7"/>
      <c r="Z35" s="7"/>
      <c r="AA35" s="7"/>
      <c r="AB35" s="7"/>
      <c r="AC35" s="7"/>
      <c r="AD35" s="7">
        <f>SUM(L35:AC35)</f>
        <v>471847</v>
      </c>
      <c r="AE35" s="7"/>
      <c r="AF35" s="283">
        <f t="shared" si="7"/>
        <v>0</v>
      </c>
      <c r="AG35" s="283">
        <f t="shared" si="8"/>
        <v>0</v>
      </c>
      <c r="AH35" s="283">
        <f t="shared" si="9"/>
        <v>0</v>
      </c>
      <c r="AI35" s="283">
        <f t="shared" si="10"/>
        <v>0</v>
      </c>
      <c r="AJ35" s="283">
        <f t="shared" si="11"/>
        <v>6314.3</v>
      </c>
      <c r="AK35" s="283">
        <f t="shared" si="12"/>
        <v>0</v>
      </c>
      <c r="AL35" s="283">
        <f t="shared" si="13"/>
        <v>0</v>
      </c>
      <c r="AM35" s="283">
        <f t="shared" si="14"/>
        <v>27409.74</v>
      </c>
      <c r="AN35" s="283">
        <f t="shared" si="15"/>
        <v>0</v>
      </c>
      <c r="AO35" s="283">
        <f t="shared" si="16"/>
        <v>0</v>
      </c>
      <c r="AP35" s="283">
        <f t="shared" si="17"/>
        <v>0</v>
      </c>
      <c r="AQ35" s="283">
        <f t="shared" si="18"/>
        <v>0</v>
      </c>
      <c r="AR35" s="283">
        <f t="shared" si="19"/>
        <v>0</v>
      </c>
      <c r="AS35" s="283">
        <f t="shared" si="20"/>
        <v>0</v>
      </c>
      <c r="AT35" s="283">
        <f t="shared" si="21"/>
        <v>0</v>
      </c>
      <c r="AU35" s="283">
        <f t="shared" si="22"/>
        <v>0</v>
      </c>
      <c r="AV35" s="283">
        <f t="shared" si="23"/>
        <v>0</v>
      </c>
      <c r="AW35" s="320">
        <f t="shared" si="24"/>
        <v>33724.04</v>
      </c>
    </row>
    <row r="36" spans="1:49" x14ac:dyDescent="0.2">
      <c r="A36" s="1" t="s">
        <v>564</v>
      </c>
      <c r="B36" s="7">
        <v>58347</v>
      </c>
      <c r="C36" s="7">
        <v>0</v>
      </c>
      <c r="D36" s="2">
        <f>(B36+C36)*0.124-5149.13</f>
        <v>2085.9</v>
      </c>
      <c r="E36" s="2">
        <f t="shared" si="27"/>
        <v>2859</v>
      </c>
      <c r="F36" s="2">
        <f t="shared" si="28"/>
        <v>3057.38</v>
      </c>
      <c r="G36" s="2">
        <f t="shared" si="5"/>
        <v>5146.21</v>
      </c>
      <c r="H36" s="2">
        <f t="shared" si="0"/>
        <v>571.79999999999995</v>
      </c>
      <c r="I36" s="2">
        <f t="shared" si="6"/>
        <v>0</v>
      </c>
      <c r="J36" s="380">
        <f t="shared" si="1"/>
        <v>13720.29</v>
      </c>
      <c r="K36" s="1"/>
      <c r="L36" s="7"/>
      <c r="M36" s="7"/>
      <c r="N36" s="7"/>
      <c r="O36" s="7">
        <v>58347</v>
      </c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>
        <f t="shared" si="29"/>
        <v>58347</v>
      </c>
      <c r="AE36" s="7"/>
      <c r="AF36" s="283">
        <f t="shared" si="7"/>
        <v>0</v>
      </c>
      <c r="AG36" s="283">
        <f t="shared" si="8"/>
        <v>0</v>
      </c>
      <c r="AH36" s="283">
        <f t="shared" si="9"/>
        <v>5146.21</v>
      </c>
      <c r="AI36" s="283">
        <f t="shared" si="10"/>
        <v>0</v>
      </c>
      <c r="AJ36" s="283">
        <f t="shared" si="11"/>
        <v>0</v>
      </c>
      <c r="AK36" s="283">
        <f t="shared" si="12"/>
        <v>0</v>
      </c>
      <c r="AL36" s="283">
        <f t="shared" si="13"/>
        <v>0</v>
      </c>
      <c r="AM36" s="283">
        <f t="shared" si="14"/>
        <v>0</v>
      </c>
      <c r="AN36" s="283">
        <f t="shared" si="15"/>
        <v>0</v>
      </c>
      <c r="AO36" s="283">
        <f t="shared" si="16"/>
        <v>0</v>
      </c>
      <c r="AP36" s="283">
        <f t="shared" si="17"/>
        <v>0</v>
      </c>
      <c r="AQ36" s="283">
        <f t="shared" si="18"/>
        <v>0</v>
      </c>
      <c r="AR36" s="283">
        <f t="shared" si="19"/>
        <v>0</v>
      </c>
      <c r="AS36" s="283">
        <f t="shared" si="20"/>
        <v>0</v>
      </c>
      <c r="AT36" s="283">
        <f t="shared" si="21"/>
        <v>0</v>
      </c>
      <c r="AU36" s="283">
        <f t="shared" si="22"/>
        <v>0</v>
      </c>
      <c r="AV36" s="283">
        <f t="shared" si="23"/>
        <v>0</v>
      </c>
      <c r="AW36" s="320">
        <f t="shared" si="24"/>
        <v>5146.21</v>
      </c>
    </row>
    <row r="37" spans="1:49" x14ac:dyDescent="0.2">
      <c r="A37" s="1" t="s">
        <v>43</v>
      </c>
      <c r="B37" s="7">
        <v>14231953</v>
      </c>
      <c r="C37" s="7">
        <v>0</v>
      </c>
      <c r="D37" s="2">
        <f>(B37+C37)*0.124-0.02</f>
        <v>1764762.15</v>
      </c>
      <c r="E37" s="2">
        <f>(B37+C37)*0.049</f>
        <v>697365.7</v>
      </c>
      <c r="F37" s="2">
        <f>(B37+C37)*0.0524</f>
        <v>745754.34</v>
      </c>
      <c r="G37" s="2">
        <f t="shared" si="5"/>
        <v>1243680.69</v>
      </c>
      <c r="H37" s="2">
        <f>(B37+C37)*0.0098-0.01</f>
        <v>139473.13</v>
      </c>
      <c r="I37" s="2">
        <f t="shared" si="6"/>
        <v>143.19999999999999</v>
      </c>
      <c r="J37" s="380">
        <f t="shared" si="1"/>
        <v>4591179.21</v>
      </c>
      <c r="K37" s="1"/>
      <c r="L37" s="7"/>
      <c r="M37" s="7"/>
      <c r="N37" s="7"/>
      <c r="O37" s="7">
        <v>13960935</v>
      </c>
      <c r="P37" s="7"/>
      <c r="Q37" s="7"/>
      <c r="R37" s="7"/>
      <c r="S37" s="7"/>
      <c r="T37" s="7"/>
      <c r="U37" s="7"/>
      <c r="V37" s="7"/>
      <c r="W37" s="7"/>
      <c r="X37" s="7"/>
      <c r="Y37" s="7">
        <v>236277</v>
      </c>
      <c r="Z37" s="7"/>
      <c r="AA37" s="7"/>
      <c r="AB37" s="7">
        <v>34741</v>
      </c>
      <c r="AC37" s="7"/>
      <c r="AD37" s="7">
        <f>SUM(L37:AC37)</f>
        <v>14231953</v>
      </c>
      <c r="AE37" s="7"/>
      <c r="AF37" s="283">
        <f t="shared" si="7"/>
        <v>0</v>
      </c>
      <c r="AG37" s="283">
        <f t="shared" si="8"/>
        <v>0</v>
      </c>
      <c r="AH37" s="283">
        <f t="shared" si="9"/>
        <v>1231354.47</v>
      </c>
      <c r="AI37" s="283">
        <f t="shared" si="10"/>
        <v>0</v>
      </c>
      <c r="AJ37" s="283">
        <f t="shared" si="11"/>
        <v>0</v>
      </c>
      <c r="AK37" s="283">
        <f t="shared" si="12"/>
        <v>0</v>
      </c>
      <c r="AL37" s="283">
        <f t="shared" si="13"/>
        <v>0</v>
      </c>
      <c r="AM37" s="283">
        <f t="shared" si="14"/>
        <v>0</v>
      </c>
      <c r="AN37" s="283">
        <f t="shared" si="15"/>
        <v>0</v>
      </c>
      <c r="AO37" s="283">
        <f t="shared" si="16"/>
        <v>0</v>
      </c>
      <c r="AP37" s="283">
        <f t="shared" si="17"/>
        <v>0</v>
      </c>
      <c r="AQ37" s="283">
        <f t="shared" si="18"/>
        <v>0</v>
      </c>
      <c r="AR37" s="283">
        <f t="shared" si="19"/>
        <v>9262.06</v>
      </c>
      <c r="AS37" s="283">
        <f t="shared" si="20"/>
        <v>0</v>
      </c>
      <c r="AT37" s="283">
        <f t="shared" si="21"/>
        <v>0</v>
      </c>
      <c r="AU37" s="283">
        <f t="shared" si="22"/>
        <v>3064.16</v>
      </c>
      <c r="AV37" s="283">
        <f t="shared" si="23"/>
        <v>0</v>
      </c>
      <c r="AW37" s="320">
        <f t="shared" si="24"/>
        <v>1243680.69</v>
      </c>
    </row>
    <row r="38" spans="1:49" x14ac:dyDescent="0.2">
      <c r="A38" s="1" t="s">
        <v>44</v>
      </c>
      <c r="B38" s="7">
        <v>35751</v>
      </c>
      <c r="C38" s="7">
        <v>0</v>
      </c>
      <c r="D38" s="2">
        <f>(B38+C38)*0.124+0.01</f>
        <v>4433.13</v>
      </c>
      <c r="E38" s="2">
        <f t="shared" si="27"/>
        <v>1751.8</v>
      </c>
      <c r="F38" s="2">
        <f t="shared" si="28"/>
        <v>1873.35</v>
      </c>
      <c r="G38" s="2">
        <f t="shared" si="5"/>
        <v>2858.6</v>
      </c>
      <c r="H38" s="2">
        <f t="shared" si="0"/>
        <v>350.36</v>
      </c>
      <c r="I38" s="2">
        <f t="shared" si="6"/>
        <v>0</v>
      </c>
      <c r="J38" s="380">
        <f t="shared" si="1"/>
        <v>11267.24</v>
      </c>
      <c r="K38" s="1"/>
      <c r="L38" s="7"/>
      <c r="M38" s="7"/>
      <c r="N38" s="7"/>
      <c r="O38" s="7"/>
      <c r="P38" s="7"/>
      <c r="Q38" s="7"/>
      <c r="R38" s="7"/>
      <c r="S38" s="7">
        <v>5260</v>
      </c>
      <c r="T38" s="7"/>
      <c r="U38" s="7"/>
      <c r="V38" s="7"/>
      <c r="W38" s="7"/>
      <c r="X38" s="7"/>
      <c r="Y38" s="7">
        <v>753</v>
      </c>
      <c r="Z38" s="7"/>
      <c r="AA38" s="7"/>
      <c r="AB38" s="7"/>
      <c r="AC38" s="7">
        <v>29738</v>
      </c>
      <c r="AD38" s="7">
        <f t="shared" si="29"/>
        <v>35751</v>
      </c>
      <c r="AE38" s="7"/>
      <c r="AF38" s="283">
        <f t="shared" si="7"/>
        <v>0</v>
      </c>
      <c r="AG38" s="283">
        <f t="shared" si="8"/>
        <v>0</v>
      </c>
      <c r="AH38" s="283">
        <f t="shared" si="9"/>
        <v>0</v>
      </c>
      <c r="AI38" s="283">
        <f t="shared" si="10"/>
        <v>0</v>
      </c>
      <c r="AJ38" s="283">
        <f t="shared" si="11"/>
        <v>0</v>
      </c>
      <c r="AK38" s="283">
        <f t="shared" si="12"/>
        <v>0</v>
      </c>
      <c r="AL38" s="283">
        <f t="shared" si="13"/>
        <v>206.19</v>
      </c>
      <c r="AM38" s="283">
        <f t="shared" si="14"/>
        <v>0</v>
      </c>
      <c r="AN38" s="283">
        <f t="shared" si="15"/>
        <v>0</v>
      </c>
      <c r="AO38" s="283">
        <f t="shared" si="16"/>
        <v>0</v>
      </c>
      <c r="AP38" s="283">
        <f t="shared" si="17"/>
        <v>0</v>
      </c>
      <c r="AQ38" s="283">
        <f t="shared" si="18"/>
        <v>0</v>
      </c>
      <c r="AR38" s="283">
        <f t="shared" si="19"/>
        <v>29.52</v>
      </c>
      <c r="AS38" s="283">
        <f t="shared" si="20"/>
        <v>0</v>
      </c>
      <c r="AT38" s="283">
        <f t="shared" si="21"/>
        <v>0</v>
      </c>
      <c r="AU38" s="283">
        <f t="shared" si="22"/>
        <v>0</v>
      </c>
      <c r="AV38" s="283">
        <f t="shared" si="23"/>
        <v>2622.89</v>
      </c>
      <c r="AW38" s="320">
        <f t="shared" si="24"/>
        <v>2858.6</v>
      </c>
    </row>
    <row r="39" spans="1:49" x14ac:dyDescent="0.2">
      <c r="A39" s="18" t="s">
        <v>45</v>
      </c>
      <c r="B39" s="7">
        <v>1541263</v>
      </c>
      <c r="C39" s="7">
        <v>23737</v>
      </c>
      <c r="D39" s="2">
        <f>(B39+C39)*0.124</f>
        <v>194060</v>
      </c>
      <c r="E39" s="2">
        <f>(B39+C39)*0.049</f>
        <v>76685</v>
      </c>
      <c r="F39" s="2">
        <f>(B39+C39)*0.0524</f>
        <v>82006</v>
      </c>
      <c r="G39" s="2">
        <f t="shared" si="5"/>
        <v>138033</v>
      </c>
      <c r="H39" s="2">
        <f t="shared" si="0"/>
        <v>15337</v>
      </c>
      <c r="I39" s="2">
        <f t="shared" si="6"/>
        <v>0</v>
      </c>
      <c r="J39" s="380">
        <f t="shared" si="1"/>
        <v>506121</v>
      </c>
      <c r="K39" s="1"/>
      <c r="L39" s="7"/>
      <c r="M39" s="7"/>
      <c r="N39" s="7"/>
      <c r="O39" s="7">
        <v>1565000</v>
      </c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>
        <f>SUM(L39:AC39)</f>
        <v>1565000</v>
      </c>
      <c r="AE39" s="7"/>
      <c r="AF39" s="283">
        <f t="shared" si="7"/>
        <v>0</v>
      </c>
      <c r="AG39" s="283">
        <f t="shared" si="8"/>
        <v>0</v>
      </c>
      <c r="AH39" s="283">
        <f t="shared" si="9"/>
        <v>138033</v>
      </c>
      <c r="AI39" s="283">
        <f t="shared" si="10"/>
        <v>0</v>
      </c>
      <c r="AJ39" s="283">
        <f t="shared" si="11"/>
        <v>0</v>
      </c>
      <c r="AK39" s="283">
        <f t="shared" si="12"/>
        <v>0</v>
      </c>
      <c r="AL39" s="283">
        <f t="shared" si="13"/>
        <v>0</v>
      </c>
      <c r="AM39" s="283">
        <f t="shared" si="14"/>
        <v>0</v>
      </c>
      <c r="AN39" s="283">
        <f t="shared" si="15"/>
        <v>0</v>
      </c>
      <c r="AO39" s="283">
        <f t="shared" si="16"/>
        <v>0</v>
      </c>
      <c r="AP39" s="283">
        <f t="shared" si="17"/>
        <v>0</v>
      </c>
      <c r="AQ39" s="283">
        <f t="shared" si="18"/>
        <v>0</v>
      </c>
      <c r="AR39" s="283">
        <f t="shared" si="19"/>
        <v>0</v>
      </c>
      <c r="AS39" s="283">
        <f t="shared" si="20"/>
        <v>0</v>
      </c>
      <c r="AT39" s="283">
        <f t="shared" si="21"/>
        <v>0</v>
      </c>
      <c r="AU39" s="283">
        <f t="shared" si="22"/>
        <v>0</v>
      </c>
      <c r="AV39" s="283">
        <f t="shared" si="23"/>
        <v>0</v>
      </c>
      <c r="AW39" s="320">
        <f t="shared" si="24"/>
        <v>138033</v>
      </c>
    </row>
    <row r="40" spans="1:49" x14ac:dyDescent="0.2">
      <c r="A40" s="18" t="s">
        <v>612</v>
      </c>
      <c r="B40" s="7">
        <v>860</v>
      </c>
      <c r="C40" s="7">
        <v>0</v>
      </c>
      <c r="D40" s="2">
        <f>(B40+C40)*0.124+0.01</f>
        <v>106.65</v>
      </c>
      <c r="E40" s="2">
        <f>(B40+C40)*0.049</f>
        <v>42.14</v>
      </c>
      <c r="F40" s="2">
        <f>(B40+C40)*0.0524</f>
        <v>45.06</v>
      </c>
      <c r="G40" s="2">
        <f t="shared" si="5"/>
        <v>75.849999999999994</v>
      </c>
      <c r="H40" s="2">
        <f>(B40+C40)*0.0098-0.01</f>
        <v>8.42</v>
      </c>
      <c r="I40" s="2">
        <f t="shared" si="6"/>
        <v>1.99</v>
      </c>
      <c r="J40" s="380">
        <f t="shared" si="1"/>
        <v>280.11</v>
      </c>
      <c r="K40" s="1"/>
      <c r="L40" s="7"/>
      <c r="M40" s="7"/>
      <c r="N40" s="7"/>
      <c r="O40" s="7">
        <v>378</v>
      </c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>
        <v>482</v>
      </c>
      <c r="AC40" s="7"/>
      <c r="AD40" s="7">
        <f>SUM(L40:AC40)</f>
        <v>860</v>
      </c>
      <c r="AF40" s="283">
        <f t="shared" si="7"/>
        <v>0</v>
      </c>
      <c r="AG40" s="283">
        <f t="shared" si="8"/>
        <v>0</v>
      </c>
      <c r="AH40" s="283">
        <f t="shared" si="9"/>
        <v>33.340000000000003</v>
      </c>
      <c r="AI40" s="283">
        <f t="shared" si="10"/>
        <v>0</v>
      </c>
      <c r="AJ40" s="283">
        <f t="shared" si="11"/>
        <v>0</v>
      </c>
      <c r="AK40" s="283">
        <f t="shared" si="12"/>
        <v>0</v>
      </c>
      <c r="AL40" s="283">
        <f t="shared" si="13"/>
        <v>0</v>
      </c>
      <c r="AM40" s="283">
        <f t="shared" si="14"/>
        <v>0</v>
      </c>
      <c r="AN40" s="283">
        <f t="shared" si="15"/>
        <v>0</v>
      </c>
      <c r="AO40" s="283">
        <f t="shared" si="16"/>
        <v>0</v>
      </c>
      <c r="AP40" s="283">
        <f t="shared" si="17"/>
        <v>0</v>
      </c>
      <c r="AQ40" s="283">
        <f t="shared" si="18"/>
        <v>0</v>
      </c>
      <c r="AR40" s="283">
        <f t="shared" si="19"/>
        <v>0</v>
      </c>
      <c r="AS40" s="283">
        <f t="shared" si="20"/>
        <v>0</v>
      </c>
      <c r="AT40" s="283">
        <f t="shared" si="21"/>
        <v>0</v>
      </c>
      <c r="AU40" s="283">
        <f t="shared" si="22"/>
        <v>42.51</v>
      </c>
      <c r="AV40" s="283">
        <f t="shared" si="23"/>
        <v>0</v>
      </c>
      <c r="AW40" s="320">
        <f t="shared" si="24"/>
        <v>75.849999999999994</v>
      </c>
    </row>
    <row r="41" spans="1:49" x14ac:dyDescent="0.2">
      <c r="A41" s="18" t="s">
        <v>606</v>
      </c>
      <c r="B41" s="7">
        <v>291526</v>
      </c>
      <c r="C41" s="7">
        <v>0</v>
      </c>
      <c r="D41" s="2">
        <f>(B41+C41)*0.124+0.01</f>
        <v>36149.230000000003</v>
      </c>
      <c r="E41" s="2">
        <f>(B41+C41)*0.049</f>
        <v>14284.77</v>
      </c>
      <c r="F41" s="2">
        <f>(B41+C41)*0.0524</f>
        <v>15275.96</v>
      </c>
      <c r="G41" s="2">
        <f t="shared" si="5"/>
        <v>25712.59</v>
      </c>
      <c r="H41" s="2">
        <f>(B41+C41)*0.0098+0.01</f>
        <v>2856.96</v>
      </c>
      <c r="I41" s="2">
        <f t="shared" si="6"/>
        <v>1084.74</v>
      </c>
      <c r="J41" s="380">
        <f t="shared" si="1"/>
        <v>95364.25</v>
      </c>
      <c r="K41" s="1"/>
      <c r="L41" s="7"/>
      <c r="M41" s="7"/>
      <c r="N41" s="7"/>
      <c r="O41" s="7">
        <v>28360</v>
      </c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>
        <v>263166</v>
      </c>
      <c r="AC41" s="7"/>
      <c r="AD41" s="7">
        <f>SUM(L41:AC41)</f>
        <v>291526</v>
      </c>
      <c r="AE41" s="7"/>
      <c r="AF41" s="283">
        <f t="shared" si="7"/>
        <v>0</v>
      </c>
      <c r="AG41" s="283">
        <f t="shared" si="8"/>
        <v>0</v>
      </c>
      <c r="AH41" s="283">
        <f t="shared" si="9"/>
        <v>2501.35</v>
      </c>
      <c r="AI41" s="283">
        <f t="shared" si="10"/>
        <v>0</v>
      </c>
      <c r="AJ41" s="283">
        <f t="shared" si="11"/>
        <v>0</v>
      </c>
      <c r="AK41" s="283">
        <f t="shared" si="12"/>
        <v>0</v>
      </c>
      <c r="AL41" s="283">
        <f t="shared" si="13"/>
        <v>0</v>
      </c>
      <c r="AM41" s="283">
        <f t="shared" si="14"/>
        <v>0</v>
      </c>
      <c r="AN41" s="283">
        <f t="shared" si="15"/>
        <v>0</v>
      </c>
      <c r="AO41" s="283">
        <f t="shared" si="16"/>
        <v>0</v>
      </c>
      <c r="AP41" s="283">
        <f t="shared" si="17"/>
        <v>0</v>
      </c>
      <c r="AQ41" s="283">
        <f t="shared" si="18"/>
        <v>0</v>
      </c>
      <c r="AR41" s="283">
        <f t="shared" si="19"/>
        <v>0</v>
      </c>
      <c r="AS41" s="283">
        <f t="shared" si="20"/>
        <v>0</v>
      </c>
      <c r="AT41" s="283">
        <f t="shared" si="21"/>
        <v>0</v>
      </c>
      <c r="AU41" s="283">
        <f t="shared" si="22"/>
        <v>23211.24</v>
      </c>
      <c r="AV41" s="283">
        <f t="shared" si="23"/>
        <v>0</v>
      </c>
      <c r="AW41" s="320">
        <f t="shared" si="24"/>
        <v>25712.59</v>
      </c>
    </row>
    <row r="42" spans="1:49" x14ac:dyDescent="0.2">
      <c r="A42" s="18" t="s">
        <v>762</v>
      </c>
      <c r="B42" s="7">
        <v>119937</v>
      </c>
      <c r="C42" s="7">
        <v>0</v>
      </c>
      <c r="D42" s="2">
        <f>(B42+C42)*0.124-4649.07</f>
        <v>10223.120000000001</v>
      </c>
      <c r="E42" s="2">
        <f>(B42+C42)*0.049-5876.91</f>
        <v>0</v>
      </c>
      <c r="F42" s="2">
        <f>(B42+C42)*0.0524-6284.7</f>
        <v>0</v>
      </c>
      <c r="G42" s="2">
        <f t="shared" si="5"/>
        <v>0</v>
      </c>
      <c r="H42" s="2">
        <f>(B42+C42)*0.0098-1175.38</f>
        <v>0</v>
      </c>
      <c r="I42" s="2">
        <f t="shared" si="6"/>
        <v>0</v>
      </c>
      <c r="J42" s="380">
        <f>SUM(D42:I42)</f>
        <v>10223.120000000001</v>
      </c>
      <c r="K42" s="1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>
        <f>SUM(L42:AC42)</f>
        <v>0</v>
      </c>
      <c r="AF42" s="283">
        <f t="shared" si="7"/>
        <v>0</v>
      </c>
      <c r="AG42" s="283">
        <f t="shared" si="8"/>
        <v>0</v>
      </c>
      <c r="AH42" s="283">
        <f t="shared" si="9"/>
        <v>0</v>
      </c>
      <c r="AI42" s="283">
        <f t="shared" si="10"/>
        <v>0</v>
      </c>
      <c r="AJ42" s="283">
        <f t="shared" si="11"/>
        <v>0</v>
      </c>
      <c r="AK42" s="283">
        <f t="shared" si="12"/>
        <v>0</v>
      </c>
      <c r="AL42" s="283">
        <f t="shared" si="13"/>
        <v>0</v>
      </c>
      <c r="AM42" s="283">
        <f t="shared" si="14"/>
        <v>0</v>
      </c>
      <c r="AN42" s="283">
        <f t="shared" si="15"/>
        <v>0</v>
      </c>
      <c r="AO42" s="283">
        <f t="shared" si="16"/>
        <v>0</v>
      </c>
      <c r="AP42" s="283">
        <f t="shared" si="17"/>
        <v>0</v>
      </c>
      <c r="AQ42" s="283">
        <f t="shared" si="18"/>
        <v>0</v>
      </c>
      <c r="AR42" s="283">
        <f t="shared" si="19"/>
        <v>0</v>
      </c>
      <c r="AS42" s="283">
        <f t="shared" si="20"/>
        <v>0</v>
      </c>
      <c r="AT42" s="283">
        <f t="shared" si="21"/>
        <v>0</v>
      </c>
      <c r="AU42" s="283">
        <f t="shared" si="22"/>
        <v>0</v>
      </c>
      <c r="AV42" s="283">
        <f t="shared" si="23"/>
        <v>0</v>
      </c>
      <c r="AW42" s="320">
        <f t="shared" si="24"/>
        <v>0</v>
      </c>
    </row>
    <row r="43" spans="1:49" x14ac:dyDescent="0.2">
      <c r="A43" s="1" t="s">
        <v>46</v>
      </c>
      <c r="B43" s="7">
        <v>148743</v>
      </c>
      <c r="C43" s="7">
        <v>0</v>
      </c>
      <c r="D43" s="2">
        <f>(B43+C43)*0.124</f>
        <v>18444.13</v>
      </c>
      <c r="E43" s="2">
        <f t="shared" ref="E43:E49" si="30">(B43+C43)*0.049</f>
        <v>7288.41</v>
      </c>
      <c r="F43" s="2">
        <f t="shared" ref="F43:F49" si="31">(B43+C43)*0.0524</f>
        <v>7794.13</v>
      </c>
      <c r="G43" s="2">
        <f t="shared" si="5"/>
        <v>5830.73</v>
      </c>
      <c r="H43" s="2">
        <f t="shared" si="0"/>
        <v>1457.68</v>
      </c>
      <c r="I43" s="2">
        <f t="shared" si="6"/>
        <v>0</v>
      </c>
      <c r="J43" s="380">
        <f t="shared" si="1"/>
        <v>40815.08</v>
      </c>
      <c r="K43" s="1"/>
      <c r="L43" s="7"/>
      <c r="M43" s="7"/>
      <c r="N43" s="7"/>
      <c r="O43" s="7"/>
      <c r="P43" s="7"/>
      <c r="Q43" s="7">
        <v>148743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>
        <f t="shared" ref="AD43:AD50" si="32">SUM(L43:AC43)</f>
        <v>148743</v>
      </c>
      <c r="AE43" s="1"/>
      <c r="AF43" s="283">
        <f t="shared" si="7"/>
        <v>0</v>
      </c>
      <c r="AG43" s="283">
        <f t="shared" si="8"/>
        <v>0</v>
      </c>
      <c r="AH43" s="283">
        <f t="shared" si="9"/>
        <v>0</v>
      </c>
      <c r="AI43" s="283">
        <f t="shared" si="10"/>
        <v>0</v>
      </c>
      <c r="AJ43" s="283">
        <f t="shared" si="11"/>
        <v>5830.73</v>
      </c>
      <c r="AK43" s="283">
        <f t="shared" si="12"/>
        <v>0</v>
      </c>
      <c r="AL43" s="283">
        <f t="shared" si="13"/>
        <v>0</v>
      </c>
      <c r="AM43" s="283">
        <f t="shared" si="14"/>
        <v>0</v>
      </c>
      <c r="AN43" s="283">
        <f t="shared" si="15"/>
        <v>0</v>
      </c>
      <c r="AO43" s="283">
        <f t="shared" si="16"/>
        <v>0</v>
      </c>
      <c r="AP43" s="283">
        <f t="shared" si="17"/>
        <v>0</v>
      </c>
      <c r="AQ43" s="283">
        <f t="shared" si="18"/>
        <v>0</v>
      </c>
      <c r="AR43" s="283">
        <f t="shared" si="19"/>
        <v>0</v>
      </c>
      <c r="AS43" s="283">
        <f t="shared" si="20"/>
        <v>0</v>
      </c>
      <c r="AT43" s="283">
        <f t="shared" si="21"/>
        <v>0</v>
      </c>
      <c r="AU43" s="283">
        <f t="shared" si="22"/>
        <v>0</v>
      </c>
      <c r="AV43" s="283">
        <f t="shared" si="23"/>
        <v>0</v>
      </c>
      <c r="AW43" s="320">
        <f t="shared" si="24"/>
        <v>5830.73</v>
      </c>
    </row>
    <row r="44" spans="1:49" x14ac:dyDescent="0.2">
      <c r="A44" s="1" t="s">
        <v>448</v>
      </c>
      <c r="B44" s="7">
        <v>3942</v>
      </c>
      <c r="C44" s="7">
        <v>0</v>
      </c>
      <c r="D44" s="2">
        <f>(B44+C44)*0.124</f>
        <v>488.81</v>
      </c>
      <c r="E44" s="2">
        <f t="shared" si="30"/>
        <v>193.16</v>
      </c>
      <c r="F44" s="2">
        <f t="shared" si="31"/>
        <v>206.56</v>
      </c>
      <c r="G44" s="2">
        <f t="shared" si="5"/>
        <v>347.68</v>
      </c>
      <c r="H44" s="2">
        <f t="shared" si="0"/>
        <v>38.630000000000003</v>
      </c>
      <c r="I44" s="2">
        <f t="shared" si="6"/>
        <v>0</v>
      </c>
      <c r="J44" s="380">
        <f t="shared" si="1"/>
        <v>1274.8399999999999</v>
      </c>
      <c r="K44" s="1"/>
      <c r="L44" s="7"/>
      <c r="M44" s="7"/>
      <c r="N44" s="7"/>
      <c r="O44" s="7">
        <v>3942</v>
      </c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>
        <f t="shared" si="32"/>
        <v>3942</v>
      </c>
      <c r="AE44" s="1"/>
      <c r="AF44" s="283">
        <f t="shared" si="7"/>
        <v>0</v>
      </c>
      <c r="AG44" s="283">
        <f t="shared" si="8"/>
        <v>0</v>
      </c>
      <c r="AH44" s="283">
        <f t="shared" si="9"/>
        <v>347.68</v>
      </c>
      <c r="AI44" s="283">
        <f t="shared" si="10"/>
        <v>0</v>
      </c>
      <c r="AJ44" s="283">
        <f t="shared" si="11"/>
        <v>0</v>
      </c>
      <c r="AK44" s="283">
        <f t="shared" si="12"/>
        <v>0</v>
      </c>
      <c r="AL44" s="283">
        <f t="shared" si="13"/>
        <v>0</v>
      </c>
      <c r="AM44" s="283">
        <f t="shared" si="14"/>
        <v>0</v>
      </c>
      <c r="AN44" s="283">
        <f t="shared" si="15"/>
        <v>0</v>
      </c>
      <c r="AO44" s="283">
        <f t="shared" si="16"/>
        <v>0</v>
      </c>
      <c r="AP44" s="283">
        <f t="shared" si="17"/>
        <v>0</v>
      </c>
      <c r="AQ44" s="283">
        <f t="shared" si="18"/>
        <v>0</v>
      </c>
      <c r="AR44" s="283">
        <f t="shared" si="19"/>
        <v>0</v>
      </c>
      <c r="AS44" s="283">
        <f t="shared" si="20"/>
        <v>0</v>
      </c>
      <c r="AT44" s="283">
        <f t="shared" si="21"/>
        <v>0</v>
      </c>
      <c r="AU44" s="283">
        <f t="shared" si="22"/>
        <v>0</v>
      </c>
      <c r="AV44" s="283">
        <f t="shared" si="23"/>
        <v>0</v>
      </c>
      <c r="AW44" s="320">
        <f t="shared" si="24"/>
        <v>347.68</v>
      </c>
    </row>
    <row r="45" spans="1:49" x14ac:dyDescent="0.2">
      <c r="A45" s="1" t="s">
        <v>430</v>
      </c>
      <c r="B45" s="7">
        <v>2444418</v>
      </c>
      <c r="C45" s="7">
        <v>0</v>
      </c>
      <c r="D45" s="2">
        <f>(B45+C45)*0.124</f>
        <v>303107.83</v>
      </c>
      <c r="E45" s="2">
        <f t="shared" si="30"/>
        <v>119776.48</v>
      </c>
      <c r="F45" s="2">
        <f t="shared" si="31"/>
        <v>128087.5</v>
      </c>
      <c r="G45" s="2">
        <f t="shared" si="5"/>
        <v>209355.07</v>
      </c>
      <c r="H45" s="2">
        <f t="shared" si="0"/>
        <v>23955.3</v>
      </c>
      <c r="I45" s="2">
        <f t="shared" si="6"/>
        <v>0</v>
      </c>
      <c r="J45" s="380">
        <f t="shared" si="1"/>
        <v>784282.18</v>
      </c>
      <c r="K45" s="1"/>
      <c r="L45" s="7"/>
      <c r="M45" s="7"/>
      <c r="N45" s="7"/>
      <c r="O45" s="7">
        <v>2317018</v>
      </c>
      <c r="P45" s="7"/>
      <c r="Q45" s="7"/>
      <c r="R45" s="7"/>
      <c r="S45" s="7"/>
      <c r="T45" s="7"/>
      <c r="U45" s="7"/>
      <c r="V45" s="7"/>
      <c r="W45" s="7"/>
      <c r="X45" s="7"/>
      <c r="Y45" s="7">
        <v>127400</v>
      </c>
      <c r="Z45" s="7"/>
      <c r="AA45" s="7"/>
      <c r="AB45" s="7"/>
      <c r="AC45" s="7"/>
      <c r="AD45" s="7">
        <f t="shared" si="32"/>
        <v>2444418</v>
      </c>
      <c r="AE45" s="1"/>
      <c r="AF45" s="283">
        <f t="shared" si="7"/>
        <v>0</v>
      </c>
      <c r="AG45" s="283">
        <f t="shared" si="8"/>
        <v>0</v>
      </c>
      <c r="AH45" s="283">
        <f t="shared" si="9"/>
        <v>204360.99</v>
      </c>
      <c r="AI45" s="283">
        <f t="shared" si="10"/>
        <v>0</v>
      </c>
      <c r="AJ45" s="283">
        <f t="shared" si="11"/>
        <v>0</v>
      </c>
      <c r="AK45" s="283">
        <f t="shared" si="12"/>
        <v>0</v>
      </c>
      <c r="AL45" s="283">
        <f t="shared" si="13"/>
        <v>0</v>
      </c>
      <c r="AM45" s="283">
        <f t="shared" si="14"/>
        <v>0</v>
      </c>
      <c r="AN45" s="283">
        <f t="shared" si="15"/>
        <v>0</v>
      </c>
      <c r="AO45" s="283">
        <f t="shared" si="16"/>
        <v>0</v>
      </c>
      <c r="AP45" s="283">
        <f t="shared" si="17"/>
        <v>0</v>
      </c>
      <c r="AQ45" s="283">
        <f t="shared" si="18"/>
        <v>0</v>
      </c>
      <c r="AR45" s="283">
        <f t="shared" si="19"/>
        <v>4994.08</v>
      </c>
      <c r="AS45" s="283">
        <f t="shared" si="20"/>
        <v>0</v>
      </c>
      <c r="AT45" s="283">
        <f t="shared" si="21"/>
        <v>0</v>
      </c>
      <c r="AU45" s="283">
        <f t="shared" si="22"/>
        <v>0</v>
      </c>
      <c r="AV45" s="283">
        <f t="shared" si="23"/>
        <v>0</v>
      </c>
      <c r="AW45" s="320">
        <f t="shared" si="24"/>
        <v>209355.07</v>
      </c>
    </row>
    <row r="46" spans="1:49" x14ac:dyDescent="0.2">
      <c r="A46" s="1" t="s">
        <v>449</v>
      </c>
      <c r="B46" s="7">
        <v>173425</v>
      </c>
      <c r="C46" s="7">
        <v>0</v>
      </c>
      <c r="D46" s="2">
        <f>(B46+C46)*0.124</f>
        <v>21504.7</v>
      </c>
      <c r="E46" s="2">
        <f t="shared" si="30"/>
        <v>8497.83</v>
      </c>
      <c r="F46" s="2">
        <f t="shared" si="31"/>
        <v>9087.4699999999993</v>
      </c>
      <c r="G46" s="2">
        <f t="shared" si="5"/>
        <v>11871.62</v>
      </c>
      <c r="H46" s="2">
        <f>(B46+C46)*0.0098-0.01</f>
        <v>1699.56</v>
      </c>
      <c r="I46" s="2">
        <f t="shared" si="6"/>
        <v>0</v>
      </c>
      <c r="J46" s="380">
        <f t="shared" si="1"/>
        <v>52661.18</v>
      </c>
      <c r="K46" s="1"/>
      <c r="L46" s="7"/>
      <c r="M46" s="7"/>
      <c r="N46" s="7"/>
      <c r="O46" s="7">
        <v>103538</v>
      </c>
      <c r="P46" s="7"/>
      <c r="Q46" s="7">
        <v>69887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>
        <f t="shared" si="32"/>
        <v>173425</v>
      </c>
      <c r="AE46" s="7"/>
      <c r="AF46" s="283">
        <f t="shared" si="7"/>
        <v>0</v>
      </c>
      <c r="AG46" s="283">
        <f t="shared" si="8"/>
        <v>0</v>
      </c>
      <c r="AH46" s="283">
        <f t="shared" si="9"/>
        <v>9132.0499999999993</v>
      </c>
      <c r="AI46" s="283">
        <f t="shared" si="10"/>
        <v>0</v>
      </c>
      <c r="AJ46" s="283">
        <f t="shared" si="11"/>
        <v>2739.57</v>
      </c>
      <c r="AK46" s="283">
        <f t="shared" si="12"/>
        <v>0</v>
      </c>
      <c r="AL46" s="283">
        <f t="shared" si="13"/>
        <v>0</v>
      </c>
      <c r="AM46" s="283">
        <f t="shared" si="14"/>
        <v>0</v>
      </c>
      <c r="AN46" s="283">
        <f t="shared" si="15"/>
        <v>0</v>
      </c>
      <c r="AO46" s="283">
        <f t="shared" si="16"/>
        <v>0</v>
      </c>
      <c r="AP46" s="283">
        <f t="shared" si="17"/>
        <v>0</v>
      </c>
      <c r="AQ46" s="283">
        <f t="shared" si="18"/>
        <v>0</v>
      </c>
      <c r="AR46" s="283">
        <f t="shared" si="19"/>
        <v>0</v>
      </c>
      <c r="AS46" s="283">
        <f t="shared" si="20"/>
        <v>0</v>
      </c>
      <c r="AT46" s="283">
        <f t="shared" si="21"/>
        <v>0</v>
      </c>
      <c r="AU46" s="283">
        <f t="shared" si="22"/>
        <v>0</v>
      </c>
      <c r="AV46" s="283">
        <f t="shared" si="23"/>
        <v>0</v>
      </c>
      <c r="AW46" s="320">
        <f t="shared" si="24"/>
        <v>11871.62</v>
      </c>
    </row>
    <row r="47" spans="1:49" x14ac:dyDescent="0.2">
      <c r="A47" s="1" t="s">
        <v>721</v>
      </c>
      <c r="B47" s="7">
        <v>2880</v>
      </c>
      <c r="C47" s="7">
        <v>0</v>
      </c>
      <c r="D47" s="2">
        <f>(B47+C47)*0.124-29.23</f>
        <v>327.89</v>
      </c>
      <c r="E47" s="2">
        <f>(B47+C47)*0.049-11.52</f>
        <v>129.6</v>
      </c>
      <c r="F47" s="2">
        <f>(B47+C47)*0.0524-12.24</f>
        <v>138.66999999999999</v>
      </c>
      <c r="G47" s="2">
        <f>+AW47</f>
        <v>103.68</v>
      </c>
      <c r="H47" s="2">
        <f>(B47+C47)*0.0098-2.3</f>
        <v>25.92</v>
      </c>
      <c r="I47" s="2">
        <f>(AB47)*0.0041219</f>
        <v>0</v>
      </c>
      <c r="J47" s="380">
        <f>SUM(D47:I47)</f>
        <v>725.76</v>
      </c>
      <c r="K47" s="1"/>
      <c r="L47" s="7"/>
      <c r="M47" s="7"/>
      <c r="N47" s="7"/>
      <c r="O47" s="7"/>
      <c r="P47" s="7"/>
      <c r="Q47" s="7">
        <v>2880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>
        <f>SUM(L47:AC47)</f>
        <v>2880</v>
      </c>
      <c r="AE47" s="7"/>
      <c r="AF47" s="283">
        <f>+M47*$AF$12</f>
        <v>0</v>
      </c>
      <c r="AG47" s="283">
        <f>+N47*$AG$12</f>
        <v>0</v>
      </c>
      <c r="AH47" s="283">
        <f>+O47*$AH$12</f>
        <v>0</v>
      </c>
      <c r="AI47" s="283">
        <f>+P47*$AI$12</f>
        <v>0</v>
      </c>
      <c r="AJ47" s="283">
        <f>+Q47*$AJ$12-9.22</f>
        <v>103.68</v>
      </c>
      <c r="AK47" s="283">
        <f>+R47*$AK$12</f>
        <v>0</v>
      </c>
      <c r="AL47" s="283">
        <f>+S47*$AL$12</f>
        <v>0</v>
      </c>
      <c r="AM47" s="283">
        <f>+T47*$AM$12</f>
        <v>0</v>
      </c>
      <c r="AN47" s="283">
        <f>+U47*$AN$12</f>
        <v>0</v>
      </c>
      <c r="AO47" s="283">
        <f>+V47*$AO$12</f>
        <v>0</v>
      </c>
      <c r="AP47" s="283">
        <f>+W47*$AP$12</f>
        <v>0</v>
      </c>
      <c r="AQ47" s="283">
        <f>+X47*$AQ$12</f>
        <v>0</v>
      </c>
      <c r="AR47" s="283">
        <f>+Y47*$AR$12</f>
        <v>0</v>
      </c>
      <c r="AS47" s="283">
        <f>+Z47*$AS$12</f>
        <v>0</v>
      </c>
      <c r="AT47" s="283">
        <f>+AA47*$AT$12</f>
        <v>0</v>
      </c>
      <c r="AU47" s="283">
        <f>+AB47*$AU$12</f>
        <v>0</v>
      </c>
      <c r="AV47" s="283">
        <f>+AC47*$AV$12</f>
        <v>0</v>
      </c>
      <c r="AW47" s="320">
        <f>SUM(AF47:AV47)</f>
        <v>103.68</v>
      </c>
    </row>
    <row r="48" spans="1:49" x14ac:dyDescent="0.2">
      <c r="A48" s="1" t="s">
        <v>455</v>
      </c>
      <c r="B48" s="7">
        <v>1426</v>
      </c>
      <c r="C48" s="7">
        <v>0</v>
      </c>
      <c r="D48" s="2">
        <f>(B48+C48)*0.124+0.01</f>
        <v>176.83</v>
      </c>
      <c r="E48" s="2">
        <f t="shared" si="30"/>
        <v>69.87</v>
      </c>
      <c r="F48" s="2">
        <f t="shared" si="31"/>
        <v>74.72</v>
      </c>
      <c r="G48" s="2">
        <f t="shared" si="5"/>
        <v>125.77</v>
      </c>
      <c r="H48" s="2">
        <f>(B48+C48)*0.0098+0.01</f>
        <v>13.98</v>
      </c>
      <c r="I48" s="2">
        <f t="shared" si="6"/>
        <v>1.94</v>
      </c>
      <c r="J48" s="380">
        <f t="shared" si="1"/>
        <v>463.11</v>
      </c>
      <c r="K48" s="1"/>
      <c r="L48" s="7"/>
      <c r="M48" s="7"/>
      <c r="N48" s="7"/>
      <c r="O48" s="7"/>
      <c r="P48" s="7"/>
      <c r="Q48" s="7"/>
      <c r="R48" s="7"/>
      <c r="S48" s="7"/>
      <c r="T48" s="7">
        <v>955</v>
      </c>
      <c r="U48" s="7"/>
      <c r="V48" s="7"/>
      <c r="W48" s="7"/>
      <c r="X48" s="7"/>
      <c r="Y48" s="7"/>
      <c r="Z48" s="7"/>
      <c r="AA48" s="7"/>
      <c r="AB48" s="7">
        <v>471</v>
      </c>
      <c r="AC48" s="7"/>
      <c r="AD48" s="7">
        <f t="shared" si="32"/>
        <v>1426</v>
      </c>
      <c r="AE48" s="7"/>
      <c r="AF48" s="283">
        <f t="shared" si="7"/>
        <v>0</v>
      </c>
      <c r="AG48" s="283">
        <f t="shared" si="8"/>
        <v>0</v>
      </c>
      <c r="AH48" s="283">
        <f t="shared" si="9"/>
        <v>0</v>
      </c>
      <c r="AI48" s="283">
        <f t="shared" si="10"/>
        <v>0</v>
      </c>
      <c r="AJ48" s="283">
        <f t="shared" si="11"/>
        <v>0</v>
      </c>
      <c r="AK48" s="283">
        <f t="shared" si="12"/>
        <v>0</v>
      </c>
      <c r="AL48" s="283">
        <f t="shared" si="13"/>
        <v>0</v>
      </c>
      <c r="AM48" s="283">
        <f t="shared" si="14"/>
        <v>84.23</v>
      </c>
      <c r="AN48" s="283">
        <f t="shared" si="15"/>
        <v>0</v>
      </c>
      <c r="AO48" s="283">
        <f t="shared" si="16"/>
        <v>0</v>
      </c>
      <c r="AP48" s="283">
        <f t="shared" si="17"/>
        <v>0</v>
      </c>
      <c r="AQ48" s="283">
        <f t="shared" si="18"/>
        <v>0</v>
      </c>
      <c r="AR48" s="283">
        <f t="shared" si="19"/>
        <v>0</v>
      </c>
      <c r="AS48" s="283">
        <f t="shared" si="20"/>
        <v>0</v>
      </c>
      <c r="AT48" s="283">
        <f t="shared" si="21"/>
        <v>0</v>
      </c>
      <c r="AU48" s="283">
        <f t="shared" si="22"/>
        <v>41.54</v>
      </c>
      <c r="AV48" s="283">
        <f t="shared" si="23"/>
        <v>0</v>
      </c>
      <c r="AW48" s="320">
        <f t="shared" si="24"/>
        <v>125.77</v>
      </c>
    </row>
    <row r="49" spans="1:49" s="20" customFormat="1" x14ac:dyDescent="0.2">
      <c r="A49" s="18" t="s">
        <v>499</v>
      </c>
      <c r="B49" s="245">
        <v>3724682</v>
      </c>
      <c r="C49" s="245">
        <v>0</v>
      </c>
      <c r="D49" s="2">
        <f>(B49+C49)*0.124-0.01</f>
        <v>461860.56</v>
      </c>
      <c r="E49" s="78">
        <f t="shared" si="30"/>
        <v>182509.42</v>
      </c>
      <c r="F49" s="78">
        <f t="shared" si="31"/>
        <v>195173.34</v>
      </c>
      <c r="G49" s="2">
        <f t="shared" si="5"/>
        <v>328516.95</v>
      </c>
      <c r="H49" s="2">
        <f>(B49+C49)*0.0098+0.01</f>
        <v>36501.89</v>
      </c>
      <c r="I49" s="2">
        <f t="shared" si="6"/>
        <v>641.02</v>
      </c>
      <c r="J49" s="380">
        <f t="shared" si="1"/>
        <v>1205203.18</v>
      </c>
      <c r="K49" s="18"/>
      <c r="L49" s="245"/>
      <c r="M49" s="245"/>
      <c r="N49" s="245">
        <v>66824</v>
      </c>
      <c r="O49" s="245">
        <v>3502342</v>
      </c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>
        <v>155516</v>
      </c>
      <c r="AC49" s="245"/>
      <c r="AD49" s="245">
        <f t="shared" si="32"/>
        <v>3724682</v>
      </c>
      <c r="AE49" s="18"/>
      <c r="AF49" s="283">
        <f t="shared" si="7"/>
        <v>0</v>
      </c>
      <c r="AG49" s="283">
        <f t="shared" si="8"/>
        <v>5893.88</v>
      </c>
      <c r="AH49" s="283">
        <f t="shared" si="9"/>
        <v>308906.56</v>
      </c>
      <c r="AI49" s="283">
        <f t="shared" si="10"/>
        <v>0</v>
      </c>
      <c r="AJ49" s="283">
        <f t="shared" si="11"/>
        <v>0</v>
      </c>
      <c r="AK49" s="283">
        <f t="shared" si="12"/>
        <v>0</v>
      </c>
      <c r="AL49" s="283">
        <f t="shared" si="13"/>
        <v>0</v>
      </c>
      <c r="AM49" s="283">
        <f t="shared" si="14"/>
        <v>0</v>
      </c>
      <c r="AN49" s="283">
        <f t="shared" si="15"/>
        <v>0</v>
      </c>
      <c r="AO49" s="283">
        <f t="shared" si="16"/>
        <v>0</v>
      </c>
      <c r="AP49" s="283">
        <f t="shared" si="17"/>
        <v>0</v>
      </c>
      <c r="AQ49" s="283">
        <f t="shared" si="18"/>
        <v>0</v>
      </c>
      <c r="AR49" s="283">
        <f t="shared" si="19"/>
        <v>0</v>
      </c>
      <c r="AS49" s="283">
        <f t="shared" si="20"/>
        <v>0</v>
      </c>
      <c r="AT49" s="283">
        <f t="shared" si="21"/>
        <v>0</v>
      </c>
      <c r="AU49" s="283">
        <f t="shared" si="22"/>
        <v>13716.51</v>
      </c>
      <c r="AV49" s="283">
        <f t="shared" si="23"/>
        <v>0</v>
      </c>
      <c r="AW49" s="320">
        <f t="shared" si="24"/>
        <v>328516.95</v>
      </c>
    </row>
    <row r="50" spans="1:49" x14ac:dyDescent="0.2">
      <c r="A50" s="18" t="s">
        <v>137</v>
      </c>
      <c r="B50" s="7">
        <v>159437</v>
      </c>
      <c r="C50" s="7">
        <v>0</v>
      </c>
      <c r="D50" s="2">
        <f>(B50+C50)*0.124</f>
        <v>19770.189999999999</v>
      </c>
      <c r="E50" s="2">
        <f>(B50+C50)*0.049</f>
        <v>7812.41</v>
      </c>
      <c r="F50" s="2">
        <f>(B50+C50)*0.0524</f>
        <v>8354.5</v>
      </c>
      <c r="G50" s="2">
        <f t="shared" si="5"/>
        <v>6249.93</v>
      </c>
      <c r="H50" s="2">
        <f t="shared" si="0"/>
        <v>1562.48</v>
      </c>
      <c r="I50" s="2">
        <f t="shared" si="6"/>
        <v>0</v>
      </c>
      <c r="J50" s="380">
        <f t="shared" si="1"/>
        <v>43749.51</v>
      </c>
      <c r="K50" s="1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>
        <v>159437</v>
      </c>
      <c r="Z50" s="7"/>
      <c r="AA50" s="7"/>
      <c r="AB50" s="7"/>
      <c r="AC50" s="7"/>
      <c r="AD50" s="7">
        <f t="shared" si="32"/>
        <v>159437</v>
      </c>
      <c r="AF50" s="283">
        <f t="shared" si="7"/>
        <v>0</v>
      </c>
      <c r="AG50" s="283">
        <f t="shared" si="8"/>
        <v>0</v>
      </c>
      <c r="AH50" s="283">
        <f t="shared" si="9"/>
        <v>0</v>
      </c>
      <c r="AI50" s="283">
        <f t="shared" si="10"/>
        <v>0</v>
      </c>
      <c r="AJ50" s="283">
        <f t="shared" si="11"/>
        <v>0</v>
      </c>
      <c r="AK50" s="283">
        <f t="shared" si="12"/>
        <v>0</v>
      </c>
      <c r="AL50" s="283">
        <f t="shared" si="13"/>
        <v>0</v>
      </c>
      <c r="AM50" s="283">
        <f t="shared" si="14"/>
        <v>0</v>
      </c>
      <c r="AN50" s="283">
        <f t="shared" si="15"/>
        <v>0</v>
      </c>
      <c r="AO50" s="283">
        <f t="shared" si="16"/>
        <v>0</v>
      </c>
      <c r="AP50" s="283">
        <f t="shared" si="17"/>
        <v>0</v>
      </c>
      <c r="AQ50" s="283">
        <f t="shared" si="18"/>
        <v>0</v>
      </c>
      <c r="AR50" s="283">
        <f t="shared" si="19"/>
        <v>6249.93</v>
      </c>
      <c r="AS50" s="283">
        <f t="shared" si="20"/>
        <v>0</v>
      </c>
      <c r="AT50" s="283">
        <f t="shared" si="21"/>
        <v>0</v>
      </c>
      <c r="AU50" s="283">
        <f t="shared" si="22"/>
        <v>0</v>
      </c>
      <c r="AV50" s="283">
        <f t="shared" si="23"/>
        <v>0</v>
      </c>
      <c r="AW50" s="320">
        <f t="shared" si="24"/>
        <v>6249.93</v>
      </c>
    </row>
    <row r="51" spans="1:49" x14ac:dyDescent="0.2">
      <c r="A51" s="1" t="s">
        <v>431</v>
      </c>
      <c r="B51" s="7">
        <v>2329710</v>
      </c>
      <c r="C51" s="7">
        <v>0</v>
      </c>
      <c r="D51" s="2">
        <f>(B51+C51)*0.124+0.01</f>
        <v>288884.05</v>
      </c>
      <c r="E51" s="2">
        <f>(B51+C51)*0.049</f>
        <v>114155.79</v>
      </c>
      <c r="F51" s="2">
        <f>(B51+C51)*0.0524</f>
        <v>122076.8</v>
      </c>
      <c r="G51" s="2">
        <f t="shared" si="5"/>
        <v>201052.61</v>
      </c>
      <c r="H51" s="2">
        <f>(B51+C51)*0.0098+2.61</f>
        <v>22833.77</v>
      </c>
      <c r="I51" s="2">
        <f t="shared" si="6"/>
        <v>0</v>
      </c>
      <c r="J51" s="380">
        <f t="shared" si="1"/>
        <v>749003.02</v>
      </c>
      <c r="K51" s="1"/>
      <c r="L51" s="7"/>
      <c r="M51" s="7"/>
      <c r="N51" s="7"/>
      <c r="O51" s="7">
        <v>2239133</v>
      </c>
      <c r="P51" s="7"/>
      <c r="Q51" s="7"/>
      <c r="R51" s="7"/>
      <c r="S51" s="7"/>
      <c r="T51" s="7"/>
      <c r="U51" s="7"/>
      <c r="V51" s="7"/>
      <c r="W51" s="7"/>
      <c r="X51" s="7"/>
      <c r="Y51" s="7">
        <v>90844</v>
      </c>
      <c r="Z51" s="7"/>
      <c r="AA51" s="7"/>
      <c r="AB51" s="7"/>
      <c r="AC51" s="7"/>
      <c r="AD51" s="7">
        <f t="shared" ref="AD51:AD64" si="33">SUM(L51:AC51)</f>
        <v>2329977</v>
      </c>
      <c r="AE51" s="1"/>
      <c r="AF51" s="283">
        <f t="shared" si="7"/>
        <v>0</v>
      </c>
      <c r="AG51" s="283">
        <f t="shared" si="8"/>
        <v>0</v>
      </c>
      <c r="AH51" s="283">
        <f t="shared" si="9"/>
        <v>197491.53</v>
      </c>
      <c r="AI51" s="283">
        <f t="shared" si="10"/>
        <v>0</v>
      </c>
      <c r="AJ51" s="283">
        <f t="shared" si="11"/>
        <v>0</v>
      </c>
      <c r="AK51" s="283">
        <f t="shared" si="12"/>
        <v>0</v>
      </c>
      <c r="AL51" s="283">
        <f t="shared" si="13"/>
        <v>0</v>
      </c>
      <c r="AM51" s="283">
        <f t="shared" si="14"/>
        <v>0</v>
      </c>
      <c r="AN51" s="283">
        <f t="shared" si="15"/>
        <v>0</v>
      </c>
      <c r="AO51" s="283">
        <f t="shared" si="16"/>
        <v>0</v>
      </c>
      <c r="AP51" s="283">
        <f t="shared" si="17"/>
        <v>0</v>
      </c>
      <c r="AQ51" s="283">
        <f t="shared" si="18"/>
        <v>0</v>
      </c>
      <c r="AR51" s="283">
        <f t="shared" si="19"/>
        <v>3561.08</v>
      </c>
      <c r="AS51" s="283">
        <f t="shared" si="20"/>
        <v>0</v>
      </c>
      <c r="AT51" s="283">
        <f t="shared" si="21"/>
        <v>0</v>
      </c>
      <c r="AU51" s="283">
        <f t="shared" si="22"/>
        <v>0</v>
      </c>
      <c r="AV51" s="283">
        <f t="shared" si="23"/>
        <v>0</v>
      </c>
      <c r="AW51" s="320">
        <f t="shared" si="24"/>
        <v>201052.61</v>
      </c>
    </row>
    <row r="52" spans="1:49" s="20" customFormat="1" x14ac:dyDescent="0.2">
      <c r="A52" s="18" t="s">
        <v>502</v>
      </c>
      <c r="B52" s="245">
        <v>143276</v>
      </c>
      <c r="C52" s="245">
        <v>0</v>
      </c>
      <c r="D52" s="2">
        <f>(B52+C52)*0.124+0.01</f>
        <v>17766.23</v>
      </c>
      <c r="E52" s="78">
        <f t="shared" ref="E52:E57" si="34">(B52+C52)*0.049</f>
        <v>7020.52</v>
      </c>
      <c r="F52" s="78">
        <f t="shared" ref="F52:F57" si="35">(B52+C52)*0.0524</f>
        <v>7507.66</v>
      </c>
      <c r="G52" s="2">
        <f t="shared" si="5"/>
        <v>5616.42</v>
      </c>
      <c r="H52" s="2">
        <f t="shared" si="0"/>
        <v>1404.1</v>
      </c>
      <c r="I52" s="2">
        <f t="shared" si="6"/>
        <v>0</v>
      </c>
      <c r="J52" s="380">
        <f t="shared" si="1"/>
        <v>39314.93</v>
      </c>
      <c r="K52" s="18"/>
      <c r="L52" s="245"/>
      <c r="M52" s="245"/>
      <c r="N52" s="245"/>
      <c r="O52" s="245"/>
      <c r="P52" s="245"/>
      <c r="Q52" s="245"/>
      <c r="R52" s="245"/>
      <c r="S52" s="245"/>
      <c r="T52" s="245"/>
      <c r="U52" s="245"/>
      <c r="V52" s="245"/>
      <c r="W52" s="245"/>
      <c r="X52" s="245"/>
      <c r="Y52" s="245">
        <v>143276</v>
      </c>
      <c r="Z52" s="245"/>
      <c r="AA52" s="245"/>
      <c r="AB52" s="245"/>
      <c r="AC52" s="245"/>
      <c r="AD52" s="245">
        <f>SUM(L52:AC52)</f>
        <v>143276</v>
      </c>
      <c r="AE52" s="18"/>
      <c r="AF52" s="283">
        <f t="shared" si="7"/>
        <v>0</v>
      </c>
      <c r="AG52" s="283">
        <f t="shared" si="8"/>
        <v>0</v>
      </c>
      <c r="AH52" s="283">
        <f t="shared" si="9"/>
        <v>0</v>
      </c>
      <c r="AI52" s="283">
        <f t="shared" si="10"/>
        <v>0</v>
      </c>
      <c r="AJ52" s="283">
        <f t="shared" si="11"/>
        <v>0</v>
      </c>
      <c r="AK52" s="283">
        <f t="shared" si="12"/>
        <v>0</v>
      </c>
      <c r="AL52" s="283">
        <f t="shared" si="13"/>
        <v>0</v>
      </c>
      <c r="AM52" s="283">
        <f t="shared" si="14"/>
        <v>0</v>
      </c>
      <c r="AN52" s="283">
        <f t="shared" si="15"/>
        <v>0</v>
      </c>
      <c r="AO52" s="283">
        <f t="shared" si="16"/>
        <v>0</v>
      </c>
      <c r="AP52" s="283">
        <f t="shared" si="17"/>
        <v>0</v>
      </c>
      <c r="AQ52" s="283">
        <f t="shared" si="18"/>
        <v>0</v>
      </c>
      <c r="AR52" s="283">
        <f t="shared" si="19"/>
        <v>5616.42</v>
      </c>
      <c r="AS52" s="283">
        <f t="shared" si="20"/>
        <v>0</v>
      </c>
      <c r="AT52" s="283">
        <f t="shared" si="21"/>
        <v>0</v>
      </c>
      <c r="AU52" s="283">
        <f t="shared" si="22"/>
        <v>0</v>
      </c>
      <c r="AV52" s="283">
        <f t="shared" si="23"/>
        <v>0</v>
      </c>
      <c r="AW52" s="320">
        <f t="shared" si="24"/>
        <v>5616.42</v>
      </c>
    </row>
    <row r="53" spans="1:49" s="20" customFormat="1" x14ac:dyDescent="0.2">
      <c r="A53" s="18" t="s">
        <v>607</v>
      </c>
      <c r="B53" s="245">
        <v>865799</v>
      </c>
      <c r="C53" s="245">
        <v>0</v>
      </c>
      <c r="D53" s="2">
        <f>(B53+C53)*0.124-0.02</f>
        <v>107359.06</v>
      </c>
      <c r="E53" s="78">
        <f>(B53+C53)*0.049</f>
        <v>42424.15</v>
      </c>
      <c r="F53" s="78">
        <f>(B53+C53)*0.0524</f>
        <v>45367.87</v>
      </c>
      <c r="G53" s="2">
        <f t="shared" si="5"/>
        <v>70307.27</v>
      </c>
      <c r="H53" s="2">
        <f>(B53+C53)*0.0098+0.01</f>
        <v>8484.84</v>
      </c>
      <c r="I53" s="2">
        <f t="shared" si="6"/>
        <v>0</v>
      </c>
      <c r="J53" s="380">
        <f t="shared" si="1"/>
        <v>273943.19</v>
      </c>
      <c r="K53" s="18"/>
      <c r="L53" s="245"/>
      <c r="M53" s="245"/>
      <c r="N53" s="245"/>
      <c r="O53" s="245">
        <v>709169</v>
      </c>
      <c r="P53" s="245">
        <v>8973</v>
      </c>
      <c r="Q53" s="245">
        <v>114623</v>
      </c>
      <c r="R53" s="245"/>
      <c r="S53" s="245"/>
      <c r="T53" s="245"/>
      <c r="U53" s="245"/>
      <c r="V53" s="245"/>
      <c r="W53" s="245">
        <v>33034</v>
      </c>
      <c r="X53" s="245"/>
      <c r="Y53" s="245"/>
      <c r="Z53" s="245"/>
      <c r="AA53" s="245"/>
      <c r="AB53" s="245"/>
      <c r="AC53" s="245"/>
      <c r="AD53" s="245">
        <f>SUM(L53:AC53)</f>
        <v>865799</v>
      </c>
      <c r="AE53" s="18"/>
      <c r="AF53" s="283">
        <f t="shared" si="7"/>
        <v>0</v>
      </c>
      <c r="AG53" s="283">
        <f t="shared" si="8"/>
        <v>0</v>
      </c>
      <c r="AH53" s="283">
        <f t="shared" si="9"/>
        <v>62548.71</v>
      </c>
      <c r="AI53" s="283">
        <f t="shared" si="10"/>
        <v>351.74</v>
      </c>
      <c r="AJ53" s="283">
        <f t="shared" si="11"/>
        <v>4493.22</v>
      </c>
      <c r="AK53" s="283">
        <f t="shared" si="12"/>
        <v>0</v>
      </c>
      <c r="AL53" s="283">
        <f t="shared" si="13"/>
        <v>0</v>
      </c>
      <c r="AM53" s="283">
        <f t="shared" si="14"/>
        <v>0</v>
      </c>
      <c r="AN53" s="283">
        <f t="shared" si="15"/>
        <v>0</v>
      </c>
      <c r="AO53" s="283">
        <f t="shared" si="16"/>
        <v>0</v>
      </c>
      <c r="AP53" s="283">
        <f t="shared" si="17"/>
        <v>2913.6</v>
      </c>
      <c r="AQ53" s="283">
        <f t="shared" si="18"/>
        <v>0</v>
      </c>
      <c r="AR53" s="283">
        <f t="shared" si="19"/>
        <v>0</v>
      </c>
      <c r="AS53" s="283">
        <f t="shared" si="20"/>
        <v>0</v>
      </c>
      <c r="AT53" s="283">
        <f t="shared" si="21"/>
        <v>0</v>
      </c>
      <c r="AU53" s="283">
        <f t="shared" si="22"/>
        <v>0</v>
      </c>
      <c r="AV53" s="283">
        <f t="shared" si="23"/>
        <v>0</v>
      </c>
      <c r="AW53" s="320">
        <f t="shared" si="24"/>
        <v>70307.27</v>
      </c>
    </row>
    <row r="54" spans="1:49" ht="15" customHeight="1" x14ac:dyDescent="0.2">
      <c r="A54" s="7" t="s">
        <v>346</v>
      </c>
      <c r="B54" s="7">
        <v>193314</v>
      </c>
      <c r="C54" s="7">
        <v>0</v>
      </c>
      <c r="D54" s="2">
        <f>(B54+C54)*0.124-0.03</f>
        <v>23970.91</v>
      </c>
      <c r="E54" s="2">
        <f t="shared" si="34"/>
        <v>9472.39</v>
      </c>
      <c r="F54" s="2">
        <f t="shared" si="35"/>
        <v>10129.65</v>
      </c>
      <c r="G54" s="2">
        <f t="shared" si="5"/>
        <v>11139.68</v>
      </c>
      <c r="H54" s="2">
        <f>(B54+C54)*0.0098+0.01</f>
        <v>1894.49</v>
      </c>
      <c r="I54" s="2">
        <f t="shared" si="6"/>
        <v>0</v>
      </c>
      <c r="J54" s="380">
        <f t="shared" si="1"/>
        <v>56607.12</v>
      </c>
      <c r="K54" s="1"/>
      <c r="L54" s="7"/>
      <c r="M54" s="7"/>
      <c r="N54" s="7"/>
      <c r="O54" s="7"/>
      <c r="P54" s="7"/>
      <c r="Q54" s="7"/>
      <c r="R54" s="7">
        <v>8419</v>
      </c>
      <c r="S54" s="7"/>
      <c r="T54" s="7">
        <v>4045</v>
      </c>
      <c r="U54" s="7"/>
      <c r="V54" s="7"/>
      <c r="W54" s="7"/>
      <c r="X54" s="7">
        <v>20819</v>
      </c>
      <c r="Y54" s="7">
        <v>112206</v>
      </c>
      <c r="Z54" s="7"/>
      <c r="AA54" s="7"/>
      <c r="AB54" s="7"/>
      <c r="AC54" s="7">
        <v>47825</v>
      </c>
      <c r="AD54" s="7">
        <f t="shared" si="33"/>
        <v>193314</v>
      </c>
      <c r="AE54" s="7"/>
      <c r="AF54" s="283">
        <f t="shared" si="7"/>
        <v>0</v>
      </c>
      <c r="AG54" s="283">
        <f t="shared" si="8"/>
        <v>0</v>
      </c>
      <c r="AH54" s="283">
        <f t="shared" si="9"/>
        <v>0</v>
      </c>
      <c r="AI54" s="283">
        <f t="shared" si="10"/>
        <v>0</v>
      </c>
      <c r="AJ54" s="283">
        <f t="shared" si="11"/>
        <v>0</v>
      </c>
      <c r="AK54" s="283">
        <f t="shared" si="12"/>
        <v>330.02</v>
      </c>
      <c r="AL54" s="283">
        <f t="shared" si="13"/>
        <v>0</v>
      </c>
      <c r="AM54" s="283">
        <f t="shared" si="14"/>
        <v>356.77</v>
      </c>
      <c r="AN54" s="283">
        <f t="shared" si="15"/>
        <v>0</v>
      </c>
      <c r="AO54" s="283">
        <f t="shared" si="16"/>
        <v>0</v>
      </c>
      <c r="AP54" s="283">
        <f t="shared" si="17"/>
        <v>0</v>
      </c>
      <c r="AQ54" s="283">
        <f t="shared" si="18"/>
        <v>1836.24</v>
      </c>
      <c r="AR54" s="283">
        <f t="shared" si="19"/>
        <v>4398.4799999999996</v>
      </c>
      <c r="AS54" s="283">
        <f t="shared" si="20"/>
        <v>0</v>
      </c>
      <c r="AT54" s="283">
        <f t="shared" si="21"/>
        <v>0</v>
      </c>
      <c r="AU54" s="283">
        <f t="shared" si="22"/>
        <v>0</v>
      </c>
      <c r="AV54" s="283">
        <f t="shared" si="23"/>
        <v>4218.17</v>
      </c>
      <c r="AW54" s="320">
        <f t="shared" si="24"/>
        <v>11139.68</v>
      </c>
    </row>
    <row r="55" spans="1:49" s="20" customFormat="1" x14ac:dyDescent="0.2">
      <c r="A55" s="245" t="s">
        <v>456</v>
      </c>
      <c r="B55" s="245">
        <v>849517</v>
      </c>
      <c r="C55" s="245">
        <v>0</v>
      </c>
      <c r="D55" s="2">
        <f>(B55+C55)*0.124-0.01</f>
        <v>105340.1</v>
      </c>
      <c r="E55" s="78">
        <f t="shared" si="34"/>
        <v>41626.33</v>
      </c>
      <c r="F55" s="78">
        <f t="shared" si="35"/>
        <v>44514.69</v>
      </c>
      <c r="G55" s="2">
        <f t="shared" si="5"/>
        <v>74879.039999999994</v>
      </c>
      <c r="H55" s="2">
        <f>(B55+C55)*0.0098-0.01</f>
        <v>8325.26</v>
      </c>
      <c r="I55" s="2">
        <f t="shared" si="6"/>
        <v>0</v>
      </c>
      <c r="J55" s="380">
        <f t="shared" si="1"/>
        <v>274685.42</v>
      </c>
      <c r="K55" s="18"/>
      <c r="L55" s="245"/>
      <c r="M55" s="245"/>
      <c r="N55" s="245"/>
      <c r="O55" s="245">
        <v>848530</v>
      </c>
      <c r="P55" s="245"/>
      <c r="Q55" s="245"/>
      <c r="R55" s="245"/>
      <c r="S55" s="245"/>
      <c r="T55" s="245"/>
      <c r="U55" s="245"/>
      <c r="V55" s="245"/>
      <c r="W55" s="245"/>
      <c r="X55" s="245"/>
      <c r="Y55" s="245">
        <v>987</v>
      </c>
      <c r="Z55" s="245"/>
      <c r="AA55" s="245"/>
      <c r="AB55" s="245"/>
      <c r="AC55" s="245"/>
      <c r="AD55" s="245">
        <f>SUM(L55:AC55)</f>
        <v>849517</v>
      </c>
      <c r="AE55" s="245"/>
      <c r="AF55" s="283">
        <f t="shared" si="7"/>
        <v>0</v>
      </c>
      <c r="AG55" s="283">
        <f t="shared" si="8"/>
        <v>0</v>
      </c>
      <c r="AH55" s="283">
        <f t="shared" si="9"/>
        <v>74840.350000000006</v>
      </c>
      <c r="AI55" s="283">
        <f t="shared" si="10"/>
        <v>0</v>
      </c>
      <c r="AJ55" s="283">
        <f t="shared" si="11"/>
        <v>0</v>
      </c>
      <c r="AK55" s="283">
        <f t="shared" si="12"/>
        <v>0</v>
      </c>
      <c r="AL55" s="283">
        <f t="shared" si="13"/>
        <v>0</v>
      </c>
      <c r="AM55" s="283">
        <f t="shared" si="14"/>
        <v>0</v>
      </c>
      <c r="AN55" s="283">
        <f t="shared" si="15"/>
        <v>0</v>
      </c>
      <c r="AO55" s="283">
        <f t="shared" si="16"/>
        <v>0</v>
      </c>
      <c r="AP55" s="283">
        <f t="shared" si="17"/>
        <v>0</v>
      </c>
      <c r="AQ55" s="283">
        <f t="shared" si="18"/>
        <v>0</v>
      </c>
      <c r="AR55" s="283">
        <f t="shared" si="19"/>
        <v>38.69</v>
      </c>
      <c r="AS55" s="283">
        <f t="shared" si="20"/>
        <v>0</v>
      </c>
      <c r="AT55" s="283">
        <f t="shared" si="21"/>
        <v>0</v>
      </c>
      <c r="AU55" s="283">
        <f t="shared" si="22"/>
        <v>0</v>
      </c>
      <c r="AV55" s="283">
        <f t="shared" si="23"/>
        <v>0</v>
      </c>
      <c r="AW55" s="320">
        <f t="shared" si="24"/>
        <v>74879.039999999994</v>
      </c>
    </row>
    <row r="56" spans="1:49" x14ac:dyDescent="0.2">
      <c r="A56" s="7" t="s">
        <v>432</v>
      </c>
      <c r="B56" s="7">
        <v>23002</v>
      </c>
      <c r="C56" s="7">
        <v>0</v>
      </c>
      <c r="D56" s="2">
        <f>(B56+C56)*0.124</f>
        <v>2852.25</v>
      </c>
      <c r="E56" s="2">
        <f t="shared" si="34"/>
        <v>1127.0999999999999</v>
      </c>
      <c r="F56" s="2">
        <f t="shared" si="35"/>
        <v>1205.3</v>
      </c>
      <c r="G56" s="2">
        <f t="shared" si="5"/>
        <v>2028.78</v>
      </c>
      <c r="H56" s="2">
        <f t="shared" si="0"/>
        <v>225.42</v>
      </c>
      <c r="I56" s="2">
        <f t="shared" si="6"/>
        <v>0</v>
      </c>
      <c r="J56" s="380">
        <f t="shared" si="1"/>
        <v>7438.85</v>
      </c>
      <c r="K56" s="1"/>
      <c r="L56" s="7"/>
      <c r="M56" s="7"/>
      <c r="N56" s="7"/>
      <c r="O56" s="7"/>
      <c r="P56" s="7"/>
      <c r="Q56" s="7"/>
      <c r="R56" s="7"/>
      <c r="S56" s="7"/>
      <c r="T56" s="7">
        <v>23002</v>
      </c>
      <c r="U56" s="7"/>
      <c r="V56" s="7"/>
      <c r="W56" s="7"/>
      <c r="X56" s="7"/>
      <c r="Y56" s="7"/>
      <c r="Z56" s="7"/>
      <c r="AA56" s="7"/>
      <c r="AB56" s="7"/>
      <c r="AC56" s="7"/>
      <c r="AD56" s="7">
        <f t="shared" si="33"/>
        <v>23002</v>
      </c>
      <c r="AE56" s="7"/>
      <c r="AF56" s="283">
        <f t="shared" si="7"/>
        <v>0</v>
      </c>
      <c r="AG56" s="283">
        <f t="shared" si="8"/>
        <v>0</v>
      </c>
      <c r="AH56" s="283">
        <f t="shared" si="9"/>
        <v>0</v>
      </c>
      <c r="AI56" s="283">
        <f t="shared" si="10"/>
        <v>0</v>
      </c>
      <c r="AJ56" s="283">
        <f t="shared" si="11"/>
        <v>0</v>
      </c>
      <c r="AK56" s="283">
        <f t="shared" si="12"/>
        <v>0</v>
      </c>
      <c r="AL56" s="283">
        <f t="shared" si="13"/>
        <v>0</v>
      </c>
      <c r="AM56" s="283">
        <f t="shared" si="14"/>
        <v>2028.78</v>
      </c>
      <c r="AN56" s="283">
        <f t="shared" si="15"/>
        <v>0</v>
      </c>
      <c r="AO56" s="283">
        <f t="shared" si="16"/>
        <v>0</v>
      </c>
      <c r="AP56" s="283">
        <f t="shared" si="17"/>
        <v>0</v>
      </c>
      <c r="AQ56" s="283">
        <f t="shared" si="18"/>
        <v>0</v>
      </c>
      <c r="AR56" s="283">
        <f t="shared" si="19"/>
        <v>0</v>
      </c>
      <c r="AS56" s="283">
        <f t="shared" si="20"/>
        <v>0</v>
      </c>
      <c r="AT56" s="283">
        <f t="shared" si="21"/>
        <v>0</v>
      </c>
      <c r="AU56" s="283">
        <f t="shared" si="22"/>
        <v>0</v>
      </c>
      <c r="AV56" s="283">
        <f t="shared" si="23"/>
        <v>0</v>
      </c>
      <c r="AW56" s="320">
        <f t="shared" si="24"/>
        <v>2028.78</v>
      </c>
    </row>
    <row r="57" spans="1:49" x14ac:dyDescent="0.2">
      <c r="A57" s="1" t="s">
        <v>47</v>
      </c>
      <c r="B57" s="7">
        <v>94438</v>
      </c>
      <c r="C57" s="7">
        <v>0</v>
      </c>
      <c r="D57" s="2">
        <f>(B57+C57)*0.124</f>
        <v>11710.31</v>
      </c>
      <c r="E57" s="2">
        <f t="shared" si="34"/>
        <v>4627.46</v>
      </c>
      <c r="F57" s="2">
        <f t="shared" si="35"/>
        <v>4948.55</v>
      </c>
      <c r="G57" s="2">
        <f t="shared" si="5"/>
        <v>4234.7</v>
      </c>
      <c r="H57" s="2">
        <f>(B57+C57)*0.0098+0.01</f>
        <v>925.5</v>
      </c>
      <c r="I57" s="2">
        <f t="shared" si="6"/>
        <v>0</v>
      </c>
      <c r="J57" s="380">
        <f t="shared" si="1"/>
        <v>26446.52</v>
      </c>
      <c r="K57" s="1"/>
      <c r="L57" s="7"/>
      <c r="M57" s="7"/>
      <c r="N57" s="7"/>
      <c r="O57" s="7"/>
      <c r="P57" s="7"/>
      <c r="Q57" s="7">
        <v>83566</v>
      </c>
      <c r="R57" s="7"/>
      <c r="S57" s="7"/>
      <c r="T57" s="7">
        <v>10872</v>
      </c>
      <c r="U57" s="7"/>
      <c r="V57" s="7"/>
      <c r="W57" s="7"/>
      <c r="X57" s="7"/>
      <c r="Y57" s="7"/>
      <c r="Z57" s="7"/>
      <c r="AA57" s="7"/>
      <c r="AB57" s="7"/>
      <c r="AC57" s="7"/>
      <c r="AD57" s="7">
        <f>SUM(L57:AC57)</f>
        <v>94438</v>
      </c>
      <c r="AE57" s="1"/>
      <c r="AF57" s="283">
        <f t="shared" si="7"/>
        <v>0</v>
      </c>
      <c r="AG57" s="283">
        <f t="shared" si="8"/>
        <v>0</v>
      </c>
      <c r="AH57" s="283">
        <f t="shared" si="9"/>
        <v>0</v>
      </c>
      <c r="AI57" s="283">
        <f t="shared" si="10"/>
        <v>0</v>
      </c>
      <c r="AJ57" s="283">
        <f t="shared" si="11"/>
        <v>3275.79</v>
      </c>
      <c r="AK57" s="283">
        <f t="shared" si="12"/>
        <v>0</v>
      </c>
      <c r="AL57" s="283">
        <f t="shared" si="13"/>
        <v>0</v>
      </c>
      <c r="AM57" s="283">
        <f t="shared" si="14"/>
        <v>958.91</v>
      </c>
      <c r="AN57" s="283">
        <f t="shared" si="15"/>
        <v>0</v>
      </c>
      <c r="AO57" s="283">
        <f t="shared" si="16"/>
        <v>0</v>
      </c>
      <c r="AP57" s="283">
        <f t="shared" si="17"/>
        <v>0</v>
      </c>
      <c r="AQ57" s="283">
        <f t="shared" si="18"/>
        <v>0</v>
      </c>
      <c r="AR57" s="283">
        <f t="shared" si="19"/>
        <v>0</v>
      </c>
      <c r="AS57" s="283">
        <f t="shared" si="20"/>
        <v>0</v>
      </c>
      <c r="AT57" s="283">
        <f t="shared" si="21"/>
        <v>0</v>
      </c>
      <c r="AU57" s="283">
        <f t="shared" si="22"/>
        <v>0</v>
      </c>
      <c r="AV57" s="283">
        <f t="shared" si="23"/>
        <v>0</v>
      </c>
      <c r="AW57" s="320">
        <f t="shared" si="24"/>
        <v>4234.7</v>
      </c>
    </row>
    <row r="58" spans="1:49" s="20" customFormat="1" x14ac:dyDescent="0.2">
      <c r="A58" s="18" t="s">
        <v>48</v>
      </c>
      <c r="B58" s="245">
        <v>912878</v>
      </c>
      <c r="C58" s="245">
        <v>0</v>
      </c>
      <c r="D58" s="2">
        <f>(B58+C58)*0.124+0.01</f>
        <v>113196.88</v>
      </c>
      <c r="E58" s="78">
        <f>(B58+C58)*0.049</f>
        <v>44731.02</v>
      </c>
      <c r="F58" s="78">
        <f>(B58+C58)*0.0524</f>
        <v>47834.81</v>
      </c>
      <c r="G58" s="2">
        <f t="shared" si="5"/>
        <v>77746.3</v>
      </c>
      <c r="H58" s="2">
        <f>(B58+C58)*0.0098+0.01</f>
        <v>8946.2099999999991</v>
      </c>
      <c r="I58" s="2">
        <f t="shared" si="6"/>
        <v>0</v>
      </c>
      <c r="J58" s="380">
        <f t="shared" si="1"/>
        <v>292455.21999999997</v>
      </c>
      <c r="K58" s="18"/>
      <c r="L58" s="245"/>
      <c r="M58" s="245"/>
      <c r="N58" s="245"/>
      <c r="O58" s="245">
        <v>754698</v>
      </c>
      <c r="P58" s="245"/>
      <c r="Q58" s="245">
        <v>39700</v>
      </c>
      <c r="R58" s="245"/>
      <c r="S58" s="245">
        <v>7275</v>
      </c>
      <c r="T58" s="245">
        <v>5465</v>
      </c>
      <c r="U58" s="245">
        <v>35142</v>
      </c>
      <c r="V58" s="245">
        <v>9546</v>
      </c>
      <c r="W58" s="245">
        <v>3655</v>
      </c>
      <c r="X58" s="245">
        <v>40856</v>
      </c>
      <c r="Y58" s="245"/>
      <c r="Z58" s="245"/>
      <c r="AA58" s="245"/>
      <c r="AB58" s="245"/>
      <c r="AC58" s="245">
        <v>16541</v>
      </c>
      <c r="AD58" s="245">
        <f t="shared" si="33"/>
        <v>912878</v>
      </c>
      <c r="AE58" s="18"/>
      <c r="AF58" s="283">
        <f t="shared" si="7"/>
        <v>0</v>
      </c>
      <c r="AG58" s="283">
        <f t="shared" si="8"/>
        <v>0</v>
      </c>
      <c r="AH58" s="283">
        <f t="shared" si="9"/>
        <v>66564.36</v>
      </c>
      <c r="AI58" s="283">
        <f t="shared" si="10"/>
        <v>0</v>
      </c>
      <c r="AJ58" s="283">
        <f t="shared" si="11"/>
        <v>1556.24</v>
      </c>
      <c r="AK58" s="283">
        <f t="shared" si="12"/>
        <v>0</v>
      </c>
      <c r="AL58" s="283">
        <f t="shared" si="13"/>
        <v>285.18</v>
      </c>
      <c r="AM58" s="283">
        <f t="shared" si="14"/>
        <v>482.01</v>
      </c>
      <c r="AN58" s="283">
        <f t="shared" si="15"/>
        <v>3099.52</v>
      </c>
      <c r="AO58" s="283">
        <f t="shared" si="16"/>
        <v>374.2</v>
      </c>
      <c r="AP58" s="283">
        <f t="shared" si="17"/>
        <v>322.37</v>
      </c>
      <c r="AQ58" s="283">
        <f t="shared" si="18"/>
        <v>3603.5</v>
      </c>
      <c r="AR58" s="283">
        <f t="shared" si="19"/>
        <v>0</v>
      </c>
      <c r="AS58" s="283">
        <f t="shared" si="20"/>
        <v>0</v>
      </c>
      <c r="AT58" s="283">
        <f t="shared" si="21"/>
        <v>0</v>
      </c>
      <c r="AU58" s="283">
        <f t="shared" si="22"/>
        <v>0</v>
      </c>
      <c r="AV58" s="283">
        <f t="shared" si="23"/>
        <v>1458.92</v>
      </c>
      <c r="AW58" s="320">
        <f t="shared" si="24"/>
        <v>77746.3</v>
      </c>
    </row>
    <row r="59" spans="1:49" x14ac:dyDescent="0.2">
      <c r="A59" s="1" t="s">
        <v>49</v>
      </c>
      <c r="B59" s="7">
        <v>861037</v>
      </c>
      <c r="C59" s="7">
        <v>0</v>
      </c>
      <c r="D59" s="2">
        <f>(B59+C59)*0.124-0.01</f>
        <v>106768.58</v>
      </c>
      <c r="E59" s="2">
        <f>(B59+C59)*0.049</f>
        <v>42190.81</v>
      </c>
      <c r="F59" s="2">
        <f>(B59+C59)*0.0524</f>
        <v>45118.34</v>
      </c>
      <c r="G59" s="2">
        <f t="shared" si="5"/>
        <v>69741.48</v>
      </c>
      <c r="H59" s="2">
        <f>(B59+C59)*0.0098+0.01</f>
        <v>8438.17</v>
      </c>
      <c r="I59" s="2">
        <f t="shared" si="6"/>
        <v>0</v>
      </c>
      <c r="J59" s="380">
        <f t="shared" si="1"/>
        <v>272257.38</v>
      </c>
      <c r="K59" s="1"/>
      <c r="L59" s="7"/>
      <c r="M59" s="7"/>
      <c r="N59" s="7"/>
      <c r="O59" s="7">
        <v>734466</v>
      </c>
      <c r="P59" s="7"/>
      <c r="Q59" s="7"/>
      <c r="R59" s="7"/>
      <c r="S59" s="7"/>
      <c r="T59" s="7"/>
      <c r="U59" s="7"/>
      <c r="V59" s="7"/>
      <c r="W59" s="7"/>
      <c r="X59" s="7"/>
      <c r="Y59" s="7">
        <v>126571</v>
      </c>
      <c r="Z59" s="7"/>
      <c r="AA59" s="7"/>
      <c r="AB59" s="7"/>
      <c r="AC59" s="7"/>
      <c r="AD59" s="7">
        <f>SUM(L59:AC59)</f>
        <v>861037</v>
      </c>
      <c r="AE59" s="1"/>
      <c r="AF59" s="283">
        <f t="shared" si="7"/>
        <v>0</v>
      </c>
      <c r="AG59" s="283">
        <f t="shared" si="8"/>
        <v>0</v>
      </c>
      <c r="AH59" s="283">
        <f t="shared" si="9"/>
        <v>64779.9</v>
      </c>
      <c r="AI59" s="283">
        <f t="shared" si="10"/>
        <v>0</v>
      </c>
      <c r="AJ59" s="283">
        <f t="shared" si="11"/>
        <v>0</v>
      </c>
      <c r="AK59" s="283">
        <f t="shared" si="12"/>
        <v>0</v>
      </c>
      <c r="AL59" s="283">
        <f t="shared" si="13"/>
        <v>0</v>
      </c>
      <c r="AM59" s="283">
        <f t="shared" si="14"/>
        <v>0</v>
      </c>
      <c r="AN59" s="283">
        <f t="shared" si="15"/>
        <v>0</v>
      </c>
      <c r="AO59" s="283">
        <f t="shared" si="16"/>
        <v>0</v>
      </c>
      <c r="AP59" s="283">
        <f t="shared" si="17"/>
        <v>0</v>
      </c>
      <c r="AQ59" s="283">
        <f t="shared" si="18"/>
        <v>0</v>
      </c>
      <c r="AR59" s="283">
        <f t="shared" si="19"/>
        <v>4961.58</v>
      </c>
      <c r="AS59" s="283">
        <f t="shared" si="20"/>
        <v>0</v>
      </c>
      <c r="AT59" s="283">
        <f t="shared" si="21"/>
        <v>0</v>
      </c>
      <c r="AU59" s="283">
        <f t="shared" si="22"/>
        <v>0</v>
      </c>
      <c r="AV59" s="283">
        <f t="shared" si="23"/>
        <v>0</v>
      </c>
      <c r="AW59" s="320">
        <f t="shared" si="24"/>
        <v>69741.48</v>
      </c>
    </row>
    <row r="60" spans="1:49" x14ac:dyDescent="0.2">
      <c r="A60" s="1" t="s">
        <v>356</v>
      </c>
      <c r="B60" s="7">
        <v>473762</v>
      </c>
      <c r="C60" s="7">
        <v>0</v>
      </c>
      <c r="D60" s="2">
        <f>(B60+C60)*0.124-0.02</f>
        <v>58746.47</v>
      </c>
      <c r="E60" s="2">
        <f t="shared" ref="E60:E68" si="36">(B60+C60)*0.049</f>
        <v>23214.34</v>
      </c>
      <c r="F60" s="78">
        <f t="shared" ref="F60:F99" si="37">(B60+C60)*0.0524</f>
        <v>24825.13</v>
      </c>
      <c r="G60" s="2">
        <f t="shared" si="5"/>
        <v>38341.160000000003</v>
      </c>
      <c r="H60" s="2">
        <f t="shared" si="0"/>
        <v>4642.87</v>
      </c>
      <c r="I60" s="2">
        <f t="shared" si="6"/>
        <v>0</v>
      </c>
      <c r="J60" s="380">
        <f t="shared" si="1"/>
        <v>149769.97</v>
      </c>
      <c r="K60" s="1"/>
      <c r="L60" s="7"/>
      <c r="M60" s="7">
        <v>47147</v>
      </c>
      <c r="N60" s="7"/>
      <c r="O60" s="7">
        <v>356316</v>
      </c>
      <c r="P60" s="7"/>
      <c r="Q60" s="7"/>
      <c r="R60" s="7"/>
      <c r="S60" s="7"/>
      <c r="T60" s="7"/>
      <c r="U60" s="7"/>
      <c r="V60" s="7">
        <v>59454</v>
      </c>
      <c r="W60" s="7"/>
      <c r="X60" s="7"/>
      <c r="Y60" s="7">
        <v>10845</v>
      </c>
      <c r="Z60" s="7"/>
      <c r="AA60" s="7"/>
      <c r="AB60" s="7"/>
      <c r="AC60" s="7"/>
      <c r="AD60" s="7">
        <f t="shared" si="33"/>
        <v>473762</v>
      </c>
      <c r="AE60" s="1"/>
      <c r="AF60" s="283">
        <f t="shared" si="7"/>
        <v>4158.37</v>
      </c>
      <c r="AG60" s="283">
        <f t="shared" si="8"/>
        <v>0</v>
      </c>
      <c r="AH60" s="283">
        <f t="shared" si="9"/>
        <v>31427.07</v>
      </c>
      <c r="AI60" s="283">
        <f t="shared" si="10"/>
        <v>0</v>
      </c>
      <c r="AJ60" s="283">
        <f t="shared" si="11"/>
        <v>0</v>
      </c>
      <c r="AK60" s="283">
        <f t="shared" si="12"/>
        <v>0</v>
      </c>
      <c r="AL60" s="283">
        <f t="shared" si="13"/>
        <v>0</v>
      </c>
      <c r="AM60" s="283">
        <f t="shared" si="14"/>
        <v>0</v>
      </c>
      <c r="AN60" s="283">
        <f t="shared" si="15"/>
        <v>0</v>
      </c>
      <c r="AO60" s="283">
        <f t="shared" si="16"/>
        <v>2330.6</v>
      </c>
      <c r="AP60" s="283">
        <f t="shared" si="17"/>
        <v>0</v>
      </c>
      <c r="AQ60" s="283">
        <f t="shared" si="18"/>
        <v>0</v>
      </c>
      <c r="AR60" s="283">
        <f t="shared" si="19"/>
        <v>425.12</v>
      </c>
      <c r="AS60" s="283">
        <f t="shared" si="20"/>
        <v>0</v>
      </c>
      <c r="AT60" s="283">
        <f t="shared" si="21"/>
        <v>0</v>
      </c>
      <c r="AU60" s="283">
        <f t="shared" si="22"/>
        <v>0</v>
      </c>
      <c r="AV60" s="283">
        <f t="shared" si="23"/>
        <v>0</v>
      </c>
      <c r="AW60" s="320">
        <f t="shared" si="24"/>
        <v>38341.160000000003</v>
      </c>
    </row>
    <row r="61" spans="1:49" x14ac:dyDescent="0.2">
      <c r="A61" s="1" t="s">
        <v>50</v>
      </c>
      <c r="B61" s="7">
        <v>11003</v>
      </c>
      <c r="C61" s="7">
        <v>0</v>
      </c>
      <c r="D61" s="2">
        <f>(B61+C61)*0.124</f>
        <v>1364.37</v>
      </c>
      <c r="E61" s="2">
        <f t="shared" si="36"/>
        <v>539.15</v>
      </c>
      <c r="F61" s="78">
        <f t="shared" si="37"/>
        <v>576.55999999999995</v>
      </c>
      <c r="G61" s="2">
        <f t="shared" si="5"/>
        <v>970.46</v>
      </c>
      <c r="H61" s="2">
        <f t="shared" si="0"/>
        <v>107.83</v>
      </c>
      <c r="I61" s="2">
        <f t="shared" si="6"/>
        <v>0</v>
      </c>
      <c r="J61" s="380">
        <f t="shared" si="1"/>
        <v>3558.37</v>
      </c>
      <c r="K61" s="1"/>
      <c r="L61" s="7"/>
      <c r="M61" s="7"/>
      <c r="N61" s="7"/>
      <c r="O61" s="7">
        <v>11003</v>
      </c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>
        <f t="shared" si="33"/>
        <v>11003</v>
      </c>
      <c r="AE61" s="7"/>
      <c r="AF61" s="283">
        <f t="shared" si="7"/>
        <v>0</v>
      </c>
      <c r="AG61" s="283">
        <f t="shared" si="8"/>
        <v>0</v>
      </c>
      <c r="AH61" s="283">
        <f t="shared" si="9"/>
        <v>970.46</v>
      </c>
      <c r="AI61" s="283">
        <f t="shared" si="10"/>
        <v>0</v>
      </c>
      <c r="AJ61" s="283">
        <f t="shared" si="11"/>
        <v>0</v>
      </c>
      <c r="AK61" s="283">
        <f t="shared" si="12"/>
        <v>0</v>
      </c>
      <c r="AL61" s="283">
        <f t="shared" si="13"/>
        <v>0</v>
      </c>
      <c r="AM61" s="283">
        <f t="shared" si="14"/>
        <v>0</v>
      </c>
      <c r="AN61" s="283">
        <f t="shared" si="15"/>
        <v>0</v>
      </c>
      <c r="AO61" s="283">
        <f t="shared" si="16"/>
        <v>0</v>
      </c>
      <c r="AP61" s="283">
        <f t="shared" si="17"/>
        <v>0</v>
      </c>
      <c r="AQ61" s="283">
        <f t="shared" si="18"/>
        <v>0</v>
      </c>
      <c r="AR61" s="283">
        <f t="shared" si="19"/>
        <v>0</v>
      </c>
      <c r="AS61" s="283">
        <f t="shared" si="20"/>
        <v>0</v>
      </c>
      <c r="AT61" s="283">
        <f t="shared" si="21"/>
        <v>0</v>
      </c>
      <c r="AU61" s="283">
        <f t="shared" si="22"/>
        <v>0</v>
      </c>
      <c r="AV61" s="283">
        <f t="shared" si="23"/>
        <v>0</v>
      </c>
      <c r="AW61" s="320">
        <f t="shared" si="24"/>
        <v>970.46</v>
      </c>
    </row>
    <row r="62" spans="1:49" x14ac:dyDescent="0.2">
      <c r="A62" s="1" t="s">
        <v>348</v>
      </c>
      <c r="B62" s="7">
        <v>89969</v>
      </c>
      <c r="C62" s="7">
        <v>0</v>
      </c>
      <c r="D62" s="2">
        <f>(B62+C62)*0.124</f>
        <v>11156.16</v>
      </c>
      <c r="E62" s="2">
        <f t="shared" si="36"/>
        <v>4408.4799999999996</v>
      </c>
      <c r="F62" s="78">
        <f t="shared" si="37"/>
        <v>4714.38</v>
      </c>
      <c r="G62" s="2">
        <f t="shared" si="5"/>
        <v>7072.9</v>
      </c>
      <c r="H62" s="2">
        <f t="shared" si="0"/>
        <v>881.7</v>
      </c>
      <c r="I62" s="2">
        <f t="shared" si="6"/>
        <v>77</v>
      </c>
      <c r="J62" s="380">
        <f t="shared" si="1"/>
        <v>28310.62</v>
      </c>
      <c r="K62" s="1"/>
      <c r="L62" s="7"/>
      <c r="M62" s="7">
        <v>29661</v>
      </c>
      <c r="N62" s="7">
        <v>12764</v>
      </c>
      <c r="O62" s="7"/>
      <c r="P62" s="7">
        <v>15634</v>
      </c>
      <c r="Q62" s="7"/>
      <c r="R62" s="7"/>
      <c r="S62" s="7"/>
      <c r="T62" s="7">
        <v>4089</v>
      </c>
      <c r="U62" s="7"/>
      <c r="V62" s="7"/>
      <c r="W62" s="7">
        <v>4571</v>
      </c>
      <c r="X62" s="7"/>
      <c r="Y62" s="7"/>
      <c r="Z62" s="7">
        <v>2604</v>
      </c>
      <c r="AA62" s="7">
        <v>1965</v>
      </c>
      <c r="AB62" s="7">
        <v>18681</v>
      </c>
      <c r="AC62" s="7"/>
      <c r="AD62" s="7">
        <f t="shared" si="33"/>
        <v>89969</v>
      </c>
      <c r="AE62" s="1"/>
      <c r="AF62" s="283">
        <f t="shared" si="7"/>
        <v>2616.1</v>
      </c>
      <c r="AG62" s="283">
        <f t="shared" si="8"/>
        <v>1125.78</v>
      </c>
      <c r="AH62" s="283">
        <f t="shared" si="9"/>
        <v>0</v>
      </c>
      <c r="AI62" s="283">
        <f t="shared" si="10"/>
        <v>612.85</v>
      </c>
      <c r="AJ62" s="283">
        <f t="shared" si="11"/>
        <v>0</v>
      </c>
      <c r="AK62" s="283">
        <f t="shared" si="12"/>
        <v>0</v>
      </c>
      <c r="AL62" s="283">
        <f t="shared" si="13"/>
        <v>0</v>
      </c>
      <c r="AM62" s="283">
        <f t="shared" si="14"/>
        <v>360.65</v>
      </c>
      <c r="AN62" s="283">
        <f t="shared" si="15"/>
        <v>0</v>
      </c>
      <c r="AO62" s="283">
        <f t="shared" si="16"/>
        <v>0</v>
      </c>
      <c r="AP62" s="283">
        <f t="shared" si="17"/>
        <v>403.16</v>
      </c>
      <c r="AQ62" s="283">
        <f t="shared" si="18"/>
        <v>0</v>
      </c>
      <c r="AR62" s="283">
        <f t="shared" si="19"/>
        <v>0</v>
      </c>
      <c r="AS62" s="283">
        <f t="shared" si="20"/>
        <v>229.67</v>
      </c>
      <c r="AT62" s="283">
        <f t="shared" si="21"/>
        <v>77.03</v>
      </c>
      <c r="AU62" s="283">
        <f t="shared" si="22"/>
        <v>1647.66</v>
      </c>
      <c r="AV62" s="283">
        <f t="shared" si="23"/>
        <v>0</v>
      </c>
      <c r="AW62" s="320">
        <f t="shared" si="24"/>
        <v>7072.9</v>
      </c>
    </row>
    <row r="63" spans="1:49" x14ac:dyDescent="0.2">
      <c r="A63" s="18" t="s">
        <v>744</v>
      </c>
      <c r="B63" s="7"/>
      <c r="C63" s="7"/>
      <c r="D63" s="2">
        <f>(B63+C63)*0.124</f>
        <v>0</v>
      </c>
      <c r="E63" s="2">
        <f>(B63+C63)*0.049</f>
        <v>0</v>
      </c>
      <c r="F63" s="2">
        <f>(B63+C63)*0.0524</f>
        <v>0</v>
      </c>
      <c r="G63" s="2">
        <f t="shared" si="5"/>
        <v>-176.5</v>
      </c>
      <c r="H63" s="2">
        <f t="shared" si="0"/>
        <v>0</v>
      </c>
      <c r="I63" s="2">
        <f t="shared" si="6"/>
        <v>-14.85</v>
      </c>
      <c r="J63" s="380">
        <f>SUM(D63:I63)</f>
        <v>-191.35</v>
      </c>
      <c r="K63" s="1"/>
      <c r="L63" s="7"/>
      <c r="M63" s="7"/>
      <c r="N63" s="7"/>
      <c r="O63" s="7"/>
      <c r="P63" s="7">
        <v>3602</v>
      </c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>
        <v>-3602</v>
      </c>
      <c r="AC63" s="7"/>
      <c r="AD63" s="7">
        <f t="shared" si="33"/>
        <v>0</v>
      </c>
      <c r="AF63" s="283">
        <f t="shared" si="7"/>
        <v>0</v>
      </c>
      <c r="AG63" s="283">
        <f t="shared" si="8"/>
        <v>0</v>
      </c>
      <c r="AH63" s="283">
        <f t="shared" si="9"/>
        <v>0</v>
      </c>
      <c r="AI63" s="283">
        <f t="shared" si="10"/>
        <v>141.19999999999999</v>
      </c>
      <c r="AJ63" s="283">
        <f t="shared" si="11"/>
        <v>0</v>
      </c>
      <c r="AK63" s="283">
        <f t="shared" si="12"/>
        <v>0</v>
      </c>
      <c r="AL63" s="283">
        <f t="shared" si="13"/>
        <v>0</v>
      </c>
      <c r="AM63" s="283">
        <f t="shared" si="14"/>
        <v>0</v>
      </c>
      <c r="AN63" s="283">
        <f t="shared" si="15"/>
        <v>0</v>
      </c>
      <c r="AO63" s="283">
        <f t="shared" si="16"/>
        <v>0</v>
      </c>
      <c r="AP63" s="283">
        <f t="shared" si="17"/>
        <v>0</v>
      </c>
      <c r="AQ63" s="283">
        <f t="shared" si="18"/>
        <v>0</v>
      </c>
      <c r="AR63" s="283">
        <f t="shared" si="19"/>
        <v>0</v>
      </c>
      <c r="AS63" s="283">
        <f t="shared" si="20"/>
        <v>0</v>
      </c>
      <c r="AT63" s="283">
        <f t="shared" si="21"/>
        <v>0</v>
      </c>
      <c r="AU63" s="283">
        <f t="shared" si="22"/>
        <v>-317.7</v>
      </c>
      <c r="AV63" s="283">
        <f t="shared" si="23"/>
        <v>0</v>
      </c>
      <c r="AW63" s="320">
        <f t="shared" si="24"/>
        <v>-176.5</v>
      </c>
    </row>
    <row r="64" spans="1:49" x14ac:dyDescent="0.2">
      <c r="A64" s="1" t="s">
        <v>705</v>
      </c>
      <c r="B64" s="7">
        <v>1646952</v>
      </c>
      <c r="C64" s="7">
        <v>0</v>
      </c>
      <c r="D64" s="2">
        <f>(B64+C64)*0.124-0.01</f>
        <v>204222.04</v>
      </c>
      <c r="E64" s="2">
        <f t="shared" si="36"/>
        <v>80700.649999999994</v>
      </c>
      <c r="F64" s="78">
        <f t="shared" si="37"/>
        <v>86300.28</v>
      </c>
      <c r="G64" s="2">
        <f t="shared" si="5"/>
        <v>132072.9</v>
      </c>
      <c r="H64" s="2">
        <f t="shared" si="0"/>
        <v>16140.13</v>
      </c>
      <c r="I64" s="2">
        <f t="shared" si="6"/>
        <v>4361.5600000000004</v>
      </c>
      <c r="J64" s="380">
        <f t="shared" si="1"/>
        <v>523797.56</v>
      </c>
      <c r="K64" s="1"/>
      <c r="L64" s="7"/>
      <c r="M64" s="7">
        <v>20603</v>
      </c>
      <c r="N64" s="7"/>
      <c r="O64" s="7">
        <v>192940</v>
      </c>
      <c r="P64" s="7"/>
      <c r="Q64" s="7">
        <v>269148</v>
      </c>
      <c r="R64" s="7"/>
      <c r="S64" s="7"/>
      <c r="T64" s="7">
        <v>9405</v>
      </c>
      <c r="U64" s="7"/>
      <c r="V64" s="7"/>
      <c r="W64" s="7">
        <v>96714</v>
      </c>
      <c r="X64" s="7"/>
      <c r="Y64" s="7"/>
      <c r="Z64" s="7"/>
      <c r="AA64" s="7"/>
      <c r="AB64" s="7">
        <v>1058142</v>
      </c>
      <c r="AC64" s="7"/>
      <c r="AD64" s="7">
        <f t="shared" si="33"/>
        <v>1646952</v>
      </c>
      <c r="AE64" s="1"/>
      <c r="AF64" s="283">
        <f t="shared" si="7"/>
        <v>1817.18</v>
      </c>
      <c r="AG64" s="283">
        <f t="shared" si="8"/>
        <v>0</v>
      </c>
      <c r="AH64" s="283">
        <f t="shared" si="9"/>
        <v>17017.310000000001</v>
      </c>
      <c r="AI64" s="283">
        <f t="shared" si="10"/>
        <v>0</v>
      </c>
      <c r="AJ64" s="283">
        <f t="shared" si="11"/>
        <v>10550.6</v>
      </c>
      <c r="AK64" s="283">
        <f t="shared" si="12"/>
        <v>0</v>
      </c>
      <c r="AL64" s="283">
        <f t="shared" si="13"/>
        <v>0</v>
      </c>
      <c r="AM64" s="283">
        <f t="shared" si="14"/>
        <v>829.52</v>
      </c>
      <c r="AN64" s="283">
        <f t="shared" si="15"/>
        <v>0</v>
      </c>
      <c r="AO64" s="283">
        <f t="shared" si="16"/>
        <v>0</v>
      </c>
      <c r="AP64" s="283">
        <f t="shared" si="17"/>
        <v>8530.17</v>
      </c>
      <c r="AQ64" s="283">
        <f t="shared" si="18"/>
        <v>0</v>
      </c>
      <c r="AR64" s="283">
        <f t="shared" si="19"/>
        <v>0</v>
      </c>
      <c r="AS64" s="283">
        <f t="shared" si="20"/>
        <v>0</v>
      </c>
      <c r="AT64" s="283">
        <f t="shared" si="21"/>
        <v>0</v>
      </c>
      <c r="AU64" s="283">
        <f t="shared" si="22"/>
        <v>93328.12</v>
      </c>
      <c r="AV64" s="283">
        <f t="shared" si="23"/>
        <v>0</v>
      </c>
      <c r="AW64" s="320">
        <f t="shared" si="24"/>
        <v>132072.9</v>
      </c>
    </row>
    <row r="65" spans="1:49" x14ac:dyDescent="0.2">
      <c r="A65" s="1" t="s">
        <v>51</v>
      </c>
      <c r="B65" s="7">
        <v>347874</v>
      </c>
      <c r="C65" s="7">
        <v>0</v>
      </c>
      <c r="D65" s="2">
        <f>(B65+C65)*0.124-0.02</f>
        <v>43136.36</v>
      </c>
      <c r="E65" s="2">
        <f t="shared" si="36"/>
        <v>17045.830000000002</v>
      </c>
      <c r="F65" s="78">
        <f t="shared" si="37"/>
        <v>18228.599999999999</v>
      </c>
      <c r="G65" s="2">
        <f t="shared" si="5"/>
        <v>29272.61</v>
      </c>
      <c r="H65" s="2">
        <f t="shared" si="0"/>
        <v>3409.17</v>
      </c>
      <c r="I65" s="2">
        <f t="shared" si="6"/>
        <v>0</v>
      </c>
      <c r="J65" s="380">
        <f t="shared" si="1"/>
        <v>111092.57</v>
      </c>
      <c r="K65" s="1"/>
      <c r="L65" s="7"/>
      <c r="M65" s="7"/>
      <c r="N65" s="7"/>
      <c r="O65" s="7">
        <v>285482</v>
      </c>
      <c r="P65" s="7"/>
      <c r="Q65" s="7"/>
      <c r="R65" s="7"/>
      <c r="S65" s="7"/>
      <c r="T65" s="7"/>
      <c r="U65" s="7"/>
      <c r="V65" s="7">
        <v>28773</v>
      </c>
      <c r="W65" s="7"/>
      <c r="X65" s="7"/>
      <c r="Y65" s="7"/>
      <c r="Z65" s="7"/>
      <c r="AA65" s="7"/>
      <c r="AB65" s="7"/>
      <c r="AC65" s="7">
        <v>33619</v>
      </c>
      <c r="AD65" s="7">
        <f t="shared" ref="AD65:AD86" si="38">SUM(L65:AC65)</f>
        <v>347874</v>
      </c>
      <c r="AE65" s="7"/>
      <c r="AF65" s="283">
        <f t="shared" si="7"/>
        <v>0</v>
      </c>
      <c r="AG65" s="283">
        <f t="shared" si="8"/>
        <v>0</v>
      </c>
      <c r="AH65" s="283">
        <f t="shared" si="9"/>
        <v>25179.51</v>
      </c>
      <c r="AI65" s="283">
        <f t="shared" si="10"/>
        <v>0</v>
      </c>
      <c r="AJ65" s="283">
        <f t="shared" si="11"/>
        <v>0</v>
      </c>
      <c r="AK65" s="283">
        <f t="shared" si="12"/>
        <v>0</v>
      </c>
      <c r="AL65" s="283">
        <f t="shared" si="13"/>
        <v>0</v>
      </c>
      <c r="AM65" s="283">
        <f t="shared" si="14"/>
        <v>0</v>
      </c>
      <c r="AN65" s="283">
        <f t="shared" si="15"/>
        <v>0</v>
      </c>
      <c r="AO65" s="283">
        <f t="shared" si="16"/>
        <v>1127.9000000000001</v>
      </c>
      <c r="AP65" s="283">
        <f t="shared" si="17"/>
        <v>0</v>
      </c>
      <c r="AQ65" s="283">
        <f t="shared" si="18"/>
        <v>0</v>
      </c>
      <c r="AR65" s="283">
        <f t="shared" si="19"/>
        <v>0</v>
      </c>
      <c r="AS65" s="283">
        <f t="shared" si="20"/>
        <v>0</v>
      </c>
      <c r="AT65" s="283">
        <f t="shared" si="21"/>
        <v>0</v>
      </c>
      <c r="AU65" s="283">
        <f t="shared" si="22"/>
        <v>0</v>
      </c>
      <c r="AV65" s="283">
        <f t="shared" si="23"/>
        <v>2965.2</v>
      </c>
      <c r="AW65" s="320">
        <f t="shared" si="24"/>
        <v>29272.61</v>
      </c>
    </row>
    <row r="66" spans="1:49" x14ac:dyDescent="0.2">
      <c r="A66" s="1" t="s">
        <v>475</v>
      </c>
      <c r="B66" s="7">
        <v>7497</v>
      </c>
      <c r="C66" s="7">
        <v>0</v>
      </c>
      <c r="D66" s="2">
        <f>(B66+C66)*0.124-0.01</f>
        <v>929.62</v>
      </c>
      <c r="E66" s="2">
        <f t="shared" si="36"/>
        <v>367.35</v>
      </c>
      <c r="F66" s="78">
        <f t="shared" si="37"/>
        <v>392.84</v>
      </c>
      <c r="G66" s="2">
        <f t="shared" si="5"/>
        <v>661.24</v>
      </c>
      <c r="H66" s="2">
        <f t="shared" si="0"/>
        <v>73.47</v>
      </c>
      <c r="I66" s="2">
        <f t="shared" si="6"/>
        <v>0</v>
      </c>
      <c r="J66" s="380">
        <f t="shared" si="1"/>
        <v>2424.52</v>
      </c>
      <c r="K66" s="1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>
        <v>7497</v>
      </c>
      <c r="AD66" s="7">
        <f>SUM(L66:AC66)</f>
        <v>7497</v>
      </c>
      <c r="AE66" s="7"/>
      <c r="AF66" s="283">
        <f t="shared" si="7"/>
        <v>0</v>
      </c>
      <c r="AG66" s="283">
        <f t="shared" si="8"/>
        <v>0</v>
      </c>
      <c r="AH66" s="283">
        <f t="shared" si="9"/>
        <v>0</v>
      </c>
      <c r="AI66" s="283">
        <f t="shared" si="10"/>
        <v>0</v>
      </c>
      <c r="AJ66" s="283">
        <f t="shared" si="11"/>
        <v>0</v>
      </c>
      <c r="AK66" s="283">
        <f t="shared" si="12"/>
        <v>0</v>
      </c>
      <c r="AL66" s="283">
        <f t="shared" si="13"/>
        <v>0</v>
      </c>
      <c r="AM66" s="283">
        <f t="shared" si="14"/>
        <v>0</v>
      </c>
      <c r="AN66" s="283">
        <f t="shared" si="15"/>
        <v>0</v>
      </c>
      <c r="AO66" s="283">
        <f t="shared" si="16"/>
        <v>0</v>
      </c>
      <c r="AP66" s="283">
        <f t="shared" si="17"/>
        <v>0</v>
      </c>
      <c r="AQ66" s="283">
        <f t="shared" si="18"/>
        <v>0</v>
      </c>
      <c r="AR66" s="283">
        <f t="shared" si="19"/>
        <v>0</v>
      </c>
      <c r="AS66" s="283">
        <f t="shared" si="20"/>
        <v>0</v>
      </c>
      <c r="AT66" s="283">
        <f t="shared" si="21"/>
        <v>0</v>
      </c>
      <c r="AU66" s="283">
        <f t="shared" si="22"/>
        <v>0</v>
      </c>
      <c r="AV66" s="283">
        <f t="shared" si="23"/>
        <v>661.24</v>
      </c>
      <c r="AW66" s="320">
        <f t="shared" si="24"/>
        <v>661.24</v>
      </c>
    </row>
    <row r="67" spans="1:49" x14ac:dyDescent="0.2">
      <c r="A67" s="1" t="s">
        <v>52</v>
      </c>
      <c r="B67" s="7">
        <v>132207</v>
      </c>
      <c r="C67" s="7">
        <v>0</v>
      </c>
      <c r="D67" s="2">
        <f>(B67+C67)*0.124</f>
        <v>16393.669999999998</v>
      </c>
      <c r="E67" s="2">
        <f t="shared" si="36"/>
        <v>6478.14</v>
      </c>
      <c r="F67" s="78">
        <f t="shared" si="37"/>
        <v>6927.65</v>
      </c>
      <c r="G67" s="2">
        <f t="shared" si="5"/>
        <v>8010.35</v>
      </c>
      <c r="H67" s="2">
        <f t="shared" si="0"/>
        <v>1295.6300000000001</v>
      </c>
      <c r="I67" s="2">
        <f t="shared" si="6"/>
        <v>0</v>
      </c>
      <c r="J67" s="380">
        <f t="shared" si="1"/>
        <v>39105.440000000002</v>
      </c>
      <c r="K67" s="1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>
        <v>107</v>
      </c>
      <c r="X67" s="7">
        <v>57604</v>
      </c>
      <c r="Y67" s="7">
        <v>74496</v>
      </c>
      <c r="Z67" s="7"/>
      <c r="AA67" s="7"/>
      <c r="AB67" s="7"/>
      <c r="AC67" s="7"/>
      <c r="AD67" s="7">
        <f t="shared" si="38"/>
        <v>132207</v>
      </c>
      <c r="AE67" s="7"/>
      <c r="AF67" s="283">
        <f t="shared" si="7"/>
        <v>0</v>
      </c>
      <c r="AG67" s="283">
        <f t="shared" si="8"/>
        <v>0</v>
      </c>
      <c r="AH67" s="283">
        <f t="shared" si="9"/>
        <v>0</v>
      </c>
      <c r="AI67" s="283">
        <f t="shared" si="10"/>
        <v>0</v>
      </c>
      <c r="AJ67" s="283">
        <f t="shared" si="11"/>
        <v>0</v>
      </c>
      <c r="AK67" s="283">
        <f t="shared" si="12"/>
        <v>0</v>
      </c>
      <c r="AL67" s="283">
        <f t="shared" si="13"/>
        <v>0</v>
      </c>
      <c r="AM67" s="283">
        <f t="shared" si="14"/>
        <v>0</v>
      </c>
      <c r="AN67" s="283">
        <f t="shared" si="15"/>
        <v>0</v>
      </c>
      <c r="AO67" s="283">
        <f t="shared" si="16"/>
        <v>0</v>
      </c>
      <c r="AP67" s="283">
        <f t="shared" si="17"/>
        <v>9.44</v>
      </c>
      <c r="AQ67" s="283">
        <f t="shared" si="18"/>
        <v>5080.67</v>
      </c>
      <c r="AR67" s="283">
        <f t="shared" si="19"/>
        <v>2920.24</v>
      </c>
      <c r="AS67" s="283">
        <f t="shared" si="20"/>
        <v>0</v>
      </c>
      <c r="AT67" s="283">
        <f t="shared" si="21"/>
        <v>0</v>
      </c>
      <c r="AU67" s="283">
        <f t="shared" si="22"/>
        <v>0</v>
      </c>
      <c r="AV67" s="283">
        <f t="shared" si="23"/>
        <v>0</v>
      </c>
      <c r="AW67" s="320">
        <f t="shared" si="24"/>
        <v>8010.35</v>
      </c>
    </row>
    <row r="68" spans="1:49" x14ac:dyDescent="0.2">
      <c r="A68" s="1" t="s">
        <v>433</v>
      </c>
      <c r="B68" s="7">
        <v>64844</v>
      </c>
      <c r="C68" s="7">
        <v>0</v>
      </c>
      <c r="D68" s="2">
        <f>(B68+C68)*0.124-0.02</f>
        <v>8040.64</v>
      </c>
      <c r="E68" s="2">
        <f t="shared" si="36"/>
        <v>3177.36</v>
      </c>
      <c r="F68" s="78">
        <f t="shared" si="37"/>
        <v>3397.83</v>
      </c>
      <c r="G68" s="2">
        <f t="shared" si="5"/>
        <v>5719.24</v>
      </c>
      <c r="H68" s="2">
        <f t="shared" si="0"/>
        <v>635.47</v>
      </c>
      <c r="I68" s="2">
        <f t="shared" si="6"/>
        <v>35.06</v>
      </c>
      <c r="J68" s="380">
        <f t="shared" si="1"/>
        <v>21005.599999999999</v>
      </c>
      <c r="K68" s="1"/>
      <c r="L68" s="7"/>
      <c r="M68" s="7"/>
      <c r="N68" s="7"/>
      <c r="O68" s="7">
        <v>56339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>
        <v>8505</v>
      </c>
      <c r="AC68" s="7"/>
      <c r="AD68" s="7">
        <f t="shared" si="38"/>
        <v>64844</v>
      </c>
      <c r="AE68" s="7"/>
      <c r="AF68" s="283">
        <f t="shared" si="7"/>
        <v>0</v>
      </c>
      <c r="AG68" s="283">
        <f t="shared" si="8"/>
        <v>0</v>
      </c>
      <c r="AH68" s="283">
        <f t="shared" si="9"/>
        <v>4969.1000000000004</v>
      </c>
      <c r="AI68" s="283">
        <f t="shared" si="10"/>
        <v>0</v>
      </c>
      <c r="AJ68" s="283">
        <f t="shared" si="11"/>
        <v>0</v>
      </c>
      <c r="AK68" s="283">
        <f t="shared" si="12"/>
        <v>0</v>
      </c>
      <c r="AL68" s="283">
        <f t="shared" si="13"/>
        <v>0</v>
      </c>
      <c r="AM68" s="283">
        <f t="shared" si="14"/>
        <v>0</v>
      </c>
      <c r="AN68" s="283">
        <f t="shared" si="15"/>
        <v>0</v>
      </c>
      <c r="AO68" s="283">
        <f t="shared" si="16"/>
        <v>0</v>
      </c>
      <c r="AP68" s="283">
        <f t="shared" si="17"/>
        <v>0</v>
      </c>
      <c r="AQ68" s="283">
        <f t="shared" si="18"/>
        <v>0</v>
      </c>
      <c r="AR68" s="283">
        <f t="shared" si="19"/>
        <v>0</v>
      </c>
      <c r="AS68" s="283">
        <f t="shared" si="20"/>
        <v>0</v>
      </c>
      <c r="AT68" s="283">
        <f t="shared" si="21"/>
        <v>0</v>
      </c>
      <c r="AU68" s="283">
        <f t="shared" si="22"/>
        <v>750.14</v>
      </c>
      <c r="AV68" s="283">
        <f t="shared" si="23"/>
        <v>0</v>
      </c>
      <c r="AW68" s="320">
        <f t="shared" si="24"/>
        <v>5719.24</v>
      </c>
    </row>
    <row r="69" spans="1:49" x14ac:dyDescent="0.2">
      <c r="A69" s="1" t="s">
        <v>53</v>
      </c>
      <c r="B69" s="7">
        <v>605278</v>
      </c>
      <c r="C69" s="7">
        <v>0</v>
      </c>
      <c r="D69" s="2">
        <f>(B69+C69)*0.124+0.01</f>
        <v>75054.48</v>
      </c>
      <c r="E69" s="2">
        <f t="shared" ref="E69:E77" si="39">(B69+C69)*0.049</f>
        <v>29658.62</v>
      </c>
      <c r="F69" s="78">
        <f t="shared" si="37"/>
        <v>31716.57</v>
      </c>
      <c r="G69" s="2">
        <f t="shared" si="5"/>
        <v>40275.81</v>
      </c>
      <c r="H69" s="2">
        <f t="shared" si="0"/>
        <v>5931.72</v>
      </c>
      <c r="I69" s="2">
        <f t="shared" si="6"/>
        <v>0</v>
      </c>
      <c r="J69" s="380">
        <f t="shared" si="1"/>
        <v>182637.2</v>
      </c>
      <c r="K69" s="1"/>
      <c r="L69" s="7"/>
      <c r="M69" s="7"/>
      <c r="N69" s="7"/>
      <c r="O69" s="7">
        <v>111837</v>
      </c>
      <c r="P69" s="7"/>
      <c r="Q69" s="7">
        <v>267545</v>
      </c>
      <c r="R69" s="7"/>
      <c r="S69" s="7"/>
      <c r="T69" s="7">
        <v>225896</v>
      </c>
      <c r="U69" s="7"/>
      <c r="V69" s="7"/>
      <c r="W69" s="7"/>
      <c r="X69" s="7"/>
      <c r="Y69" s="7"/>
      <c r="Z69" s="7"/>
      <c r="AA69" s="7"/>
      <c r="AB69" s="7"/>
      <c r="AC69" s="7"/>
      <c r="AD69" s="7">
        <f t="shared" si="38"/>
        <v>605278</v>
      </c>
      <c r="AE69" s="1"/>
      <c r="AF69" s="283">
        <f t="shared" si="7"/>
        <v>0</v>
      </c>
      <c r="AG69" s="283">
        <f t="shared" si="8"/>
        <v>0</v>
      </c>
      <c r="AH69" s="283">
        <f t="shared" si="9"/>
        <v>9864.02</v>
      </c>
      <c r="AI69" s="283">
        <f t="shared" si="10"/>
        <v>0</v>
      </c>
      <c r="AJ69" s="283">
        <f t="shared" si="11"/>
        <v>10487.76</v>
      </c>
      <c r="AK69" s="283">
        <f t="shared" si="12"/>
        <v>0</v>
      </c>
      <c r="AL69" s="283">
        <f t="shared" si="13"/>
        <v>0</v>
      </c>
      <c r="AM69" s="283">
        <f t="shared" si="14"/>
        <v>19924.03</v>
      </c>
      <c r="AN69" s="283">
        <f t="shared" si="15"/>
        <v>0</v>
      </c>
      <c r="AO69" s="283">
        <f t="shared" si="16"/>
        <v>0</v>
      </c>
      <c r="AP69" s="283">
        <f t="shared" si="17"/>
        <v>0</v>
      </c>
      <c r="AQ69" s="283">
        <f t="shared" si="18"/>
        <v>0</v>
      </c>
      <c r="AR69" s="283">
        <f t="shared" si="19"/>
        <v>0</v>
      </c>
      <c r="AS69" s="283">
        <f t="shared" si="20"/>
        <v>0</v>
      </c>
      <c r="AT69" s="283">
        <f t="shared" si="21"/>
        <v>0</v>
      </c>
      <c r="AU69" s="283">
        <f t="shared" si="22"/>
        <v>0</v>
      </c>
      <c r="AV69" s="283">
        <f t="shared" si="23"/>
        <v>0</v>
      </c>
      <c r="AW69" s="320">
        <f t="shared" si="24"/>
        <v>40275.81</v>
      </c>
    </row>
    <row r="70" spans="1:49" x14ac:dyDescent="0.2">
      <c r="A70" s="18" t="s">
        <v>746</v>
      </c>
      <c r="B70" s="7">
        <v>-258</v>
      </c>
      <c r="C70" s="7">
        <v>0</v>
      </c>
      <c r="D70" s="2">
        <f>(B70+C70)*0.124-0.01</f>
        <v>-32</v>
      </c>
      <c r="E70" s="2">
        <f>(B70+C70)*0.049</f>
        <v>-12.64</v>
      </c>
      <c r="F70" s="2">
        <f>(B70+C70)*0.0524</f>
        <v>-13.52</v>
      </c>
      <c r="G70" s="2">
        <f t="shared" si="5"/>
        <v>-22.76</v>
      </c>
      <c r="H70" s="2">
        <f t="shared" si="0"/>
        <v>-2.5299999999999998</v>
      </c>
      <c r="I70" s="2">
        <f t="shared" si="6"/>
        <v>-1.06</v>
      </c>
      <c r="J70" s="380">
        <f>SUM(D70:I70)</f>
        <v>-84.51</v>
      </c>
      <c r="K70" s="1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>
        <v>-258</v>
      </c>
      <c r="AC70" s="7"/>
      <c r="AD70" s="7">
        <f t="shared" si="38"/>
        <v>-258</v>
      </c>
      <c r="AF70" s="283">
        <f t="shared" si="7"/>
        <v>0</v>
      </c>
      <c r="AG70" s="283">
        <f t="shared" si="8"/>
        <v>0</v>
      </c>
      <c r="AH70" s="283">
        <f t="shared" si="9"/>
        <v>0</v>
      </c>
      <c r="AI70" s="283">
        <f t="shared" si="10"/>
        <v>0</v>
      </c>
      <c r="AJ70" s="283">
        <f t="shared" si="11"/>
        <v>0</v>
      </c>
      <c r="AK70" s="283">
        <f t="shared" si="12"/>
        <v>0</v>
      </c>
      <c r="AL70" s="283">
        <f t="shared" si="13"/>
        <v>0</v>
      </c>
      <c r="AM70" s="283">
        <f t="shared" si="14"/>
        <v>0</v>
      </c>
      <c r="AN70" s="283">
        <f t="shared" si="15"/>
        <v>0</v>
      </c>
      <c r="AO70" s="283">
        <f t="shared" si="16"/>
        <v>0</v>
      </c>
      <c r="AP70" s="283">
        <f t="shared" si="17"/>
        <v>0</v>
      </c>
      <c r="AQ70" s="283">
        <f t="shared" si="18"/>
        <v>0</v>
      </c>
      <c r="AR70" s="283">
        <f t="shared" si="19"/>
        <v>0</v>
      </c>
      <c r="AS70" s="283">
        <f t="shared" si="20"/>
        <v>0</v>
      </c>
      <c r="AT70" s="283">
        <f t="shared" si="21"/>
        <v>0</v>
      </c>
      <c r="AU70" s="283">
        <f t="shared" si="22"/>
        <v>-22.76</v>
      </c>
      <c r="AV70" s="283">
        <f t="shared" si="23"/>
        <v>0</v>
      </c>
      <c r="AW70" s="320">
        <f t="shared" si="24"/>
        <v>-22.76</v>
      </c>
    </row>
    <row r="71" spans="1:49" x14ac:dyDescent="0.2">
      <c r="A71" s="18" t="s">
        <v>747</v>
      </c>
      <c r="B71" s="7">
        <v>-229</v>
      </c>
      <c r="C71" s="7"/>
      <c r="D71" s="2">
        <f>(B71+C71)*0.124</f>
        <v>-28.4</v>
      </c>
      <c r="E71" s="2">
        <f>(B71+C71)*0.049</f>
        <v>-11.22</v>
      </c>
      <c r="F71" s="2">
        <f>(B71+C71)*0.0524</f>
        <v>-12</v>
      </c>
      <c r="G71" s="2">
        <f t="shared" si="5"/>
        <v>-20.2</v>
      </c>
      <c r="H71" s="2">
        <f t="shared" si="0"/>
        <v>-2.2400000000000002</v>
      </c>
      <c r="I71" s="2">
        <f t="shared" si="6"/>
        <v>-0.94</v>
      </c>
      <c r="J71" s="380">
        <f>SUM(D71:I71)</f>
        <v>-75</v>
      </c>
      <c r="K71" s="1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>
        <v>-229</v>
      </c>
      <c r="AC71" s="7"/>
      <c r="AD71" s="7">
        <f t="shared" si="38"/>
        <v>-229</v>
      </c>
      <c r="AF71" s="283">
        <f t="shared" si="7"/>
        <v>0</v>
      </c>
      <c r="AG71" s="283">
        <f t="shared" si="8"/>
        <v>0</v>
      </c>
      <c r="AH71" s="283">
        <f t="shared" si="9"/>
        <v>0</v>
      </c>
      <c r="AI71" s="283">
        <f t="shared" si="10"/>
        <v>0</v>
      </c>
      <c r="AJ71" s="283">
        <f t="shared" si="11"/>
        <v>0</v>
      </c>
      <c r="AK71" s="283">
        <f t="shared" si="12"/>
        <v>0</v>
      </c>
      <c r="AL71" s="283">
        <f t="shared" si="13"/>
        <v>0</v>
      </c>
      <c r="AM71" s="283">
        <f t="shared" si="14"/>
        <v>0</v>
      </c>
      <c r="AN71" s="283">
        <f t="shared" si="15"/>
        <v>0</v>
      </c>
      <c r="AO71" s="283">
        <f t="shared" si="16"/>
        <v>0</v>
      </c>
      <c r="AP71" s="283">
        <f t="shared" si="17"/>
        <v>0</v>
      </c>
      <c r="AQ71" s="283">
        <f t="shared" si="18"/>
        <v>0</v>
      </c>
      <c r="AR71" s="283">
        <f t="shared" si="19"/>
        <v>0</v>
      </c>
      <c r="AS71" s="283">
        <f t="shared" si="20"/>
        <v>0</v>
      </c>
      <c r="AT71" s="283">
        <f t="shared" si="21"/>
        <v>0</v>
      </c>
      <c r="AU71" s="283">
        <f t="shared" si="22"/>
        <v>-20.2</v>
      </c>
      <c r="AV71" s="283">
        <f t="shared" si="23"/>
        <v>0</v>
      </c>
      <c r="AW71" s="320">
        <f t="shared" si="24"/>
        <v>-20.2</v>
      </c>
    </row>
    <row r="72" spans="1:49" x14ac:dyDescent="0.2">
      <c r="A72" s="18" t="s">
        <v>748</v>
      </c>
      <c r="B72" s="7">
        <v>-212</v>
      </c>
      <c r="C72" s="7"/>
      <c r="D72" s="2">
        <f>(B72+C72)*0.124</f>
        <v>-26.29</v>
      </c>
      <c r="E72" s="2">
        <f>(B72+C72)*0.049</f>
        <v>-10.39</v>
      </c>
      <c r="F72" s="2">
        <f>(B72+C72)*0.0524</f>
        <v>-11.11</v>
      </c>
      <c r="G72" s="2">
        <f t="shared" si="5"/>
        <v>-18.7</v>
      </c>
      <c r="H72" s="2">
        <f t="shared" si="0"/>
        <v>-2.08</v>
      </c>
      <c r="I72" s="2">
        <f t="shared" si="6"/>
        <v>-0.87</v>
      </c>
      <c r="J72" s="380">
        <f>SUM(D72:I72)</f>
        <v>-69.44</v>
      </c>
      <c r="K72" s="1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>
        <v>-212</v>
      </c>
      <c r="AC72" s="7"/>
      <c r="AD72" s="7">
        <f t="shared" si="38"/>
        <v>-212</v>
      </c>
      <c r="AF72" s="283">
        <f t="shared" si="7"/>
        <v>0</v>
      </c>
      <c r="AG72" s="283">
        <f t="shared" si="8"/>
        <v>0</v>
      </c>
      <c r="AH72" s="283">
        <f t="shared" si="9"/>
        <v>0</v>
      </c>
      <c r="AI72" s="283">
        <f t="shared" si="10"/>
        <v>0</v>
      </c>
      <c r="AJ72" s="283">
        <f t="shared" si="11"/>
        <v>0</v>
      </c>
      <c r="AK72" s="283">
        <f t="shared" si="12"/>
        <v>0</v>
      </c>
      <c r="AL72" s="283">
        <f t="shared" si="13"/>
        <v>0</v>
      </c>
      <c r="AM72" s="283">
        <f t="shared" si="14"/>
        <v>0</v>
      </c>
      <c r="AN72" s="283">
        <f t="shared" si="15"/>
        <v>0</v>
      </c>
      <c r="AO72" s="283">
        <f t="shared" si="16"/>
        <v>0</v>
      </c>
      <c r="AP72" s="283">
        <f t="shared" si="17"/>
        <v>0</v>
      </c>
      <c r="AQ72" s="283">
        <f t="shared" si="18"/>
        <v>0</v>
      </c>
      <c r="AR72" s="283">
        <f t="shared" si="19"/>
        <v>0</v>
      </c>
      <c r="AS72" s="283">
        <f t="shared" si="20"/>
        <v>0</v>
      </c>
      <c r="AT72" s="283">
        <f t="shared" si="21"/>
        <v>0</v>
      </c>
      <c r="AU72" s="283">
        <f t="shared" si="22"/>
        <v>-18.7</v>
      </c>
      <c r="AV72" s="283">
        <f t="shared" si="23"/>
        <v>0</v>
      </c>
      <c r="AW72" s="320">
        <f t="shared" si="24"/>
        <v>-18.7</v>
      </c>
    </row>
    <row r="73" spans="1:49" x14ac:dyDescent="0.2">
      <c r="A73" s="1" t="s">
        <v>457</v>
      </c>
      <c r="B73" s="7">
        <v>45580</v>
      </c>
      <c r="C73" s="7">
        <v>0</v>
      </c>
      <c r="D73" s="2">
        <f>(B73+C73)*0.124-0.01</f>
        <v>5651.91</v>
      </c>
      <c r="E73" s="2">
        <f t="shared" si="39"/>
        <v>2233.42</v>
      </c>
      <c r="F73" s="78">
        <f t="shared" si="37"/>
        <v>2388.39</v>
      </c>
      <c r="G73" s="2">
        <f t="shared" si="5"/>
        <v>4020.16</v>
      </c>
      <c r="H73" s="2">
        <f>(B73+C73)*0.0098+0.01</f>
        <v>446.69</v>
      </c>
      <c r="I73" s="2">
        <f t="shared" si="6"/>
        <v>0</v>
      </c>
      <c r="J73" s="380">
        <f t="shared" si="1"/>
        <v>14740.57</v>
      </c>
      <c r="K73" s="1"/>
      <c r="L73" s="7"/>
      <c r="M73" s="7"/>
      <c r="N73" s="7">
        <v>857</v>
      </c>
      <c r="O73" s="7"/>
      <c r="P73" s="7"/>
      <c r="Q73" s="7"/>
      <c r="R73" s="7"/>
      <c r="S73" s="7"/>
      <c r="T73" s="7"/>
      <c r="U73" s="7"/>
      <c r="V73" s="7"/>
      <c r="W73" s="7">
        <v>44723</v>
      </c>
      <c r="X73" s="7"/>
      <c r="Y73" s="7"/>
      <c r="Z73" s="7"/>
      <c r="AA73" s="7"/>
      <c r="AB73" s="7"/>
      <c r="AC73" s="7"/>
      <c r="AD73" s="7">
        <f>SUM(L73:AC73)</f>
        <v>45580</v>
      </c>
      <c r="AE73" s="1"/>
      <c r="AF73" s="283">
        <f t="shared" si="7"/>
        <v>0</v>
      </c>
      <c r="AG73" s="283">
        <f t="shared" si="8"/>
        <v>75.59</v>
      </c>
      <c r="AH73" s="283">
        <f t="shared" si="9"/>
        <v>0</v>
      </c>
      <c r="AI73" s="283">
        <f t="shared" si="10"/>
        <v>0</v>
      </c>
      <c r="AJ73" s="283">
        <f t="shared" si="11"/>
        <v>0</v>
      </c>
      <c r="AK73" s="283">
        <f t="shared" si="12"/>
        <v>0</v>
      </c>
      <c r="AL73" s="283">
        <f t="shared" si="13"/>
        <v>0</v>
      </c>
      <c r="AM73" s="283">
        <f t="shared" si="14"/>
        <v>0</v>
      </c>
      <c r="AN73" s="283">
        <f t="shared" si="15"/>
        <v>0</v>
      </c>
      <c r="AO73" s="283">
        <f t="shared" si="16"/>
        <v>0</v>
      </c>
      <c r="AP73" s="283">
        <f t="shared" si="17"/>
        <v>3944.57</v>
      </c>
      <c r="AQ73" s="283">
        <f t="shared" si="18"/>
        <v>0</v>
      </c>
      <c r="AR73" s="283">
        <f t="shared" si="19"/>
        <v>0</v>
      </c>
      <c r="AS73" s="283">
        <f t="shared" si="20"/>
        <v>0</v>
      </c>
      <c r="AT73" s="283">
        <f t="shared" si="21"/>
        <v>0</v>
      </c>
      <c r="AU73" s="283">
        <f t="shared" si="22"/>
        <v>0</v>
      </c>
      <c r="AV73" s="283">
        <f t="shared" si="23"/>
        <v>0</v>
      </c>
      <c r="AW73" s="320">
        <f t="shared" si="24"/>
        <v>4020.16</v>
      </c>
    </row>
    <row r="74" spans="1:49" x14ac:dyDescent="0.2">
      <c r="A74" s="1" t="s">
        <v>708</v>
      </c>
      <c r="B74" s="7">
        <v>4996</v>
      </c>
      <c r="C74" s="7">
        <v>0</v>
      </c>
      <c r="D74" s="2">
        <f>(B74+C74)*0.124-0.03</f>
        <v>619.47</v>
      </c>
      <c r="E74" s="2">
        <f t="shared" si="39"/>
        <v>244.8</v>
      </c>
      <c r="F74" s="78">
        <f>(B74+C74)*0.0524</f>
        <v>261.79000000000002</v>
      </c>
      <c r="G74" s="2">
        <f>+AW74</f>
        <v>440.65</v>
      </c>
      <c r="H74" s="2">
        <f>(B74+C74)*0.0098</f>
        <v>48.96</v>
      </c>
      <c r="I74" s="2">
        <f>(AB74)*0.0041219</f>
        <v>0</v>
      </c>
      <c r="J74" s="380">
        <f>SUM(D74:I74)</f>
        <v>1615.67</v>
      </c>
      <c r="K74" s="1"/>
      <c r="L74" s="7"/>
      <c r="M74" s="7"/>
      <c r="N74" s="7"/>
      <c r="O74" s="7">
        <v>4996</v>
      </c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>
        <f>SUM(L74:AC74)</f>
        <v>4996</v>
      </c>
      <c r="AE74" s="7"/>
      <c r="AF74" s="283">
        <f>+M74*$AF$12</f>
        <v>0</v>
      </c>
      <c r="AG74" s="283">
        <f>+N74*$AG$12</f>
        <v>0</v>
      </c>
      <c r="AH74" s="283">
        <f>+O74*$AH$12</f>
        <v>440.65</v>
      </c>
      <c r="AI74" s="283">
        <f>+P74*$AI$12</f>
        <v>0</v>
      </c>
      <c r="AJ74" s="283">
        <f>+Q74*$AJ$12</f>
        <v>0</v>
      </c>
      <c r="AK74" s="283">
        <f>+R74*$AK$12</f>
        <v>0</v>
      </c>
      <c r="AL74" s="283">
        <f>+S74*$AL$12</f>
        <v>0</v>
      </c>
      <c r="AM74" s="283">
        <f>+T74*$AM$12</f>
        <v>0</v>
      </c>
      <c r="AN74" s="283">
        <f>+U74*$AN$12</f>
        <v>0</v>
      </c>
      <c r="AO74" s="283">
        <f>+V74*$AO$12</f>
        <v>0</v>
      </c>
      <c r="AP74" s="283">
        <f>+W74*$AP$12</f>
        <v>0</v>
      </c>
      <c r="AQ74" s="283">
        <f>+X74*$AQ$12</f>
        <v>0</v>
      </c>
      <c r="AR74" s="283">
        <f>+Y74*$AR$12</f>
        <v>0</v>
      </c>
      <c r="AS74" s="283">
        <f>+Z74*$AS$12</f>
        <v>0</v>
      </c>
      <c r="AT74" s="283">
        <f>+AA74*$AT$12</f>
        <v>0</v>
      </c>
      <c r="AU74" s="283">
        <f>+AB74*$AU$12</f>
        <v>0</v>
      </c>
      <c r="AV74" s="283">
        <f>+AC74*$AV$12</f>
        <v>0</v>
      </c>
      <c r="AW74" s="320">
        <f>SUM(AF74:AV74)</f>
        <v>440.65</v>
      </c>
    </row>
    <row r="75" spans="1:49" x14ac:dyDescent="0.2">
      <c r="A75" s="18" t="s">
        <v>739</v>
      </c>
      <c r="B75" s="7"/>
      <c r="C75" s="7"/>
      <c r="D75" s="2">
        <f>(B75+C75)*0.124+0.04</f>
        <v>0.04</v>
      </c>
      <c r="E75" s="2">
        <f t="shared" si="39"/>
        <v>0</v>
      </c>
      <c r="F75" s="2">
        <f>(B75+C75)*0.0524</f>
        <v>0</v>
      </c>
      <c r="G75" s="2">
        <f>+AW75</f>
        <v>0</v>
      </c>
      <c r="H75" s="2">
        <f>(B75+C75)*0.0098</f>
        <v>0</v>
      </c>
      <c r="I75" s="2">
        <f>(AB75)*0.0041219</f>
        <v>0</v>
      </c>
      <c r="J75" s="380">
        <f>SUM(D75:I75)</f>
        <v>0.04</v>
      </c>
      <c r="K75" s="1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>
        <f>SUM(L75:AC75)</f>
        <v>0</v>
      </c>
      <c r="AF75" s="283">
        <f>+M75*$AF$12</f>
        <v>0</v>
      </c>
      <c r="AG75" s="283">
        <f>+N75*$AG$12</f>
        <v>0</v>
      </c>
      <c r="AH75" s="283">
        <f>+O75*$AH$12</f>
        <v>0</v>
      </c>
      <c r="AI75" s="283">
        <f>+P75*$AI$12</f>
        <v>0</v>
      </c>
      <c r="AJ75" s="283">
        <f>+Q75*$AJ$12</f>
        <v>0</v>
      </c>
      <c r="AK75" s="283">
        <f>+R75*$AK$12</f>
        <v>0</v>
      </c>
      <c r="AL75" s="283">
        <f>+S75*$AL$12</f>
        <v>0</v>
      </c>
      <c r="AM75" s="283">
        <f>+T75*$AM$12</f>
        <v>0</v>
      </c>
      <c r="AN75" s="283">
        <f>+U75*$AN$12</f>
        <v>0</v>
      </c>
      <c r="AO75" s="283">
        <f>+V75*$AO$12</f>
        <v>0</v>
      </c>
      <c r="AP75" s="283">
        <f>+W75*$AP$12</f>
        <v>0</v>
      </c>
      <c r="AQ75" s="283">
        <f>+X75*$AQ$12</f>
        <v>0</v>
      </c>
      <c r="AR75" s="283">
        <f>+Y75*$AR$12</f>
        <v>0</v>
      </c>
      <c r="AS75" s="283">
        <f>+Z75*$AS$12</f>
        <v>0</v>
      </c>
      <c r="AT75" s="283">
        <f>+AA75*$AT$12</f>
        <v>0</v>
      </c>
      <c r="AU75" s="283">
        <f>+AB75*$AU$12</f>
        <v>0</v>
      </c>
      <c r="AV75" s="283">
        <f>+AC75*$AV$12</f>
        <v>0</v>
      </c>
      <c r="AW75" s="320">
        <f>SUM(AF75:AV75)</f>
        <v>0</v>
      </c>
    </row>
    <row r="76" spans="1:49" x14ac:dyDescent="0.2">
      <c r="A76" s="1" t="s">
        <v>700</v>
      </c>
      <c r="B76" s="7">
        <v>138305</v>
      </c>
      <c r="C76" s="7">
        <v>0</v>
      </c>
      <c r="D76" s="2">
        <f>(B76+C76)*0.124</f>
        <v>17149.82</v>
      </c>
      <c r="E76" s="2">
        <f t="shared" si="39"/>
        <v>6776.95</v>
      </c>
      <c r="F76" s="78">
        <f>(B76+C76)*0.0524</f>
        <v>7247.18</v>
      </c>
      <c r="G76" s="2">
        <f>+AW76</f>
        <v>12198.5</v>
      </c>
      <c r="H76" s="2">
        <f>(B76+C76)*0.0098</f>
        <v>1355.39</v>
      </c>
      <c r="I76" s="2">
        <f>(AB76)*0.0041219</f>
        <v>0</v>
      </c>
      <c r="J76" s="380">
        <f>SUM(D76:I76)</f>
        <v>44727.839999999997</v>
      </c>
      <c r="K76" s="1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138305</v>
      </c>
      <c r="X76" s="7"/>
      <c r="Y76" s="7"/>
      <c r="Z76" s="7"/>
      <c r="AA76" s="7"/>
      <c r="AB76" s="7"/>
      <c r="AC76" s="7"/>
      <c r="AD76" s="7">
        <f>SUM(L76:AC76)</f>
        <v>138305</v>
      </c>
      <c r="AE76" s="1"/>
      <c r="AF76" s="283">
        <f>+M76*$AF$12</f>
        <v>0</v>
      </c>
      <c r="AG76" s="283">
        <f>+N76*$AG$12</f>
        <v>0</v>
      </c>
      <c r="AH76" s="283">
        <f>+O76*$AH$12</f>
        <v>0</v>
      </c>
      <c r="AI76" s="283">
        <f>+P76*$AI$12</f>
        <v>0</v>
      </c>
      <c r="AJ76" s="283">
        <f>+Q76*$AJ$12</f>
        <v>0</v>
      </c>
      <c r="AK76" s="283">
        <f>+R76*$AK$12</f>
        <v>0</v>
      </c>
      <c r="AL76" s="283">
        <f>+S76*$AL$12</f>
        <v>0</v>
      </c>
      <c r="AM76" s="283">
        <f>+T76*$AM$12</f>
        <v>0</v>
      </c>
      <c r="AN76" s="283">
        <f>+U76*$AN$12</f>
        <v>0</v>
      </c>
      <c r="AO76" s="283">
        <f>+V76*$AO$12</f>
        <v>0</v>
      </c>
      <c r="AP76" s="283">
        <f>+W76*$AP$12</f>
        <v>12198.5</v>
      </c>
      <c r="AQ76" s="283">
        <f>+X76*$AQ$12</f>
        <v>0</v>
      </c>
      <c r="AR76" s="283">
        <f>+Y76*$AR$12</f>
        <v>0</v>
      </c>
      <c r="AS76" s="283">
        <f>+Z76*$AS$12</f>
        <v>0</v>
      </c>
      <c r="AT76" s="283">
        <f>+AA76*$AT$12</f>
        <v>0</v>
      </c>
      <c r="AU76" s="283">
        <f>+AB76*$AU$12</f>
        <v>0</v>
      </c>
      <c r="AV76" s="283">
        <f>+AC76*$AV$12</f>
        <v>0</v>
      </c>
      <c r="AW76" s="320">
        <f>SUM(AF76:AV76)</f>
        <v>12198.5</v>
      </c>
    </row>
    <row r="77" spans="1:49" x14ac:dyDescent="0.2">
      <c r="A77" s="1" t="s">
        <v>54</v>
      </c>
      <c r="B77" s="7">
        <v>6516</v>
      </c>
      <c r="C77" s="7">
        <v>0</v>
      </c>
      <c r="D77" s="2">
        <f>(B77+C77)*0.124</f>
        <v>807.98</v>
      </c>
      <c r="E77" s="2">
        <f t="shared" si="39"/>
        <v>319.27999999999997</v>
      </c>
      <c r="F77" s="78">
        <f t="shared" si="37"/>
        <v>341.44</v>
      </c>
      <c r="G77" s="2">
        <f t="shared" si="5"/>
        <v>255.43</v>
      </c>
      <c r="H77" s="2">
        <f t="shared" si="0"/>
        <v>63.86</v>
      </c>
      <c r="I77" s="2">
        <f t="shared" si="6"/>
        <v>0</v>
      </c>
      <c r="J77" s="380">
        <f t="shared" si="1"/>
        <v>1787.99</v>
      </c>
      <c r="K77" s="1"/>
      <c r="L77" s="7"/>
      <c r="M77" s="7"/>
      <c r="N77" s="7"/>
      <c r="O77" s="7"/>
      <c r="P77" s="7">
        <v>6516</v>
      </c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>
        <f t="shared" si="38"/>
        <v>6516</v>
      </c>
      <c r="AE77" s="1"/>
      <c r="AF77" s="283">
        <f t="shared" si="7"/>
        <v>0</v>
      </c>
      <c r="AG77" s="283">
        <f t="shared" si="8"/>
        <v>0</v>
      </c>
      <c r="AH77" s="283">
        <f t="shared" si="9"/>
        <v>0</v>
      </c>
      <c r="AI77" s="283">
        <f t="shared" si="10"/>
        <v>255.43</v>
      </c>
      <c r="AJ77" s="283">
        <f t="shared" si="11"/>
        <v>0</v>
      </c>
      <c r="AK77" s="283">
        <f t="shared" si="12"/>
        <v>0</v>
      </c>
      <c r="AL77" s="283">
        <f t="shared" si="13"/>
        <v>0</v>
      </c>
      <c r="AM77" s="283">
        <f t="shared" si="14"/>
        <v>0</v>
      </c>
      <c r="AN77" s="283">
        <f t="shared" si="15"/>
        <v>0</v>
      </c>
      <c r="AO77" s="283">
        <f t="shared" si="16"/>
        <v>0</v>
      </c>
      <c r="AP77" s="283">
        <f t="shared" si="17"/>
        <v>0</v>
      </c>
      <c r="AQ77" s="283">
        <f t="shared" si="18"/>
        <v>0</v>
      </c>
      <c r="AR77" s="283">
        <f t="shared" si="19"/>
        <v>0</v>
      </c>
      <c r="AS77" s="283">
        <f t="shared" si="20"/>
        <v>0</v>
      </c>
      <c r="AT77" s="283">
        <f t="shared" si="21"/>
        <v>0</v>
      </c>
      <c r="AU77" s="283">
        <f t="shared" si="22"/>
        <v>0</v>
      </c>
      <c r="AV77" s="283">
        <f t="shared" si="23"/>
        <v>0</v>
      </c>
      <c r="AW77" s="320">
        <f t="shared" si="24"/>
        <v>255.43</v>
      </c>
    </row>
    <row r="78" spans="1:49" x14ac:dyDescent="0.2">
      <c r="A78" s="1" t="s">
        <v>55</v>
      </c>
      <c r="B78" s="7">
        <v>104352</v>
      </c>
      <c r="C78" s="7">
        <v>0</v>
      </c>
      <c r="D78" s="2">
        <f>(B78+C78)*0.124</f>
        <v>12939.65</v>
      </c>
      <c r="E78" s="2">
        <f t="shared" ref="E78:E89" si="40">(B78+C78)*0.049</f>
        <v>5113.25</v>
      </c>
      <c r="F78" s="78">
        <f t="shared" si="37"/>
        <v>5468.04</v>
      </c>
      <c r="G78" s="2">
        <f t="shared" si="5"/>
        <v>7401.33</v>
      </c>
      <c r="H78" s="2">
        <f t="shared" si="0"/>
        <v>1022.65</v>
      </c>
      <c r="I78" s="2">
        <f t="shared" si="6"/>
        <v>232.92</v>
      </c>
      <c r="J78" s="380">
        <f t="shared" si="1"/>
        <v>32177.84</v>
      </c>
      <c r="K78" s="1"/>
      <c r="L78" s="7"/>
      <c r="M78" s="7"/>
      <c r="N78" s="7"/>
      <c r="O78" s="7">
        <v>11059</v>
      </c>
      <c r="P78" s="7">
        <v>36786</v>
      </c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>
        <v>56507</v>
      </c>
      <c r="AC78" s="7"/>
      <c r="AD78" s="7">
        <f t="shared" si="38"/>
        <v>104352</v>
      </c>
      <c r="AE78" s="7"/>
      <c r="AF78" s="283">
        <f t="shared" si="7"/>
        <v>0</v>
      </c>
      <c r="AG78" s="283">
        <f t="shared" si="8"/>
        <v>0</v>
      </c>
      <c r="AH78" s="283">
        <f t="shared" si="9"/>
        <v>975.4</v>
      </c>
      <c r="AI78" s="283">
        <f t="shared" si="10"/>
        <v>1442.01</v>
      </c>
      <c r="AJ78" s="283">
        <f t="shared" si="11"/>
        <v>0</v>
      </c>
      <c r="AK78" s="283">
        <f t="shared" si="12"/>
        <v>0</v>
      </c>
      <c r="AL78" s="283">
        <f t="shared" si="13"/>
        <v>0</v>
      </c>
      <c r="AM78" s="283">
        <f t="shared" si="14"/>
        <v>0</v>
      </c>
      <c r="AN78" s="283">
        <f t="shared" si="15"/>
        <v>0</v>
      </c>
      <c r="AO78" s="283">
        <f t="shared" si="16"/>
        <v>0</v>
      </c>
      <c r="AP78" s="283">
        <f t="shared" si="17"/>
        <v>0</v>
      </c>
      <c r="AQ78" s="283">
        <f t="shared" si="18"/>
        <v>0</v>
      </c>
      <c r="AR78" s="283">
        <f t="shared" si="19"/>
        <v>0</v>
      </c>
      <c r="AS78" s="283">
        <f t="shared" si="20"/>
        <v>0</v>
      </c>
      <c r="AT78" s="283">
        <f t="shared" si="21"/>
        <v>0</v>
      </c>
      <c r="AU78" s="283">
        <f t="shared" si="22"/>
        <v>4983.92</v>
      </c>
      <c r="AV78" s="283">
        <f t="shared" si="23"/>
        <v>0</v>
      </c>
      <c r="AW78" s="320">
        <f t="shared" si="24"/>
        <v>7401.33</v>
      </c>
    </row>
    <row r="79" spans="1:49" x14ac:dyDescent="0.2">
      <c r="A79" s="1" t="s">
        <v>56</v>
      </c>
      <c r="B79" s="7">
        <v>49515</v>
      </c>
      <c r="C79" s="7">
        <v>0</v>
      </c>
      <c r="D79" s="2">
        <f>(B79+C79)*0.124-0.01</f>
        <v>6139.85</v>
      </c>
      <c r="E79" s="2">
        <f t="shared" si="40"/>
        <v>2426.2399999999998</v>
      </c>
      <c r="F79" s="78">
        <f t="shared" si="37"/>
        <v>2594.59</v>
      </c>
      <c r="G79" s="2">
        <f t="shared" si="5"/>
        <v>4337.28</v>
      </c>
      <c r="H79" s="2">
        <f t="shared" si="0"/>
        <v>485.25</v>
      </c>
      <c r="I79" s="2">
        <f t="shared" si="6"/>
        <v>0</v>
      </c>
      <c r="J79" s="380">
        <f t="shared" si="1"/>
        <v>15983.21</v>
      </c>
      <c r="K79" s="1"/>
      <c r="L79" s="7"/>
      <c r="M79" s="7"/>
      <c r="N79" s="7"/>
      <c r="O79" s="7"/>
      <c r="P79" s="7"/>
      <c r="Q79" s="7"/>
      <c r="R79" s="7"/>
      <c r="S79" s="7">
        <v>611</v>
      </c>
      <c r="T79" s="7"/>
      <c r="U79" s="7"/>
      <c r="V79" s="7"/>
      <c r="W79" s="7"/>
      <c r="X79" s="7"/>
      <c r="Y79" s="7"/>
      <c r="Z79" s="7"/>
      <c r="AA79" s="7"/>
      <c r="AB79" s="7"/>
      <c r="AC79" s="7">
        <v>48904</v>
      </c>
      <c r="AD79" s="7">
        <f t="shared" si="38"/>
        <v>49515</v>
      </c>
      <c r="AE79" s="7"/>
      <c r="AF79" s="283">
        <f t="shared" si="7"/>
        <v>0</v>
      </c>
      <c r="AG79" s="283">
        <f t="shared" si="8"/>
        <v>0</v>
      </c>
      <c r="AH79" s="283">
        <f t="shared" si="9"/>
        <v>0</v>
      </c>
      <c r="AI79" s="283">
        <f t="shared" si="10"/>
        <v>0</v>
      </c>
      <c r="AJ79" s="283">
        <f t="shared" si="11"/>
        <v>0</v>
      </c>
      <c r="AK79" s="283">
        <f t="shared" si="12"/>
        <v>0</v>
      </c>
      <c r="AL79" s="283">
        <f t="shared" si="13"/>
        <v>23.95</v>
      </c>
      <c r="AM79" s="283">
        <f t="shared" si="14"/>
        <v>0</v>
      </c>
      <c r="AN79" s="283">
        <f t="shared" si="15"/>
        <v>0</v>
      </c>
      <c r="AO79" s="283">
        <f t="shared" si="16"/>
        <v>0</v>
      </c>
      <c r="AP79" s="283">
        <f t="shared" si="17"/>
        <v>0</v>
      </c>
      <c r="AQ79" s="283">
        <f t="shared" si="18"/>
        <v>0</v>
      </c>
      <c r="AR79" s="283">
        <f t="shared" si="19"/>
        <v>0</v>
      </c>
      <c r="AS79" s="283">
        <f t="shared" si="20"/>
        <v>0</v>
      </c>
      <c r="AT79" s="283">
        <f t="shared" si="21"/>
        <v>0</v>
      </c>
      <c r="AU79" s="283">
        <f t="shared" si="22"/>
        <v>0</v>
      </c>
      <c r="AV79" s="283">
        <f t="shared" si="23"/>
        <v>4313.33</v>
      </c>
      <c r="AW79" s="320">
        <f t="shared" si="24"/>
        <v>4337.28</v>
      </c>
    </row>
    <row r="80" spans="1:49" s="20" customFormat="1" x14ac:dyDescent="0.2">
      <c r="A80" s="18" t="s">
        <v>217</v>
      </c>
      <c r="B80" s="245">
        <v>65</v>
      </c>
      <c r="C80" s="245">
        <v>0</v>
      </c>
      <c r="D80" s="2">
        <f>(B80+C80)*0.124</f>
        <v>8.06</v>
      </c>
      <c r="E80" s="2">
        <f>(B80+C80)*0.049</f>
        <v>3.19</v>
      </c>
      <c r="F80" s="78">
        <f>(B80+C80)*0.0524</f>
        <v>3.41</v>
      </c>
      <c r="G80" s="2">
        <f>+AW80</f>
        <v>5.73</v>
      </c>
      <c r="H80" s="2">
        <f>(B80+C80)*0.0098</f>
        <v>0.64</v>
      </c>
      <c r="I80" s="2">
        <f>(AB80)*0.0041219</f>
        <v>0</v>
      </c>
      <c r="J80" s="380">
        <f>SUM(D80:I80)</f>
        <v>21.03</v>
      </c>
      <c r="K80" s="18"/>
      <c r="L80" s="245"/>
      <c r="M80" s="245"/>
      <c r="N80" s="245"/>
      <c r="O80" s="245">
        <v>65</v>
      </c>
      <c r="P80" s="245"/>
      <c r="Q80" s="245"/>
      <c r="R80" s="245"/>
      <c r="S80" s="245"/>
      <c r="T80" s="245"/>
      <c r="U80" s="245"/>
      <c r="V80" s="245"/>
      <c r="W80" s="245"/>
      <c r="X80" s="245"/>
      <c r="Y80" s="245"/>
      <c r="Z80" s="245"/>
      <c r="AA80" s="245"/>
      <c r="AB80" s="245"/>
      <c r="AC80" s="245"/>
      <c r="AD80" s="7">
        <f>SUM(L80:AC80)</f>
        <v>65</v>
      </c>
      <c r="AE80" s="245"/>
      <c r="AF80" s="283">
        <f>+M80*$AF$12</f>
        <v>0</v>
      </c>
      <c r="AG80" s="283">
        <f>+N80*$AG$12</f>
        <v>0</v>
      </c>
      <c r="AH80" s="283">
        <f>+O80*$AH$12</f>
        <v>5.73</v>
      </c>
      <c r="AI80" s="283">
        <f>+P80*$AI$12</f>
        <v>0</v>
      </c>
      <c r="AJ80" s="283">
        <f>+Q80*$AJ$12</f>
        <v>0</v>
      </c>
      <c r="AK80" s="283">
        <f>+R80*$AK$12</f>
        <v>0</v>
      </c>
      <c r="AL80" s="283">
        <f>+S80*$AL$12</f>
        <v>0</v>
      </c>
      <c r="AM80" s="283">
        <f>+T80*$AM$12</f>
        <v>0</v>
      </c>
      <c r="AN80" s="283">
        <f>+U80*$AN$12</f>
        <v>0</v>
      </c>
      <c r="AO80" s="283">
        <f>+V80*$AO$12</f>
        <v>0</v>
      </c>
      <c r="AP80" s="283">
        <f>+W80*$AP$12</f>
        <v>0</v>
      </c>
      <c r="AQ80" s="283">
        <f>+X80*$AQ$12</f>
        <v>0</v>
      </c>
      <c r="AR80" s="283">
        <f>+Y80*$AR$12</f>
        <v>0</v>
      </c>
      <c r="AS80" s="283">
        <f>+Z80*$AS$12</f>
        <v>0</v>
      </c>
      <c r="AT80" s="283">
        <f>+AA80*$AT$12</f>
        <v>0</v>
      </c>
      <c r="AU80" s="283">
        <f>+AB80*$AU$12</f>
        <v>0</v>
      </c>
      <c r="AV80" s="283">
        <f>+AC80*$AV$12</f>
        <v>0</v>
      </c>
      <c r="AW80" s="320">
        <f>SUM(AF80:AV80)</f>
        <v>5.73</v>
      </c>
    </row>
    <row r="81" spans="1:49" s="20" customFormat="1" x14ac:dyDescent="0.2">
      <c r="A81" s="18" t="s">
        <v>57</v>
      </c>
      <c r="B81" s="245">
        <v>22370</v>
      </c>
      <c r="C81" s="245">
        <v>0</v>
      </c>
      <c r="D81" s="2">
        <f>(B81+C81)*0.124</f>
        <v>2773.88</v>
      </c>
      <c r="E81" s="2">
        <f t="shared" si="40"/>
        <v>1096.1300000000001</v>
      </c>
      <c r="F81" s="78">
        <f t="shared" si="37"/>
        <v>1172.19</v>
      </c>
      <c r="G81" s="2">
        <f t="shared" si="5"/>
        <v>1893.17</v>
      </c>
      <c r="H81" s="2">
        <f>(B81+C81)*0.0098-0.01</f>
        <v>219.22</v>
      </c>
      <c r="I81" s="2">
        <f t="shared" si="6"/>
        <v>81.569999999999993</v>
      </c>
      <c r="J81" s="380">
        <f t="shared" si="1"/>
        <v>7236.16</v>
      </c>
      <c r="K81" s="18"/>
      <c r="L81" s="245"/>
      <c r="M81" s="245"/>
      <c r="N81" s="245"/>
      <c r="O81" s="245"/>
      <c r="P81" s="245">
        <v>250</v>
      </c>
      <c r="Q81" s="245"/>
      <c r="R81" s="245"/>
      <c r="S81" s="245"/>
      <c r="T81" s="245"/>
      <c r="U81" s="245"/>
      <c r="V81" s="245"/>
      <c r="W81" s="245">
        <v>950</v>
      </c>
      <c r="X81" s="245"/>
      <c r="Y81" s="245"/>
      <c r="Z81" s="245"/>
      <c r="AA81" s="245">
        <v>1380</v>
      </c>
      <c r="AB81" s="245">
        <v>19790</v>
      </c>
      <c r="AC81" s="245"/>
      <c r="AD81" s="7">
        <f t="shared" si="38"/>
        <v>22370</v>
      </c>
      <c r="AE81" s="245"/>
      <c r="AF81" s="283">
        <f t="shared" si="7"/>
        <v>0</v>
      </c>
      <c r="AG81" s="283">
        <f t="shared" si="8"/>
        <v>0</v>
      </c>
      <c r="AH81" s="283">
        <f t="shared" si="9"/>
        <v>0</v>
      </c>
      <c r="AI81" s="283">
        <f t="shared" si="10"/>
        <v>9.8000000000000007</v>
      </c>
      <c r="AJ81" s="283">
        <f t="shared" si="11"/>
        <v>0</v>
      </c>
      <c r="AK81" s="283">
        <f t="shared" si="12"/>
        <v>0</v>
      </c>
      <c r="AL81" s="283">
        <f t="shared" si="13"/>
        <v>0</v>
      </c>
      <c r="AM81" s="283">
        <f t="shared" si="14"/>
        <v>0</v>
      </c>
      <c r="AN81" s="283">
        <f t="shared" si="15"/>
        <v>0</v>
      </c>
      <c r="AO81" s="283">
        <f t="shared" si="16"/>
        <v>0</v>
      </c>
      <c r="AP81" s="283">
        <f t="shared" si="17"/>
        <v>83.79</v>
      </c>
      <c r="AQ81" s="283">
        <f t="shared" si="18"/>
        <v>0</v>
      </c>
      <c r="AR81" s="283">
        <f t="shared" si="19"/>
        <v>0</v>
      </c>
      <c r="AS81" s="283">
        <f t="shared" si="20"/>
        <v>0</v>
      </c>
      <c r="AT81" s="283">
        <f t="shared" si="21"/>
        <v>54.1</v>
      </c>
      <c r="AU81" s="283">
        <f t="shared" si="22"/>
        <v>1745.48</v>
      </c>
      <c r="AV81" s="283">
        <f t="shared" si="23"/>
        <v>0</v>
      </c>
      <c r="AW81" s="320">
        <f t="shared" si="24"/>
        <v>1893.17</v>
      </c>
    </row>
    <row r="82" spans="1:49" x14ac:dyDescent="0.2">
      <c r="A82" s="1" t="s">
        <v>710</v>
      </c>
      <c r="B82" s="7">
        <v>2135274</v>
      </c>
      <c r="C82" s="7">
        <v>0</v>
      </c>
      <c r="D82" s="2">
        <f>(B82+C82)*0.124-0.01</f>
        <v>264773.96999999997</v>
      </c>
      <c r="E82" s="2">
        <f>(B82+C82)*0.049</f>
        <v>104628.43</v>
      </c>
      <c r="F82" s="78">
        <f>(B82+C82)*0.0524</f>
        <v>111888.36</v>
      </c>
      <c r="G82" s="2">
        <f>+AW82</f>
        <v>181034.29</v>
      </c>
      <c r="H82" s="2">
        <f>(B82+C82)*0.0098-0.01</f>
        <v>20925.68</v>
      </c>
      <c r="I82" s="2">
        <f>(AB82)*0.0041219</f>
        <v>0</v>
      </c>
      <c r="J82" s="380">
        <f>SUM(D82:I82)</f>
        <v>683250.73</v>
      </c>
      <c r="K82" s="1"/>
      <c r="L82" s="7"/>
      <c r="M82" s="7"/>
      <c r="N82" s="7"/>
      <c r="O82" s="7">
        <v>1986358</v>
      </c>
      <c r="P82" s="7"/>
      <c r="Q82" s="7"/>
      <c r="R82" s="7"/>
      <c r="S82" s="7"/>
      <c r="T82" s="7"/>
      <c r="U82" s="7"/>
      <c r="V82" s="7">
        <v>10888</v>
      </c>
      <c r="W82" s="7"/>
      <c r="X82" s="7"/>
      <c r="Y82" s="7">
        <v>138028</v>
      </c>
      <c r="Z82" s="7"/>
      <c r="AA82" s="7"/>
      <c r="AB82" s="7"/>
      <c r="AC82" s="7"/>
      <c r="AD82" s="7">
        <f>SUM(L82:AC82)</f>
        <v>2135274</v>
      </c>
      <c r="AE82" s="1"/>
      <c r="AF82" s="283">
        <f>+M82*$AF$12</f>
        <v>0</v>
      </c>
      <c r="AG82" s="283">
        <f>+N82*$AG$12</f>
        <v>0</v>
      </c>
      <c r="AH82" s="283">
        <f>+O82*$AH$12</f>
        <v>175196.78</v>
      </c>
      <c r="AI82" s="283">
        <f>+P82*$AI$12</f>
        <v>0</v>
      </c>
      <c r="AJ82" s="283">
        <f>+Q82*$AJ$12</f>
        <v>0</v>
      </c>
      <c r="AK82" s="283">
        <f>+R82*$AK$12</f>
        <v>0</v>
      </c>
      <c r="AL82" s="283">
        <f>+S82*$AL$12</f>
        <v>0</v>
      </c>
      <c r="AM82" s="283">
        <f>+T82*$AM$12</f>
        <v>0</v>
      </c>
      <c r="AN82" s="283">
        <f>+U82*$AN$12</f>
        <v>0</v>
      </c>
      <c r="AO82" s="283">
        <f>+V82*$AO$12</f>
        <v>426.81</v>
      </c>
      <c r="AP82" s="283">
        <f>+W82*$AP$12</f>
        <v>0</v>
      </c>
      <c r="AQ82" s="283">
        <f>+X82*$AQ$12</f>
        <v>0</v>
      </c>
      <c r="AR82" s="283">
        <f>+Y82*$AR$12</f>
        <v>5410.7</v>
      </c>
      <c r="AS82" s="283">
        <f>+Z82*$AS$12</f>
        <v>0</v>
      </c>
      <c r="AT82" s="283">
        <f>+AA82*$AT$12</f>
        <v>0</v>
      </c>
      <c r="AU82" s="283">
        <f>+AB82*$AU$12</f>
        <v>0</v>
      </c>
      <c r="AV82" s="283">
        <f>+AC82*$AV$12</f>
        <v>0</v>
      </c>
      <c r="AW82" s="320">
        <f>SUM(AF82:AV82)</f>
        <v>181034.29</v>
      </c>
    </row>
    <row r="83" spans="1:49" x14ac:dyDescent="0.2">
      <c r="A83" s="1" t="s">
        <v>434</v>
      </c>
      <c r="B83" s="7">
        <v>307454</v>
      </c>
      <c r="C83" s="7">
        <v>0</v>
      </c>
      <c r="D83" s="2">
        <f>(B83+C83)*0.124-0.01</f>
        <v>38124.29</v>
      </c>
      <c r="E83" s="2">
        <f t="shared" si="40"/>
        <v>15065.25</v>
      </c>
      <c r="F83" s="78">
        <f t="shared" si="37"/>
        <v>16110.59</v>
      </c>
      <c r="G83" s="2">
        <f t="shared" si="5"/>
        <v>27117.439999999999</v>
      </c>
      <c r="H83" s="2">
        <f t="shared" si="0"/>
        <v>3013.05</v>
      </c>
      <c r="I83" s="2">
        <f t="shared" si="6"/>
        <v>703.36</v>
      </c>
      <c r="J83" s="380">
        <f t="shared" si="1"/>
        <v>100133.98</v>
      </c>
      <c r="K83" s="1"/>
      <c r="L83" s="7"/>
      <c r="M83" s="7"/>
      <c r="N83" s="7"/>
      <c r="O83" s="7">
        <v>136814</v>
      </c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>
        <v>170640</v>
      </c>
      <c r="AC83" s="7"/>
      <c r="AD83" s="7">
        <f t="shared" si="38"/>
        <v>307454</v>
      </c>
      <c r="AE83" s="7"/>
      <c r="AF83" s="283">
        <f t="shared" si="7"/>
        <v>0</v>
      </c>
      <c r="AG83" s="283">
        <f t="shared" si="8"/>
        <v>0</v>
      </c>
      <c r="AH83" s="283">
        <f t="shared" si="9"/>
        <v>12066.99</v>
      </c>
      <c r="AI83" s="283">
        <f t="shared" si="10"/>
        <v>0</v>
      </c>
      <c r="AJ83" s="283">
        <f t="shared" si="11"/>
        <v>0</v>
      </c>
      <c r="AK83" s="283">
        <f t="shared" si="12"/>
        <v>0</v>
      </c>
      <c r="AL83" s="283">
        <f t="shared" si="13"/>
        <v>0</v>
      </c>
      <c r="AM83" s="283">
        <f t="shared" si="14"/>
        <v>0</v>
      </c>
      <c r="AN83" s="283">
        <f t="shared" si="15"/>
        <v>0</v>
      </c>
      <c r="AO83" s="283">
        <f t="shared" si="16"/>
        <v>0</v>
      </c>
      <c r="AP83" s="283">
        <f t="shared" si="17"/>
        <v>0</v>
      </c>
      <c r="AQ83" s="283">
        <f t="shared" si="18"/>
        <v>0</v>
      </c>
      <c r="AR83" s="283">
        <f t="shared" si="19"/>
        <v>0</v>
      </c>
      <c r="AS83" s="283">
        <f t="shared" si="20"/>
        <v>0</v>
      </c>
      <c r="AT83" s="283">
        <f t="shared" si="21"/>
        <v>0</v>
      </c>
      <c r="AU83" s="283">
        <f t="shared" si="22"/>
        <v>15050.45</v>
      </c>
      <c r="AV83" s="283">
        <f t="shared" si="23"/>
        <v>0</v>
      </c>
      <c r="AW83" s="320">
        <f t="shared" si="24"/>
        <v>27117.439999999999</v>
      </c>
    </row>
    <row r="84" spans="1:49" x14ac:dyDescent="0.2">
      <c r="A84" s="1" t="s">
        <v>58</v>
      </c>
      <c r="B84" s="7">
        <v>1693042</v>
      </c>
      <c r="C84" s="7">
        <v>0</v>
      </c>
      <c r="D84" s="2">
        <f>(B84+C84)*0.124</f>
        <v>209937.21</v>
      </c>
      <c r="E84" s="2">
        <f t="shared" si="40"/>
        <v>82959.06</v>
      </c>
      <c r="F84" s="78">
        <f t="shared" si="37"/>
        <v>88715.4</v>
      </c>
      <c r="G84" s="2">
        <f t="shared" si="5"/>
        <v>149326.29999999999</v>
      </c>
      <c r="H84" s="2">
        <f t="shared" si="0"/>
        <v>16591.810000000001</v>
      </c>
      <c r="I84" s="2">
        <f t="shared" si="6"/>
        <v>0</v>
      </c>
      <c r="J84" s="380">
        <f t="shared" si="1"/>
        <v>547529.78</v>
      </c>
      <c r="K84" s="1"/>
      <c r="L84" s="7"/>
      <c r="M84" s="7"/>
      <c r="N84" s="7"/>
      <c r="O84" s="7">
        <v>1693042</v>
      </c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>
        <f t="shared" si="38"/>
        <v>1693042</v>
      </c>
      <c r="AE84" s="7"/>
      <c r="AF84" s="283">
        <f t="shared" si="7"/>
        <v>0</v>
      </c>
      <c r="AG84" s="283">
        <f t="shared" si="8"/>
        <v>0</v>
      </c>
      <c r="AH84" s="283">
        <f t="shared" si="9"/>
        <v>149326.29999999999</v>
      </c>
      <c r="AI84" s="283">
        <f t="shared" si="10"/>
        <v>0</v>
      </c>
      <c r="AJ84" s="283">
        <f t="shared" si="11"/>
        <v>0</v>
      </c>
      <c r="AK84" s="283">
        <f t="shared" si="12"/>
        <v>0</v>
      </c>
      <c r="AL84" s="283">
        <f t="shared" si="13"/>
        <v>0</v>
      </c>
      <c r="AM84" s="283">
        <f t="shared" si="14"/>
        <v>0</v>
      </c>
      <c r="AN84" s="283">
        <f t="shared" si="15"/>
        <v>0</v>
      </c>
      <c r="AO84" s="283">
        <f t="shared" si="16"/>
        <v>0</v>
      </c>
      <c r="AP84" s="283">
        <f t="shared" si="17"/>
        <v>0</v>
      </c>
      <c r="AQ84" s="283">
        <f t="shared" si="18"/>
        <v>0</v>
      </c>
      <c r="AR84" s="283">
        <f t="shared" si="19"/>
        <v>0</v>
      </c>
      <c r="AS84" s="283">
        <f t="shared" si="20"/>
        <v>0</v>
      </c>
      <c r="AT84" s="283">
        <f t="shared" si="21"/>
        <v>0</v>
      </c>
      <c r="AU84" s="283">
        <f t="shared" si="22"/>
        <v>0</v>
      </c>
      <c r="AV84" s="283">
        <f t="shared" si="23"/>
        <v>0</v>
      </c>
      <c r="AW84" s="320">
        <f t="shared" si="24"/>
        <v>149326.29999999999</v>
      </c>
    </row>
    <row r="85" spans="1:49" x14ac:dyDescent="0.2">
      <c r="A85" s="1" t="s">
        <v>435</v>
      </c>
      <c r="B85" s="7">
        <v>642238</v>
      </c>
      <c r="C85" s="7">
        <v>0</v>
      </c>
      <c r="D85" s="2">
        <f>(B85+C85)*0.124+0.01</f>
        <v>79637.52</v>
      </c>
      <c r="E85" s="2">
        <f t="shared" si="40"/>
        <v>31469.66</v>
      </c>
      <c r="F85" s="78">
        <f t="shared" si="37"/>
        <v>33653.269999999997</v>
      </c>
      <c r="G85" s="2">
        <f t="shared" si="5"/>
        <v>43967.18</v>
      </c>
      <c r="H85" s="2">
        <f t="shared" si="0"/>
        <v>6293.93</v>
      </c>
      <c r="I85" s="2">
        <f t="shared" si="6"/>
        <v>0</v>
      </c>
      <c r="J85" s="380">
        <f t="shared" si="1"/>
        <v>195021.56</v>
      </c>
      <c r="K85" s="1"/>
      <c r="L85" s="7"/>
      <c r="M85" s="7"/>
      <c r="N85" s="7"/>
      <c r="O85" s="7">
        <v>186521</v>
      </c>
      <c r="P85" s="7"/>
      <c r="Q85" s="7">
        <v>258739</v>
      </c>
      <c r="R85" s="7"/>
      <c r="S85" s="7"/>
      <c r="T85" s="7"/>
      <c r="U85" s="7"/>
      <c r="V85" s="7"/>
      <c r="W85" s="7">
        <v>196978</v>
      </c>
      <c r="X85" s="7"/>
      <c r="Y85" s="7"/>
      <c r="Z85" s="7"/>
      <c r="AA85" s="7"/>
      <c r="AB85" s="7"/>
      <c r="AC85" s="7"/>
      <c r="AD85" s="7">
        <f t="shared" si="38"/>
        <v>642238</v>
      </c>
      <c r="AE85" s="1"/>
      <c r="AF85" s="283">
        <f t="shared" si="7"/>
        <v>0</v>
      </c>
      <c r="AG85" s="283">
        <f t="shared" si="8"/>
        <v>0</v>
      </c>
      <c r="AH85" s="283">
        <f t="shared" si="9"/>
        <v>16451.150000000001</v>
      </c>
      <c r="AI85" s="283">
        <f t="shared" si="10"/>
        <v>0</v>
      </c>
      <c r="AJ85" s="283">
        <f t="shared" si="11"/>
        <v>10142.57</v>
      </c>
      <c r="AK85" s="283">
        <f t="shared" si="12"/>
        <v>0</v>
      </c>
      <c r="AL85" s="283">
        <f t="shared" si="13"/>
        <v>0</v>
      </c>
      <c r="AM85" s="283">
        <f t="shared" si="14"/>
        <v>0</v>
      </c>
      <c r="AN85" s="283">
        <f t="shared" si="15"/>
        <v>0</v>
      </c>
      <c r="AO85" s="283">
        <f t="shared" si="16"/>
        <v>0</v>
      </c>
      <c r="AP85" s="283">
        <f t="shared" si="17"/>
        <v>17373.46</v>
      </c>
      <c r="AQ85" s="283">
        <f t="shared" si="18"/>
        <v>0</v>
      </c>
      <c r="AR85" s="283">
        <f t="shared" si="19"/>
        <v>0</v>
      </c>
      <c r="AS85" s="283">
        <f t="shared" si="20"/>
        <v>0</v>
      </c>
      <c r="AT85" s="283">
        <f t="shared" si="21"/>
        <v>0</v>
      </c>
      <c r="AU85" s="283">
        <f t="shared" si="22"/>
        <v>0</v>
      </c>
      <c r="AV85" s="283">
        <f t="shared" si="23"/>
        <v>0</v>
      </c>
      <c r="AW85" s="320">
        <f t="shared" si="24"/>
        <v>43967.18</v>
      </c>
    </row>
    <row r="86" spans="1:49" x14ac:dyDescent="0.2">
      <c r="A86" s="1" t="s">
        <v>436</v>
      </c>
      <c r="B86" s="7">
        <v>205203</v>
      </c>
      <c r="C86" s="7">
        <v>0</v>
      </c>
      <c r="D86" s="2">
        <f>(B86+C86)*0.124</f>
        <v>25445.17</v>
      </c>
      <c r="E86" s="2">
        <f t="shared" si="40"/>
        <v>10054.950000000001</v>
      </c>
      <c r="F86" s="78">
        <f t="shared" si="37"/>
        <v>10752.64</v>
      </c>
      <c r="G86" s="2">
        <f t="shared" si="5"/>
        <v>18098.900000000001</v>
      </c>
      <c r="H86" s="2">
        <f t="shared" si="0"/>
        <v>2010.99</v>
      </c>
      <c r="I86" s="2">
        <f t="shared" si="6"/>
        <v>488.77</v>
      </c>
      <c r="J86" s="380">
        <f t="shared" si="1"/>
        <v>66851.42</v>
      </c>
      <c r="K86" s="1"/>
      <c r="L86" s="7"/>
      <c r="M86" s="7">
        <v>45221</v>
      </c>
      <c r="N86" s="7"/>
      <c r="O86" s="7">
        <v>41404</v>
      </c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>
        <v>118578</v>
      </c>
      <c r="AC86" s="7"/>
      <c r="AD86" s="7">
        <f t="shared" si="38"/>
        <v>205203</v>
      </c>
      <c r="AE86" s="1"/>
      <c r="AF86" s="283">
        <f t="shared" si="7"/>
        <v>3988.49</v>
      </c>
      <c r="AG86" s="283">
        <f t="shared" si="8"/>
        <v>0</v>
      </c>
      <c r="AH86" s="283">
        <f t="shared" si="9"/>
        <v>3651.83</v>
      </c>
      <c r="AI86" s="283">
        <f t="shared" si="10"/>
        <v>0</v>
      </c>
      <c r="AJ86" s="283">
        <f t="shared" si="11"/>
        <v>0</v>
      </c>
      <c r="AK86" s="283">
        <f t="shared" si="12"/>
        <v>0</v>
      </c>
      <c r="AL86" s="283">
        <f t="shared" si="13"/>
        <v>0</v>
      </c>
      <c r="AM86" s="283">
        <f t="shared" si="14"/>
        <v>0</v>
      </c>
      <c r="AN86" s="283">
        <f t="shared" si="15"/>
        <v>0</v>
      </c>
      <c r="AO86" s="283">
        <f t="shared" si="16"/>
        <v>0</v>
      </c>
      <c r="AP86" s="283">
        <f t="shared" si="17"/>
        <v>0</v>
      </c>
      <c r="AQ86" s="283">
        <f t="shared" si="18"/>
        <v>0</v>
      </c>
      <c r="AR86" s="283">
        <f t="shared" si="19"/>
        <v>0</v>
      </c>
      <c r="AS86" s="283">
        <f t="shared" si="20"/>
        <v>0</v>
      </c>
      <c r="AT86" s="283">
        <f t="shared" si="21"/>
        <v>0</v>
      </c>
      <c r="AU86" s="283">
        <f t="shared" si="22"/>
        <v>10458.58</v>
      </c>
      <c r="AV86" s="283">
        <f t="shared" si="23"/>
        <v>0</v>
      </c>
      <c r="AW86" s="320">
        <f t="shared" si="24"/>
        <v>18098.900000000001</v>
      </c>
    </row>
    <row r="87" spans="1:49" x14ac:dyDescent="0.2">
      <c r="A87" s="1" t="s">
        <v>349</v>
      </c>
      <c r="B87" s="7">
        <v>211515</v>
      </c>
      <c r="C87" s="7">
        <v>0</v>
      </c>
      <c r="D87" s="2">
        <f>(B87+C87)*0.124-0.01</f>
        <v>26227.85</v>
      </c>
      <c r="E87" s="2">
        <f t="shared" si="40"/>
        <v>10364.24</v>
      </c>
      <c r="F87" s="78">
        <f t="shared" si="37"/>
        <v>11083.39</v>
      </c>
      <c r="G87" s="2">
        <f t="shared" si="5"/>
        <v>14549.08</v>
      </c>
      <c r="H87" s="2">
        <f t="shared" si="0"/>
        <v>2072.85</v>
      </c>
      <c r="I87" s="2">
        <f t="shared" si="6"/>
        <v>0</v>
      </c>
      <c r="J87" s="380">
        <f t="shared" si="1"/>
        <v>64297.41</v>
      </c>
      <c r="K87" s="1"/>
      <c r="L87" s="7"/>
      <c r="M87" s="7"/>
      <c r="N87" s="7"/>
      <c r="O87" s="7">
        <v>127708</v>
      </c>
      <c r="P87" s="7"/>
      <c r="Q87" s="7"/>
      <c r="R87" s="7"/>
      <c r="S87" s="7"/>
      <c r="T87" s="7"/>
      <c r="U87" s="7"/>
      <c r="V87" s="7"/>
      <c r="W87" s="7"/>
      <c r="X87" s="7"/>
      <c r="Y87" s="7">
        <v>83807</v>
      </c>
      <c r="Z87" s="7"/>
      <c r="AA87" s="7"/>
      <c r="AB87" s="7"/>
      <c r="AC87" s="7"/>
      <c r="AD87" s="7">
        <f t="shared" ref="AD87:AD98" si="41">SUM(L87:AC87)</f>
        <v>211515</v>
      </c>
      <c r="AE87" s="1"/>
      <c r="AF87" s="283">
        <f t="shared" si="7"/>
        <v>0</v>
      </c>
      <c r="AG87" s="283">
        <f t="shared" si="8"/>
        <v>0</v>
      </c>
      <c r="AH87" s="283">
        <f t="shared" si="9"/>
        <v>11263.85</v>
      </c>
      <c r="AI87" s="283">
        <f t="shared" si="10"/>
        <v>0</v>
      </c>
      <c r="AJ87" s="283">
        <f t="shared" si="11"/>
        <v>0</v>
      </c>
      <c r="AK87" s="283">
        <f t="shared" si="12"/>
        <v>0</v>
      </c>
      <c r="AL87" s="283">
        <f t="shared" si="13"/>
        <v>0</v>
      </c>
      <c r="AM87" s="283">
        <f t="shared" si="14"/>
        <v>0</v>
      </c>
      <c r="AN87" s="283">
        <f t="shared" si="15"/>
        <v>0</v>
      </c>
      <c r="AO87" s="283">
        <f t="shared" si="16"/>
        <v>0</v>
      </c>
      <c r="AP87" s="283">
        <f t="shared" si="17"/>
        <v>0</v>
      </c>
      <c r="AQ87" s="283">
        <f t="shared" si="18"/>
        <v>0</v>
      </c>
      <c r="AR87" s="283">
        <f t="shared" si="19"/>
        <v>3285.23</v>
      </c>
      <c r="AS87" s="283">
        <f t="shared" si="20"/>
        <v>0</v>
      </c>
      <c r="AT87" s="283">
        <f t="shared" si="21"/>
        <v>0</v>
      </c>
      <c r="AU87" s="283">
        <f t="shared" si="22"/>
        <v>0</v>
      </c>
      <c r="AV87" s="283">
        <f t="shared" si="23"/>
        <v>0</v>
      </c>
      <c r="AW87" s="320">
        <f t="shared" si="24"/>
        <v>14549.08</v>
      </c>
    </row>
    <row r="88" spans="1:49" x14ac:dyDescent="0.2">
      <c r="A88" s="1" t="s">
        <v>608</v>
      </c>
      <c r="B88" s="7">
        <v>19479</v>
      </c>
      <c r="C88" s="7">
        <v>0</v>
      </c>
      <c r="D88" s="2">
        <f>(B88+C88)*0.124-760.35</f>
        <v>1655.05</v>
      </c>
      <c r="E88" s="2">
        <f>(B88+C88)*0.049-300.3</f>
        <v>654.16999999999996</v>
      </c>
      <c r="F88" s="78">
        <f>(B88+C88)*0.0524-320.73</f>
        <v>699.97</v>
      </c>
      <c r="G88" s="2">
        <f t="shared" si="5"/>
        <v>1177.51</v>
      </c>
      <c r="H88" s="2">
        <f>(B88+C88)*0.0098-60.06</f>
        <v>130.83000000000001</v>
      </c>
      <c r="I88" s="2">
        <f>(AB88)*0.0041219-80.29</f>
        <v>0</v>
      </c>
      <c r="J88" s="380">
        <f t="shared" si="1"/>
        <v>4317.53</v>
      </c>
      <c r="K88" s="1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>
        <v>19479</v>
      </c>
      <c r="AC88" s="7"/>
      <c r="AD88" s="7">
        <f>SUM(L88:AC88)</f>
        <v>19479</v>
      </c>
      <c r="AE88" s="1"/>
      <c r="AF88" s="283">
        <f t="shared" si="7"/>
        <v>0</v>
      </c>
      <c r="AG88" s="283">
        <f t="shared" si="8"/>
        <v>0</v>
      </c>
      <c r="AH88" s="283">
        <f t="shared" si="9"/>
        <v>0</v>
      </c>
      <c r="AI88" s="283">
        <f t="shared" si="10"/>
        <v>0</v>
      </c>
      <c r="AJ88" s="283">
        <f t="shared" si="11"/>
        <v>0</v>
      </c>
      <c r="AK88" s="283">
        <f t="shared" si="12"/>
        <v>0</v>
      </c>
      <c r="AL88" s="283">
        <f t="shared" si="13"/>
        <v>0</v>
      </c>
      <c r="AM88" s="283">
        <f t="shared" si="14"/>
        <v>0</v>
      </c>
      <c r="AN88" s="283">
        <f t="shared" si="15"/>
        <v>0</v>
      </c>
      <c r="AO88" s="283">
        <f t="shared" si="16"/>
        <v>0</v>
      </c>
      <c r="AP88" s="283">
        <f t="shared" si="17"/>
        <v>0</v>
      </c>
      <c r="AQ88" s="283">
        <f t="shared" si="18"/>
        <v>0</v>
      </c>
      <c r="AR88" s="283">
        <f t="shared" si="19"/>
        <v>0</v>
      </c>
      <c r="AS88" s="283">
        <f t="shared" si="20"/>
        <v>0</v>
      </c>
      <c r="AT88" s="283">
        <f t="shared" si="21"/>
        <v>0</v>
      </c>
      <c r="AU88" s="283">
        <f>+AB88*$AU$12-540.54</f>
        <v>1177.51</v>
      </c>
      <c r="AV88" s="283">
        <f t="shared" si="23"/>
        <v>0</v>
      </c>
      <c r="AW88" s="320">
        <f t="shared" si="24"/>
        <v>1177.51</v>
      </c>
    </row>
    <row r="89" spans="1:49" s="20" customFormat="1" x14ac:dyDescent="0.2">
      <c r="A89" s="18" t="s">
        <v>437</v>
      </c>
      <c r="B89" s="245">
        <v>934423</v>
      </c>
      <c r="C89" s="245">
        <v>0</v>
      </c>
      <c r="D89" s="2">
        <f>(B89+C89)*0.124-0.02</f>
        <v>115868.43</v>
      </c>
      <c r="E89" s="2">
        <f t="shared" si="40"/>
        <v>45786.73</v>
      </c>
      <c r="F89" s="78">
        <f t="shared" si="37"/>
        <v>48963.77</v>
      </c>
      <c r="G89" s="2">
        <f t="shared" si="5"/>
        <v>82416.11</v>
      </c>
      <c r="H89" s="2">
        <f t="shared" si="0"/>
        <v>9157.35</v>
      </c>
      <c r="I89" s="2">
        <f t="shared" si="6"/>
        <v>3058.65</v>
      </c>
      <c r="J89" s="380">
        <f t="shared" ref="J89:J117" si="42">SUM(D89:I89)</f>
        <v>305251.03999999998</v>
      </c>
      <c r="K89" s="18"/>
      <c r="L89" s="245"/>
      <c r="M89" s="245">
        <v>192374</v>
      </c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  <c r="AA89" s="245"/>
      <c r="AB89" s="245">
        <v>742049</v>
      </c>
      <c r="AC89" s="245"/>
      <c r="AD89" s="7">
        <f t="shared" si="41"/>
        <v>934423</v>
      </c>
      <c r="AE89" s="18"/>
      <c r="AF89" s="283">
        <f t="shared" si="7"/>
        <v>16967.39</v>
      </c>
      <c r="AG89" s="283">
        <f t="shared" si="8"/>
        <v>0</v>
      </c>
      <c r="AH89" s="283">
        <f t="shared" si="9"/>
        <v>0</v>
      </c>
      <c r="AI89" s="283">
        <f t="shared" si="10"/>
        <v>0</v>
      </c>
      <c r="AJ89" s="283">
        <f t="shared" si="11"/>
        <v>0</v>
      </c>
      <c r="AK89" s="283">
        <f t="shared" si="12"/>
        <v>0</v>
      </c>
      <c r="AL89" s="283">
        <f t="shared" si="13"/>
        <v>0</v>
      </c>
      <c r="AM89" s="283">
        <f t="shared" si="14"/>
        <v>0</v>
      </c>
      <c r="AN89" s="283">
        <f t="shared" si="15"/>
        <v>0</v>
      </c>
      <c r="AO89" s="283">
        <f t="shared" si="16"/>
        <v>0</v>
      </c>
      <c r="AP89" s="283">
        <f t="shared" si="17"/>
        <v>0</v>
      </c>
      <c r="AQ89" s="283">
        <f t="shared" si="18"/>
        <v>0</v>
      </c>
      <c r="AR89" s="283">
        <f t="shared" si="19"/>
        <v>0</v>
      </c>
      <c r="AS89" s="283">
        <f t="shared" si="20"/>
        <v>0</v>
      </c>
      <c r="AT89" s="283">
        <f t="shared" si="21"/>
        <v>0</v>
      </c>
      <c r="AU89" s="283">
        <f t="shared" si="22"/>
        <v>65448.72</v>
      </c>
      <c r="AV89" s="283">
        <f t="shared" si="23"/>
        <v>0</v>
      </c>
      <c r="AW89" s="320">
        <f t="shared" si="24"/>
        <v>82416.11</v>
      </c>
    </row>
    <row r="90" spans="1:49" s="20" customFormat="1" x14ac:dyDescent="0.2">
      <c r="A90" s="18" t="s">
        <v>59</v>
      </c>
      <c r="B90" s="245">
        <v>5764595</v>
      </c>
      <c r="C90" s="245">
        <v>2421939</v>
      </c>
      <c r="D90" s="2">
        <f>(B90+C90)*0.124</f>
        <v>1015130.22</v>
      </c>
      <c r="E90" s="78">
        <f t="shared" ref="E90:E96" si="43">(B90+C90)*0.049</f>
        <v>401140.17</v>
      </c>
      <c r="F90" s="78">
        <f t="shared" si="37"/>
        <v>428974.38</v>
      </c>
      <c r="G90" s="2">
        <f t="shared" ref="G90:G122" si="44">+AW90</f>
        <v>700111.82</v>
      </c>
      <c r="H90" s="2">
        <f>(B90+C90)*0.0098-0.01</f>
        <v>80228.02</v>
      </c>
      <c r="I90" s="2">
        <f t="shared" ref="I90:I122" si="45">(AB90)*0.0041219</f>
        <v>0</v>
      </c>
      <c r="J90" s="380">
        <f t="shared" si="42"/>
        <v>2625584.61</v>
      </c>
      <c r="K90" s="18"/>
      <c r="L90" s="245"/>
      <c r="M90" s="245"/>
      <c r="N90" s="245"/>
      <c r="O90" s="245">
        <v>7737228</v>
      </c>
      <c r="P90" s="245"/>
      <c r="Q90" s="245"/>
      <c r="R90" s="245">
        <v>7027</v>
      </c>
      <c r="S90" s="245"/>
      <c r="T90" s="245"/>
      <c r="U90" s="245">
        <v>1541</v>
      </c>
      <c r="V90" s="245">
        <v>2300</v>
      </c>
      <c r="W90" s="245"/>
      <c r="X90" s="245"/>
      <c r="Y90" s="245">
        <v>438438</v>
      </c>
      <c r="Z90" s="245"/>
      <c r="AA90" s="245"/>
      <c r="AB90" s="245"/>
      <c r="AC90" s="245"/>
      <c r="AD90" s="245">
        <f t="shared" si="41"/>
        <v>8186534</v>
      </c>
      <c r="AE90" s="245"/>
      <c r="AF90" s="283">
        <f t="shared" ref="AF90:AF122" si="46">+M90*$AF$12</f>
        <v>0</v>
      </c>
      <c r="AG90" s="283">
        <f t="shared" ref="AG90:AG122" si="47">+N90*$AG$12</f>
        <v>0</v>
      </c>
      <c r="AH90" s="283">
        <f t="shared" ref="AH90:AH122" si="48">+O90*$AH$12</f>
        <v>682423.51</v>
      </c>
      <c r="AI90" s="283">
        <f t="shared" ref="AI90:AI122" si="49">+P90*$AI$12</f>
        <v>0</v>
      </c>
      <c r="AJ90" s="283">
        <f t="shared" ref="AJ90:AJ122" si="50">+Q90*$AJ$12</f>
        <v>0</v>
      </c>
      <c r="AK90" s="283">
        <f t="shared" ref="AK90:AK122" si="51">+R90*$AK$12</f>
        <v>275.45999999999998</v>
      </c>
      <c r="AL90" s="283">
        <f t="shared" ref="AL90:AL122" si="52">+S90*$AL$12</f>
        <v>0</v>
      </c>
      <c r="AM90" s="283">
        <f t="shared" ref="AM90:AM122" si="53">+T90*$AM$12</f>
        <v>0</v>
      </c>
      <c r="AN90" s="283">
        <f t="shared" ref="AN90:AN122" si="54">+U90*$AN$12</f>
        <v>135.91999999999999</v>
      </c>
      <c r="AO90" s="283">
        <f t="shared" ref="AO90:AO122" si="55">+V90*$AO$12</f>
        <v>90.16</v>
      </c>
      <c r="AP90" s="283">
        <f t="shared" ref="AP90:AP122" si="56">+W90*$AP$12</f>
        <v>0</v>
      </c>
      <c r="AQ90" s="283">
        <f t="shared" ref="AQ90:AQ122" si="57">+X90*$AQ$12</f>
        <v>0</v>
      </c>
      <c r="AR90" s="283">
        <f t="shared" ref="AR90:AR122" si="58">+Y90*$AR$12</f>
        <v>17186.77</v>
      </c>
      <c r="AS90" s="283">
        <f t="shared" ref="AS90:AS122" si="59">+Z90*$AS$12</f>
        <v>0</v>
      </c>
      <c r="AT90" s="283">
        <f t="shared" ref="AT90:AT122" si="60">+AA90*$AT$12</f>
        <v>0</v>
      </c>
      <c r="AU90" s="283">
        <f t="shared" ref="AU90:AU122" si="61">+AB90*$AU$12</f>
        <v>0</v>
      </c>
      <c r="AV90" s="283">
        <f t="shared" ref="AV90:AV122" si="62">+AC90*$AV$12</f>
        <v>0</v>
      </c>
      <c r="AW90" s="320">
        <f t="shared" ref="AW90:AW122" si="63">SUM(AF90:AV90)</f>
        <v>700111.82</v>
      </c>
    </row>
    <row r="91" spans="1:49" x14ac:dyDescent="0.2">
      <c r="A91" s="1" t="s">
        <v>60</v>
      </c>
      <c r="B91" s="7">
        <v>377900</v>
      </c>
      <c r="C91" s="7">
        <v>0</v>
      </c>
      <c r="D91" s="2">
        <f>(B91+C91)*0.124</f>
        <v>46859.6</v>
      </c>
      <c r="E91" s="78">
        <f t="shared" si="43"/>
        <v>18517.099999999999</v>
      </c>
      <c r="F91" s="78">
        <f t="shared" si="37"/>
        <v>19801.96</v>
      </c>
      <c r="G91" s="2">
        <f t="shared" si="44"/>
        <v>26472.98</v>
      </c>
      <c r="H91" s="2">
        <f t="shared" si="0"/>
        <v>3703.42</v>
      </c>
      <c r="I91" s="2">
        <f t="shared" si="45"/>
        <v>0</v>
      </c>
      <c r="J91" s="380">
        <f t="shared" si="42"/>
        <v>115355.06</v>
      </c>
      <c r="K91" s="1"/>
      <c r="L91" s="7"/>
      <c r="M91" s="7"/>
      <c r="N91" s="7"/>
      <c r="O91" s="7"/>
      <c r="P91" s="7"/>
      <c r="Q91" s="7">
        <v>80577</v>
      </c>
      <c r="R91" s="7"/>
      <c r="S91" s="7"/>
      <c r="T91" s="7">
        <v>999</v>
      </c>
      <c r="U91" s="7"/>
      <c r="V91" s="7">
        <v>59380</v>
      </c>
      <c r="W91" s="7"/>
      <c r="X91" s="7"/>
      <c r="Y91" s="7"/>
      <c r="Z91" s="7"/>
      <c r="AA91" s="7"/>
      <c r="AB91" s="7"/>
      <c r="AC91" s="7">
        <v>236945</v>
      </c>
      <c r="AD91" s="7">
        <f t="shared" si="41"/>
        <v>377901</v>
      </c>
      <c r="AE91" s="7"/>
      <c r="AF91" s="283">
        <f t="shared" si="46"/>
        <v>0</v>
      </c>
      <c r="AG91" s="283">
        <f t="shared" si="47"/>
        <v>0</v>
      </c>
      <c r="AH91" s="283">
        <f t="shared" si="48"/>
        <v>0</v>
      </c>
      <c r="AI91" s="283">
        <f t="shared" si="49"/>
        <v>0</v>
      </c>
      <c r="AJ91" s="283">
        <f t="shared" si="50"/>
        <v>3158.62</v>
      </c>
      <c r="AK91" s="283">
        <f t="shared" si="51"/>
        <v>0</v>
      </c>
      <c r="AL91" s="283">
        <f t="shared" si="52"/>
        <v>0</v>
      </c>
      <c r="AM91" s="283">
        <f t="shared" si="53"/>
        <v>88.11</v>
      </c>
      <c r="AN91" s="283">
        <f t="shared" si="54"/>
        <v>0</v>
      </c>
      <c r="AO91" s="283">
        <f t="shared" si="55"/>
        <v>2327.6999999999998</v>
      </c>
      <c r="AP91" s="283">
        <f t="shared" si="56"/>
        <v>0</v>
      </c>
      <c r="AQ91" s="283">
        <f t="shared" si="57"/>
        <v>0</v>
      </c>
      <c r="AR91" s="283">
        <f t="shared" si="58"/>
        <v>0</v>
      </c>
      <c r="AS91" s="283">
        <f t="shared" si="59"/>
        <v>0</v>
      </c>
      <c r="AT91" s="283">
        <f t="shared" si="60"/>
        <v>0</v>
      </c>
      <c r="AU91" s="283">
        <f t="shared" si="61"/>
        <v>0</v>
      </c>
      <c r="AV91" s="283">
        <f t="shared" si="62"/>
        <v>20898.55</v>
      </c>
      <c r="AW91" s="320">
        <f t="shared" si="63"/>
        <v>26472.98</v>
      </c>
    </row>
    <row r="92" spans="1:49" ht="13.5" customHeight="1" x14ac:dyDescent="0.2">
      <c r="A92" s="1" t="s">
        <v>459</v>
      </c>
      <c r="B92" s="7">
        <v>8888</v>
      </c>
      <c r="C92" s="7">
        <v>0</v>
      </c>
      <c r="D92" s="2">
        <f>(B92+C92)*0.124</f>
        <v>1102.1099999999999</v>
      </c>
      <c r="E92" s="78">
        <f t="shared" si="43"/>
        <v>435.51</v>
      </c>
      <c r="F92" s="78">
        <f t="shared" si="37"/>
        <v>465.73</v>
      </c>
      <c r="G92" s="2">
        <f t="shared" si="44"/>
        <v>783.92</v>
      </c>
      <c r="H92" s="2">
        <f t="shared" si="0"/>
        <v>87.1</v>
      </c>
      <c r="I92" s="2">
        <f t="shared" si="45"/>
        <v>36.64</v>
      </c>
      <c r="J92" s="380">
        <f t="shared" si="42"/>
        <v>2911.01</v>
      </c>
      <c r="K92" s="1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>
        <v>8888</v>
      </c>
      <c r="AC92" s="7"/>
      <c r="AD92" s="7">
        <f t="shared" si="41"/>
        <v>8888</v>
      </c>
      <c r="AE92" s="1"/>
      <c r="AF92" s="283">
        <f t="shared" si="46"/>
        <v>0</v>
      </c>
      <c r="AG92" s="283">
        <f t="shared" si="47"/>
        <v>0</v>
      </c>
      <c r="AH92" s="283">
        <f t="shared" si="48"/>
        <v>0</v>
      </c>
      <c r="AI92" s="283">
        <f t="shared" si="49"/>
        <v>0</v>
      </c>
      <c r="AJ92" s="283">
        <f t="shared" si="50"/>
        <v>0</v>
      </c>
      <c r="AK92" s="283">
        <f t="shared" si="51"/>
        <v>0</v>
      </c>
      <c r="AL92" s="283">
        <f t="shared" si="52"/>
        <v>0</v>
      </c>
      <c r="AM92" s="283">
        <f t="shared" si="53"/>
        <v>0</v>
      </c>
      <c r="AN92" s="283">
        <f t="shared" si="54"/>
        <v>0</v>
      </c>
      <c r="AO92" s="283">
        <f t="shared" si="55"/>
        <v>0</v>
      </c>
      <c r="AP92" s="283">
        <f t="shared" si="56"/>
        <v>0</v>
      </c>
      <c r="AQ92" s="283">
        <f t="shared" si="57"/>
        <v>0</v>
      </c>
      <c r="AR92" s="283">
        <f t="shared" si="58"/>
        <v>0</v>
      </c>
      <c r="AS92" s="283">
        <f t="shared" si="59"/>
        <v>0</v>
      </c>
      <c r="AT92" s="283">
        <f t="shared" si="60"/>
        <v>0</v>
      </c>
      <c r="AU92" s="283">
        <f t="shared" si="61"/>
        <v>783.92</v>
      </c>
      <c r="AV92" s="283">
        <f t="shared" si="62"/>
        <v>0</v>
      </c>
      <c r="AW92" s="320">
        <f t="shared" si="63"/>
        <v>783.92</v>
      </c>
    </row>
    <row r="93" spans="1:49" s="20" customFormat="1" x14ac:dyDescent="0.2">
      <c r="A93" s="18" t="s">
        <v>61</v>
      </c>
      <c r="B93" s="245">
        <v>2629995</v>
      </c>
      <c r="C93" s="245">
        <v>68239</v>
      </c>
      <c r="D93" s="2">
        <f>(B93+C93)*0.124-0.01</f>
        <v>334581.01</v>
      </c>
      <c r="E93" s="78">
        <f t="shared" si="43"/>
        <v>132213.47</v>
      </c>
      <c r="F93" s="78">
        <f t="shared" si="37"/>
        <v>141387.46</v>
      </c>
      <c r="G93" s="2">
        <f t="shared" si="44"/>
        <v>234184.98</v>
      </c>
      <c r="H93" s="2">
        <f t="shared" si="0"/>
        <v>26442.69</v>
      </c>
      <c r="I93" s="2">
        <f t="shared" si="45"/>
        <v>1593.12</v>
      </c>
      <c r="J93" s="380">
        <f t="shared" si="42"/>
        <v>870402.73</v>
      </c>
      <c r="K93" s="18"/>
      <c r="L93" s="245"/>
      <c r="M93" s="245">
        <v>265052</v>
      </c>
      <c r="N93" s="245">
        <v>69140</v>
      </c>
      <c r="O93" s="245">
        <v>1731994</v>
      </c>
      <c r="P93" s="245">
        <v>57992</v>
      </c>
      <c r="Q93" s="245"/>
      <c r="R93" s="245">
        <v>4009</v>
      </c>
      <c r="S93" s="245"/>
      <c r="T93" s="245"/>
      <c r="U93" s="245"/>
      <c r="V93" s="245"/>
      <c r="W93" s="245">
        <v>132622</v>
      </c>
      <c r="X93" s="245">
        <v>3998</v>
      </c>
      <c r="Y93" s="245">
        <v>15535</v>
      </c>
      <c r="Z93" s="245">
        <v>31390</v>
      </c>
      <c r="AA93" s="245"/>
      <c r="AB93" s="245">
        <v>386502</v>
      </c>
      <c r="AC93" s="245"/>
      <c r="AD93" s="245">
        <f t="shared" si="41"/>
        <v>2698234</v>
      </c>
      <c r="AE93" s="18"/>
      <c r="AF93" s="283">
        <f t="shared" si="46"/>
        <v>23377.59</v>
      </c>
      <c r="AG93" s="283">
        <f t="shared" si="47"/>
        <v>6098.15</v>
      </c>
      <c r="AH93" s="283">
        <f t="shared" si="48"/>
        <v>152761.87</v>
      </c>
      <c r="AI93" s="283">
        <f t="shared" si="49"/>
        <v>2273.29</v>
      </c>
      <c r="AJ93" s="283">
        <f t="shared" si="50"/>
        <v>0</v>
      </c>
      <c r="AK93" s="283">
        <f t="shared" si="51"/>
        <v>157.15</v>
      </c>
      <c r="AL93" s="283">
        <f t="shared" si="52"/>
        <v>0</v>
      </c>
      <c r="AM93" s="283">
        <f t="shared" si="53"/>
        <v>0</v>
      </c>
      <c r="AN93" s="283">
        <f t="shared" si="54"/>
        <v>0</v>
      </c>
      <c r="AO93" s="283">
        <f t="shared" si="55"/>
        <v>0</v>
      </c>
      <c r="AP93" s="283">
        <f t="shared" si="56"/>
        <v>11697.26</v>
      </c>
      <c r="AQ93" s="283">
        <f t="shared" si="57"/>
        <v>352.62</v>
      </c>
      <c r="AR93" s="283">
        <f t="shared" si="58"/>
        <v>608.97</v>
      </c>
      <c r="AS93" s="283">
        <f t="shared" si="59"/>
        <v>2768.6</v>
      </c>
      <c r="AT93" s="283">
        <f t="shared" si="60"/>
        <v>0</v>
      </c>
      <c r="AU93" s="283">
        <f t="shared" si="61"/>
        <v>34089.480000000003</v>
      </c>
      <c r="AV93" s="283">
        <f t="shared" si="62"/>
        <v>0</v>
      </c>
      <c r="AW93" s="320">
        <f t="shared" si="63"/>
        <v>234184.98</v>
      </c>
    </row>
    <row r="94" spans="1:49" s="20" customFormat="1" x14ac:dyDescent="0.2">
      <c r="A94" s="1" t="s">
        <v>460</v>
      </c>
      <c r="B94" s="7">
        <v>68707</v>
      </c>
      <c r="C94" s="7">
        <v>0</v>
      </c>
      <c r="D94" s="2">
        <f>(B94+C94)*0.124-0.01</f>
        <v>8519.66</v>
      </c>
      <c r="E94" s="2">
        <f t="shared" si="43"/>
        <v>3366.64</v>
      </c>
      <c r="F94" s="78">
        <f t="shared" si="37"/>
        <v>3600.25</v>
      </c>
      <c r="G94" s="2">
        <f t="shared" si="44"/>
        <v>6033.74</v>
      </c>
      <c r="H94" s="2">
        <f t="shared" si="0"/>
        <v>673.33</v>
      </c>
      <c r="I94" s="2">
        <f t="shared" si="45"/>
        <v>9.69</v>
      </c>
      <c r="J94" s="380">
        <f t="shared" si="42"/>
        <v>22203.31</v>
      </c>
      <c r="K94" s="1"/>
      <c r="L94" s="7"/>
      <c r="M94" s="7"/>
      <c r="N94" s="7">
        <v>388</v>
      </c>
      <c r="O94" s="7"/>
      <c r="P94" s="7">
        <v>535</v>
      </c>
      <c r="Q94" s="7"/>
      <c r="R94" s="7"/>
      <c r="S94" s="7"/>
      <c r="T94" s="7"/>
      <c r="U94" s="7"/>
      <c r="V94" s="7"/>
      <c r="W94" s="7">
        <v>64612</v>
      </c>
      <c r="X94" s="7">
        <v>822</v>
      </c>
      <c r="Y94" s="7"/>
      <c r="Z94" s="7"/>
      <c r="AA94" s="7"/>
      <c r="AB94" s="7">
        <v>2350</v>
      </c>
      <c r="AC94" s="7"/>
      <c r="AD94" s="7">
        <f t="shared" si="41"/>
        <v>68707</v>
      </c>
      <c r="AE94" s="245"/>
      <c r="AF94" s="283">
        <f t="shared" si="46"/>
        <v>0</v>
      </c>
      <c r="AG94" s="283">
        <f t="shared" si="47"/>
        <v>34.22</v>
      </c>
      <c r="AH94" s="283">
        <f t="shared" si="48"/>
        <v>0</v>
      </c>
      <c r="AI94" s="283">
        <f t="shared" si="49"/>
        <v>20.97</v>
      </c>
      <c r="AJ94" s="283">
        <f t="shared" si="50"/>
        <v>0</v>
      </c>
      <c r="AK94" s="283">
        <f t="shared" si="51"/>
        <v>0</v>
      </c>
      <c r="AL94" s="283">
        <f t="shared" si="52"/>
        <v>0</v>
      </c>
      <c r="AM94" s="283">
        <f t="shared" si="53"/>
        <v>0</v>
      </c>
      <c r="AN94" s="283">
        <f t="shared" si="54"/>
        <v>0</v>
      </c>
      <c r="AO94" s="283">
        <f t="shared" si="55"/>
        <v>0</v>
      </c>
      <c r="AP94" s="283">
        <f t="shared" si="56"/>
        <v>5698.78</v>
      </c>
      <c r="AQ94" s="283">
        <f t="shared" si="57"/>
        <v>72.5</v>
      </c>
      <c r="AR94" s="283">
        <f t="shared" si="58"/>
        <v>0</v>
      </c>
      <c r="AS94" s="283">
        <f t="shared" si="59"/>
        <v>0</v>
      </c>
      <c r="AT94" s="283">
        <f t="shared" si="60"/>
        <v>0</v>
      </c>
      <c r="AU94" s="283">
        <f t="shared" si="61"/>
        <v>207.27</v>
      </c>
      <c r="AV94" s="283">
        <f t="shared" si="62"/>
        <v>0</v>
      </c>
      <c r="AW94" s="320">
        <f t="shared" si="63"/>
        <v>6033.74</v>
      </c>
    </row>
    <row r="95" spans="1:49" s="20" customFormat="1" x14ac:dyDescent="0.2">
      <c r="A95" s="18" t="s">
        <v>62</v>
      </c>
      <c r="B95" s="245">
        <v>49140</v>
      </c>
      <c r="C95" s="245">
        <v>0</v>
      </c>
      <c r="D95" s="2">
        <f>(B95+C95)*0.124</f>
        <v>6093.36</v>
      </c>
      <c r="E95" s="78">
        <f t="shared" si="43"/>
        <v>2407.86</v>
      </c>
      <c r="F95" s="78">
        <f t="shared" si="37"/>
        <v>2574.94</v>
      </c>
      <c r="G95" s="2">
        <f t="shared" si="44"/>
        <v>4334.1499999999996</v>
      </c>
      <c r="H95" s="2">
        <f t="shared" si="0"/>
        <v>481.57</v>
      </c>
      <c r="I95" s="2">
        <f t="shared" si="45"/>
        <v>0</v>
      </c>
      <c r="J95" s="380">
        <f t="shared" si="42"/>
        <v>15891.88</v>
      </c>
      <c r="K95" s="18"/>
      <c r="L95" s="245"/>
      <c r="M95" s="245"/>
      <c r="N95" s="245"/>
      <c r="O95" s="245"/>
      <c r="P95" s="245"/>
      <c r="Q95" s="245"/>
      <c r="R95" s="245"/>
      <c r="S95" s="245"/>
      <c r="T95" s="245">
        <v>48440</v>
      </c>
      <c r="U95" s="245"/>
      <c r="V95" s="245"/>
      <c r="W95" s="245"/>
      <c r="X95" s="245"/>
      <c r="Y95" s="245"/>
      <c r="Z95" s="245">
        <v>700</v>
      </c>
      <c r="AA95" s="245"/>
      <c r="AB95" s="245"/>
      <c r="AC95" s="245"/>
      <c r="AD95" s="245">
        <f t="shared" si="41"/>
        <v>49140</v>
      </c>
      <c r="AE95" s="245"/>
      <c r="AF95" s="283">
        <f t="shared" si="46"/>
        <v>0</v>
      </c>
      <c r="AG95" s="283">
        <f t="shared" si="47"/>
        <v>0</v>
      </c>
      <c r="AH95" s="283">
        <f t="shared" si="48"/>
        <v>0</v>
      </c>
      <c r="AI95" s="283">
        <f t="shared" si="49"/>
        <v>0</v>
      </c>
      <c r="AJ95" s="283">
        <f t="shared" si="50"/>
        <v>0</v>
      </c>
      <c r="AK95" s="283">
        <f t="shared" si="51"/>
        <v>0</v>
      </c>
      <c r="AL95" s="283">
        <f t="shared" si="52"/>
        <v>0</v>
      </c>
      <c r="AM95" s="283">
        <f t="shared" si="53"/>
        <v>4272.41</v>
      </c>
      <c r="AN95" s="283">
        <f t="shared" si="54"/>
        <v>0</v>
      </c>
      <c r="AO95" s="283">
        <f t="shared" si="55"/>
        <v>0</v>
      </c>
      <c r="AP95" s="283">
        <f t="shared" si="56"/>
        <v>0</v>
      </c>
      <c r="AQ95" s="283">
        <f t="shared" si="57"/>
        <v>0</v>
      </c>
      <c r="AR95" s="283">
        <f t="shared" si="58"/>
        <v>0</v>
      </c>
      <c r="AS95" s="283">
        <f t="shared" si="59"/>
        <v>61.74</v>
      </c>
      <c r="AT95" s="283">
        <f t="shared" si="60"/>
        <v>0</v>
      </c>
      <c r="AU95" s="283">
        <f t="shared" si="61"/>
        <v>0</v>
      </c>
      <c r="AV95" s="283">
        <f t="shared" si="62"/>
        <v>0</v>
      </c>
      <c r="AW95" s="320">
        <f t="shared" si="63"/>
        <v>4334.1499999999996</v>
      </c>
    </row>
    <row r="96" spans="1:49" x14ac:dyDescent="0.2">
      <c r="A96" s="1" t="s">
        <v>63</v>
      </c>
      <c r="B96" s="7">
        <v>12673</v>
      </c>
      <c r="C96" s="7">
        <v>0</v>
      </c>
      <c r="D96" s="2">
        <f>(B96+C96)*0.124-0.01</f>
        <v>1571.44</v>
      </c>
      <c r="E96" s="2">
        <f t="shared" si="43"/>
        <v>620.98</v>
      </c>
      <c r="F96" s="78">
        <f t="shared" si="37"/>
        <v>664.07</v>
      </c>
      <c r="G96" s="2">
        <f t="shared" si="44"/>
        <v>1117.76</v>
      </c>
      <c r="H96" s="2">
        <f t="shared" si="0"/>
        <v>124.2</v>
      </c>
      <c r="I96" s="2">
        <f t="shared" si="45"/>
        <v>0</v>
      </c>
      <c r="J96" s="380">
        <f t="shared" si="42"/>
        <v>4098.45</v>
      </c>
      <c r="K96" s="1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>
        <v>12673</v>
      </c>
      <c r="AD96" s="7">
        <f t="shared" si="41"/>
        <v>12673</v>
      </c>
      <c r="AE96" s="7"/>
      <c r="AF96" s="283">
        <f t="shared" si="46"/>
        <v>0</v>
      </c>
      <c r="AG96" s="283">
        <f t="shared" si="47"/>
        <v>0</v>
      </c>
      <c r="AH96" s="283">
        <f t="shared" si="48"/>
        <v>0</v>
      </c>
      <c r="AI96" s="283">
        <f t="shared" si="49"/>
        <v>0</v>
      </c>
      <c r="AJ96" s="283">
        <f t="shared" si="50"/>
        <v>0</v>
      </c>
      <c r="AK96" s="283">
        <f t="shared" si="51"/>
        <v>0</v>
      </c>
      <c r="AL96" s="283">
        <f t="shared" si="52"/>
        <v>0</v>
      </c>
      <c r="AM96" s="283">
        <f t="shared" si="53"/>
        <v>0</v>
      </c>
      <c r="AN96" s="283">
        <f t="shared" si="54"/>
        <v>0</v>
      </c>
      <c r="AO96" s="283">
        <f t="shared" si="55"/>
        <v>0</v>
      </c>
      <c r="AP96" s="283">
        <f t="shared" si="56"/>
        <v>0</v>
      </c>
      <c r="AQ96" s="283">
        <f t="shared" si="57"/>
        <v>0</v>
      </c>
      <c r="AR96" s="283">
        <f t="shared" si="58"/>
        <v>0</v>
      </c>
      <c r="AS96" s="283">
        <f t="shared" si="59"/>
        <v>0</v>
      </c>
      <c r="AT96" s="283">
        <f t="shared" si="60"/>
        <v>0</v>
      </c>
      <c r="AU96" s="283">
        <f t="shared" si="61"/>
        <v>0</v>
      </c>
      <c r="AV96" s="283">
        <f t="shared" si="62"/>
        <v>1117.76</v>
      </c>
      <c r="AW96" s="320">
        <f t="shared" si="63"/>
        <v>1117.76</v>
      </c>
    </row>
    <row r="97" spans="1:49" x14ac:dyDescent="0.2">
      <c r="A97" s="1" t="s">
        <v>64</v>
      </c>
      <c r="B97" s="7">
        <v>28358</v>
      </c>
      <c r="C97" s="7">
        <v>0</v>
      </c>
      <c r="D97" s="2">
        <f>(B97+C97)*0.124</f>
        <v>3516.39</v>
      </c>
      <c r="E97" s="2">
        <f t="shared" ref="E97:E105" si="64">(B97+C97)*0.049</f>
        <v>1389.54</v>
      </c>
      <c r="F97" s="78">
        <f t="shared" si="37"/>
        <v>1485.96</v>
      </c>
      <c r="G97" s="2">
        <f t="shared" si="44"/>
        <v>2501.1799999999998</v>
      </c>
      <c r="H97" s="2">
        <f t="shared" si="0"/>
        <v>277.91000000000003</v>
      </c>
      <c r="I97" s="2">
        <f t="shared" si="45"/>
        <v>0</v>
      </c>
      <c r="J97" s="380">
        <f t="shared" si="42"/>
        <v>9170.98</v>
      </c>
      <c r="K97" s="1"/>
      <c r="L97" s="7"/>
      <c r="M97" s="7"/>
      <c r="N97" s="7"/>
      <c r="O97" s="7"/>
      <c r="P97" s="7"/>
      <c r="Q97" s="7"/>
      <c r="R97" s="7"/>
      <c r="S97" s="7"/>
      <c r="T97" s="7">
        <v>27283</v>
      </c>
      <c r="U97" s="7"/>
      <c r="V97" s="7"/>
      <c r="W97" s="7"/>
      <c r="X97" s="7"/>
      <c r="Y97" s="7"/>
      <c r="Z97" s="7">
        <v>1075</v>
      </c>
      <c r="AA97" s="7"/>
      <c r="AB97" s="7"/>
      <c r="AC97" s="7"/>
      <c r="AD97" s="7">
        <f t="shared" si="41"/>
        <v>28358</v>
      </c>
      <c r="AE97" s="7"/>
      <c r="AF97" s="283">
        <f t="shared" si="46"/>
        <v>0</v>
      </c>
      <c r="AG97" s="283">
        <f t="shared" si="47"/>
        <v>0</v>
      </c>
      <c r="AH97" s="283">
        <f t="shared" si="48"/>
        <v>0</v>
      </c>
      <c r="AI97" s="283">
        <f t="shared" si="49"/>
        <v>0</v>
      </c>
      <c r="AJ97" s="283">
        <f t="shared" si="50"/>
        <v>0</v>
      </c>
      <c r="AK97" s="283">
        <f t="shared" si="51"/>
        <v>0</v>
      </c>
      <c r="AL97" s="283">
        <f t="shared" si="52"/>
        <v>0</v>
      </c>
      <c r="AM97" s="283">
        <f t="shared" si="53"/>
        <v>2406.36</v>
      </c>
      <c r="AN97" s="283">
        <f t="shared" si="54"/>
        <v>0</v>
      </c>
      <c r="AO97" s="283">
        <f t="shared" si="55"/>
        <v>0</v>
      </c>
      <c r="AP97" s="283">
        <f t="shared" si="56"/>
        <v>0</v>
      </c>
      <c r="AQ97" s="283">
        <f t="shared" si="57"/>
        <v>0</v>
      </c>
      <c r="AR97" s="283">
        <f t="shared" si="58"/>
        <v>0</v>
      </c>
      <c r="AS97" s="283">
        <f t="shared" si="59"/>
        <v>94.82</v>
      </c>
      <c r="AT97" s="283">
        <f t="shared" si="60"/>
        <v>0</v>
      </c>
      <c r="AU97" s="283">
        <f t="shared" si="61"/>
        <v>0</v>
      </c>
      <c r="AV97" s="283">
        <f t="shared" si="62"/>
        <v>0</v>
      </c>
      <c r="AW97" s="320">
        <f t="shared" si="63"/>
        <v>2501.1799999999998</v>
      </c>
    </row>
    <row r="98" spans="1:49" x14ac:dyDescent="0.2">
      <c r="A98" s="18" t="s">
        <v>723</v>
      </c>
      <c r="B98" s="7">
        <v>453725</v>
      </c>
      <c r="C98" s="7">
        <v>0</v>
      </c>
      <c r="D98" s="2">
        <f>(B98+C98)*0.124-0.02</f>
        <v>56261.88</v>
      </c>
      <c r="E98" s="2">
        <f>(B98+C98)*0.049</f>
        <v>22232.53</v>
      </c>
      <c r="F98" s="2">
        <f>(B98+C98)*0.0524</f>
        <v>23775.19</v>
      </c>
      <c r="G98" s="2">
        <f>+AW98</f>
        <v>40018.550000000003</v>
      </c>
      <c r="H98" s="2">
        <f>(B98+C98)*0.0098</f>
        <v>4446.51</v>
      </c>
      <c r="I98" s="2">
        <f>(AB98)*0.0041219</f>
        <v>1870.21</v>
      </c>
      <c r="J98" s="380">
        <f>SUM(D98:I98)</f>
        <v>148604.87</v>
      </c>
      <c r="K98" s="1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>
        <v>453725</v>
      </c>
      <c r="AC98" s="7"/>
      <c r="AD98" s="7">
        <f t="shared" si="41"/>
        <v>453725</v>
      </c>
      <c r="AF98" s="283">
        <f>+M98*$AF$12</f>
        <v>0</v>
      </c>
      <c r="AG98" s="283">
        <f>+N98*$AG$12</f>
        <v>0</v>
      </c>
      <c r="AH98" s="283">
        <f>+O98*$AH$12</f>
        <v>0</v>
      </c>
      <c r="AI98" s="283">
        <f>+P98*$AI$12</f>
        <v>0</v>
      </c>
      <c r="AJ98" s="283">
        <f>+Q98*$AJ$12</f>
        <v>0</v>
      </c>
      <c r="AK98" s="283">
        <f>+R98*$AK$12</f>
        <v>0</v>
      </c>
      <c r="AL98" s="283">
        <f>+S98*$AL$12</f>
        <v>0</v>
      </c>
      <c r="AM98" s="283">
        <f>+T98*$AM$12</f>
        <v>0</v>
      </c>
      <c r="AN98" s="283">
        <f>+U98*$AN$12</f>
        <v>0</v>
      </c>
      <c r="AO98" s="283">
        <f>+V98*$AO$12</f>
        <v>0</v>
      </c>
      <c r="AP98" s="283">
        <f>+W98*$AP$12</f>
        <v>0</v>
      </c>
      <c r="AQ98" s="283">
        <f>+X98*$AQ$12</f>
        <v>0</v>
      </c>
      <c r="AR98" s="283">
        <f>+Y98*$AR$12</f>
        <v>0</v>
      </c>
      <c r="AS98" s="283">
        <f>+Z98*$AS$12</f>
        <v>0</v>
      </c>
      <c r="AT98" s="283">
        <f>+AA98*$AT$12</f>
        <v>0</v>
      </c>
      <c r="AU98" s="283">
        <f>+AB98*$AU$12</f>
        <v>40018.550000000003</v>
      </c>
      <c r="AV98" s="283">
        <f>+AC98*$AV$12</f>
        <v>0</v>
      </c>
      <c r="AW98" s="320">
        <f>SUM(AF98:AV98)</f>
        <v>40018.550000000003</v>
      </c>
    </row>
    <row r="99" spans="1:49" s="20" customFormat="1" x14ac:dyDescent="0.2">
      <c r="A99" s="18" t="s">
        <v>65</v>
      </c>
      <c r="B99" s="245">
        <v>1848</v>
      </c>
      <c r="C99" s="245">
        <v>0</v>
      </c>
      <c r="D99" s="2">
        <f>(B99+C99)*0.124+0.01</f>
        <v>229.16</v>
      </c>
      <c r="E99" s="78">
        <f t="shared" si="64"/>
        <v>90.55</v>
      </c>
      <c r="F99" s="78">
        <f t="shared" si="37"/>
        <v>96.84</v>
      </c>
      <c r="G99" s="2">
        <f t="shared" si="44"/>
        <v>162.99</v>
      </c>
      <c r="H99" s="2">
        <f t="shared" ref="H99:H122" si="65">(B99+C99)*0.0098</f>
        <v>18.11</v>
      </c>
      <c r="I99" s="2">
        <f t="shared" si="45"/>
        <v>0</v>
      </c>
      <c r="J99" s="380">
        <f t="shared" si="42"/>
        <v>597.65</v>
      </c>
      <c r="K99" s="18"/>
      <c r="L99" s="245"/>
      <c r="M99" s="245"/>
      <c r="N99" s="245"/>
      <c r="O99" s="245">
        <v>1848</v>
      </c>
      <c r="P99" s="245"/>
      <c r="Q99" s="245"/>
      <c r="R99" s="245"/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5"/>
      <c r="AD99" s="245">
        <f t="shared" ref="AD99:AD105" si="66">SUM(L99:AC99)</f>
        <v>1848</v>
      </c>
      <c r="AE99" s="245"/>
      <c r="AF99" s="283">
        <f t="shared" si="46"/>
        <v>0</v>
      </c>
      <c r="AG99" s="283">
        <f t="shared" si="47"/>
        <v>0</v>
      </c>
      <c r="AH99" s="283">
        <f t="shared" si="48"/>
        <v>162.99</v>
      </c>
      <c r="AI99" s="283">
        <f t="shared" si="49"/>
        <v>0</v>
      </c>
      <c r="AJ99" s="283">
        <f t="shared" si="50"/>
        <v>0</v>
      </c>
      <c r="AK99" s="283">
        <f t="shared" si="51"/>
        <v>0</v>
      </c>
      <c r="AL99" s="283">
        <f t="shared" si="52"/>
        <v>0</v>
      </c>
      <c r="AM99" s="283">
        <f t="shared" si="53"/>
        <v>0</v>
      </c>
      <c r="AN99" s="283">
        <f t="shared" si="54"/>
        <v>0</v>
      </c>
      <c r="AO99" s="283">
        <f t="shared" si="55"/>
        <v>0</v>
      </c>
      <c r="AP99" s="283">
        <f t="shared" si="56"/>
        <v>0</v>
      </c>
      <c r="AQ99" s="283">
        <f t="shared" si="57"/>
        <v>0</v>
      </c>
      <c r="AR99" s="283">
        <f t="shared" si="58"/>
        <v>0</v>
      </c>
      <c r="AS99" s="283">
        <f t="shared" si="59"/>
        <v>0</v>
      </c>
      <c r="AT99" s="283">
        <f t="shared" si="60"/>
        <v>0</v>
      </c>
      <c r="AU99" s="283">
        <f t="shared" si="61"/>
        <v>0</v>
      </c>
      <c r="AV99" s="283">
        <f t="shared" si="62"/>
        <v>0</v>
      </c>
      <c r="AW99" s="320">
        <f t="shared" si="63"/>
        <v>162.99</v>
      </c>
    </row>
    <row r="100" spans="1:49" s="20" customFormat="1" x14ac:dyDescent="0.2">
      <c r="A100" s="18" t="s">
        <v>573</v>
      </c>
      <c r="B100" s="245">
        <v>27894</v>
      </c>
      <c r="C100" s="245">
        <v>0</v>
      </c>
      <c r="D100" s="2">
        <f>(B100+C100)*0.124-0.01</f>
        <v>3458.85</v>
      </c>
      <c r="E100" s="78">
        <f t="shared" si="64"/>
        <v>1366.81</v>
      </c>
      <c r="F100" s="78">
        <f t="shared" ref="F100:F107" si="67">(B100+C100)*0.0524</f>
        <v>1461.65</v>
      </c>
      <c r="G100" s="2">
        <f t="shared" si="44"/>
        <v>1093.44</v>
      </c>
      <c r="H100" s="2">
        <f t="shared" si="65"/>
        <v>273.36</v>
      </c>
      <c r="I100" s="2">
        <f t="shared" si="45"/>
        <v>0</v>
      </c>
      <c r="J100" s="380">
        <f t="shared" si="42"/>
        <v>7654.11</v>
      </c>
      <c r="K100" s="18"/>
      <c r="L100" s="245"/>
      <c r="M100" s="245"/>
      <c r="N100" s="245"/>
      <c r="O100" s="245"/>
      <c r="P100" s="245"/>
      <c r="Q100" s="245"/>
      <c r="R100" s="245"/>
      <c r="S100" s="245">
        <v>27894</v>
      </c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>
        <f t="shared" si="66"/>
        <v>27894</v>
      </c>
      <c r="AE100" s="18"/>
      <c r="AF100" s="283">
        <f t="shared" si="46"/>
        <v>0</v>
      </c>
      <c r="AG100" s="283">
        <f t="shared" si="47"/>
        <v>0</v>
      </c>
      <c r="AH100" s="283">
        <f t="shared" si="48"/>
        <v>0</v>
      </c>
      <c r="AI100" s="283">
        <f t="shared" si="49"/>
        <v>0</v>
      </c>
      <c r="AJ100" s="283">
        <f t="shared" si="50"/>
        <v>0</v>
      </c>
      <c r="AK100" s="283">
        <f t="shared" si="51"/>
        <v>0</v>
      </c>
      <c r="AL100" s="283">
        <f t="shared" si="52"/>
        <v>1093.44</v>
      </c>
      <c r="AM100" s="283">
        <f t="shared" si="53"/>
        <v>0</v>
      </c>
      <c r="AN100" s="283">
        <f t="shared" si="54"/>
        <v>0</v>
      </c>
      <c r="AO100" s="283">
        <f t="shared" si="55"/>
        <v>0</v>
      </c>
      <c r="AP100" s="283">
        <f t="shared" si="56"/>
        <v>0</v>
      </c>
      <c r="AQ100" s="283">
        <f t="shared" si="57"/>
        <v>0</v>
      </c>
      <c r="AR100" s="283">
        <f t="shared" si="58"/>
        <v>0</v>
      </c>
      <c r="AS100" s="283">
        <f t="shared" si="59"/>
        <v>0</v>
      </c>
      <c r="AT100" s="283">
        <f t="shared" si="60"/>
        <v>0</v>
      </c>
      <c r="AU100" s="283">
        <f t="shared" si="61"/>
        <v>0</v>
      </c>
      <c r="AV100" s="283">
        <f t="shared" si="62"/>
        <v>0</v>
      </c>
      <c r="AW100" s="320">
        <f t="shared" si="63"/>
        <v>1093.44</v>
      </c>
    </row>
    <row r="101" spans="1:49" s="20" customFormat="1" x14ac:dyDescent="0.2">
      <c r="A101" s="18" t="s">
        <v>438</v>
      </c>
      <c r="B101" s="245">
        <v>1639517</v>
      </c>
      <c r="C101" s="245">
        <v>0</v>
      </c>
      <c r="D101" s="2">
        <f t="shared" ref="D101:D121" si="68">(B101+C101)*0.124</f>
        <v>203300.11</v>
      </c>
      <c r="E101" s="78">
        <f t="shared" si="64"/>
        <v>80336.33</v>
      </c>
      <c r="F101" s="78">
        <f t="shared" si="67"/>
        <v>85910.69</v>
      </c>
      <c r="G101" s="2">
        <f t="shared" si="44"/>
        <v>121982.15</v>
      </c>
      <c r="H101" s="2">
        <f t="shared" si="65"/>
        <v>16067.27</v>
      </c>
      <c r="I101" s="2">
        <f t="shared" si="45"/>
        <v>0</v>
      </c>
      <c r="J101" s="380">
        <f t="shared" si="42"/>
        <v>507596.55</v>
      </c>
      <c r="K101" s="18"/>
      <c r="L101" s="245"/>
      <c r="M101" s="245"/>
      <c r="N101" s="245"/>
      <c r="O101" s="245">
        <v>953223</v>
      </c>
      <c r="P101" s="245"/>
      <c r="Q101" s="245">
        <v>225366</v>
      </c>
      <c r="R101" s="245"/>
      <c r="S101" s="245"/>
      <c r="T101" s="245"/>
      <c r="U101" s="245"/>
      <c r="V101" s="245"/>
      <c r="W101" s="245">
        <v>224595</v>
      </c>
      <c r="X101" s="245"/>
      <c r="Y101" s="245">
        <v>236333</v>
      </c>
      <c r="Z101" s="245"/>
      <c r="AA101" s="245"/>
      <c r="AB101" s="245"/>
      <c r="AC101" s="245"/>
      <c r="AD101" s="245">
        <f t="shared" si="66"/>
        <v>1639517</v>
      </c>
      <c r="AE101" s="18"/>
      <c r="AF101" s="283">
        <f t="shared" si="46"/>
        <v>0</v>
      </c>
      <c r="AG101" s="283">
        <f t="shared" si="47"/>
        <v>0</v>
      </c>
      <c r="AH101" s="283">
        <f t="shared" si="48"/>
        <v>84074.27</v>
      </c>
      <c r="AI101" s="283">
        <f t="shared" si="49"/>
        <v>0</v>
      </c>
      <c r="AJ101" s="283">
        <f t="shared" si="50"/>
        <v>8834.35</v>
      </c>
      <c r="AK101" s="283">
        <f t="shared" si="51"/>
        <v>0</v>
      </c>
      <c r="AL101" s="283">
        <f t="shared" si="52"/>
        <v>0</v>
      </c>
      <c r="AM101" s="283">
        <f t="shared" si="53"/>
        <v>0</v>
      </c>
      <c r="AN101" s="283">
        <f t="shared" si="54"/>
        <v>0</v>
      </c>
      <c r="AO101" s="283">
        <f t="shared" si="55"/>
        <v>0</v>
      </c>
      <c r="AP101" s="283">
        <f t="shared" si="56"/>
        <v>19809.28</v>
      </c>
      <c r="AQ101" s="283">
        <f t="shared" si="57"/>
        <v>0</v>
      </c>
      <c r="AR101" s="283">
        <f t="shared" si="58"/>
        <v>9264.25</v>
      </c>
      <c r="AS101" s="283">
        <f t="shared" si="59"/>
        <v>0</v>
      </c>
      <c r="AT101" s="283">
        <f t="shared" si="60"/>
        <v>0</v>
      </c>
      <c r="AU101" s="283">
        <f t="shared" si="61"/>
        <v>0</v>
      </c>
      <c r="AV101" s="283">
        <f t="shared" si="62"/>
        <v>0</v>
      </c>
      <c r="AW101" s="320">
        <f t="shared" si="63"/>
        <v>121982.15</v>
      </c>
    </row>
    <row r="102" spans="1:49" x14ac:dyDescent="0.2">
      <c r="A102" s="18" t="s">
        <v>751</v>
      </c>
      <c r="B102" s="7">
        <v>6809</v>
      </c>
      <c r="C102" s="7">
        <v>0</v>
      </c>
      <c r="D102" s="2">
        <f>(B102+C102)*0.124-277.54</f>
        <v>566.78</v>
      </c>
      <c r="E102" s="2">
        <f>(B102+C102)*0.049+6.81</f>
        <v>340.45</v>
      </c>
      <c r="F102" s="2">
        <f>(B102+C102)*0.0524+7.49</f>
        <v>364.28</v>
      </c>
      <c r="G102" s="2">
        <f>+AW102</f>
        <v>555.65</v>
      </c>
      <c r="H102" s="2">
        <f>(B102+C102)*0.0098+1.66</f>
        <v>68.39</v>
      </c>
      <c r="I102" s="2">
        <f>(AB102)*0.0041219</f>
        <v>0</v>
      </c>
      <c r="J102" s="380">
        <f>SUM(D102:I102)</f>
        <v>1895.55</v>
      </c>
      <c r="K102" s="1"/>
      <c r="L102" s="7"/>
      <c r="M102" s="7"/>
      <c r="N102" s="7"/>
      <c r="O102" s="7">
        <v>6401</v>
      </c>
      <c r="P102" s="7"/>
      <c r="Q102" s="7">
        <v>-748</v>
      </c>
      <c r="R102" s="7"/>
      <c r="S102" s="7"/>
      <c r="T102" s="7"/>
      <c r="U102" s="7"/>
      <c r="V102" s="7"/>
      <c r="W102" s="7">
        <v>-775</v>
      </c>
      <c r="X102" s="7"/>
      <c r="Y102" s="7">
        <v>1931</v>
      </c>
      <c r="Z102" s="7"/>
      <c r="AA102" s="7"/>
      <c r="AB102" s="7"/>
      <c r="AC102" s="7"/>
      <c r="AD102" s="7">
        <f t="shared" si="66"/>
        <v>6809</v>
      </c>
      <c r="AF102" s="283">
        <f>+M102*$AF$12</f>
        <v>0</v>
      </c>
      <c r="AG102" s="283">
        <f>+N102*$AG$12</f>
        <v>0</v>
      </c>
      <c r="AH102" s="283">
        <f>+O102*$AH$12+11.52</f>
        <v>576.09</v>
      </c>
      <c r="AI102" s="283">
        <f>+P102*$AI$12</f>
        <v>0</v>
      </c>
      <c r="AJ102" s="283">
        <f>+Q102*$AJ$12</f>
        <v>-29.32</v>
      </c>
      <c r="AK102" s="283">
        <f>+R102*$AK$12</f>
        <v>0</v>
      </c>
      <c r="AL102" s="283">
        <f>+S102*$AL$12</f>
        <v>0</v>
      </c>
      <c r="AM102" s="283">
        <f>+T102*$AM$12</f>
        <v>0</v>
      </c>
      <c r="AN102" s="283">
        <f>+U102*$AN$12</f>
        <v>0</v>
      </c>
      <c r="AO102" s="283">
        <f>+V102*$AO$12</f>
        <v>0</v>
      </c>
      <c r="AP102" s="283">
        <f>+W102*$AP$12</f>
        <v>-68.36</v>
      </c>
      <c r="AQ102" s="283">
        <f>+X102*$AQ$12</f>
        <v>0</v>
      </c>
      <c r="AR102" s="283">
        <f>+Y102*$AR$12+1.54</f>
        <v>77.239999999999995</v>
      </c>
      <c r="AS102" s="283">
        <f>+Z102*$AS$12</f>
        <v>0</v>
      </c>
      <c r="AT102" s="283">
        <f>+AA102*$AT$12</f>
        <v>0</v>
      </c>
      <c r="AU102" s="283">
        <f>+AB102*$AU$12</f>
        <v>0</v>
      </c>
      <c r="AV102" s="283">
        <f>+AC102*$AV$12</f>
        <v>0</v>
      </c>
      <c r="AW102" s="320">
        <f>SUM(AF102:AV102)</f>
        <v>555.65</v>
      </c>
    </row>
    <row r="103" spans="1:49" x14ac:dyDescent="0.2">
      <c r="A103" s="18" t="s">
        <v>66</v>
      </c>
      <c r="B103" s="245">
        <v>148041</v>
      </c>
      <c r="C103" s="245">
        <v>0</v>
      </c>
      <c r="D103" s="2">
        <f t="shared" si="68"/>
        <v>18357.080000000002</v>
      </c>
      <c r="E103" s="78">
        <f t="shared" si="64"/>
        <v>7254.01</v>
      </c>
      <c r="F103" s="78">
        <f t="shared" si="67"/>
        <v>7757.35</v>
      </c>
      <c r="G103" s="2">
        <f t="shared" si="44"/>
        <v>13057.22</v>
      </c>
      <c r="H103" s="2">
        <f t="shared" si="65"/>
        <v>1450.8</v>
      </c>
      <c r="I103" s="2">
        <f t="shared" si="45"/>
        <v>0</v>
      </c>
      <c r="J103" s="380">
        <f t="shared" si="42"/>
        <v>47876.46</v>
      </c>
      <c r="K103" s="18"/>
      <c r="L103" s="245"/>
      <c r="M103" s="245"/>
      <c r="N103" s="245">
        <v>148041</v>
      </c>
      <c r="O103" s="245"/>
      <c r="P103" s="245"/>
      <c r="Q103" s="245"/>
      <c r="R103" s="245"/>
      <c r="S103" s="245"/>
      <c r="T103" s="245"/>
      <c r="U103" s="245"/>
      <c r="V103" s="245"/>
      <c r="W103" s="245"/>
      <c r="X103" s="245"/>
      <c r="Y103" s="245"/>
      <c r="Z103" s="245"/>
      <c r="AA103" s="245"/>
      <c r="AB103" s="245"/>
      <c r="AC103" s="245"/>
      <c r="AD103" s="245">
        <f t="shared" si="66"/>
        <v>148041</v>
      </c>
      <c r="AE103" s="7"/>
      <c r="AF103" s="283">
        <f t="shared" si="46"/>
        <v>0</v>
      </c>
      <c r="AG103" s="283">
        <f t="shared" si="47"/>
        <v>13057.22</v>
      </c>
      <c r="AH103" s="283">
        <f t="shared" si="48"/>
        <v>0</v>
      </c>
      <c r="AI103" s="283">
        <f t="shared" si="49"/>
        <v>0</v>
      </c>
      <c r="AJ103" s="283">
        <f t="shared" si="50"/>
        <v>0</v>
      </c>
      <c r="AK103" s="283">
        <f t="shared" si="51"/>
        <v>0</v>
      </c>
      <c r="AL103" s="283">
        <f t="shared" si="52"/>
        <v>0</v>
      </c>
      <c r="AM103" s="283">
        <f t="shared" si="53"/>
        <v>0</v>
      </c>
      <c r="AN103" s="283">
        <f t="shared" si="54"/>
        <v>0</v>
      </c>
      <c r="AO103" s="283">
        <f t="shared" si="55"/>
        <v>0</v>
      </c>
      <c r="AP103" s="283">
        <f t="shared" si="56"/>
        <v>0</v>
      </c>
      <c r="AQ103" s="283">
        <f t="shared" si="57"/>
        <v>0</v>
      </c>
      <c r="AR103" s="283">
        <f t="shared" si="58"/>
        <v>0</v>
      </c>
      <c r="AS103" s="283">
        <f t="shared" si="59"/>
        <v>0</v>
      </c>
      <c r="AT103" s="283">
        <f t="shared" si="60"/>
        <v>0</v>
      </c>
      <c r="AU103" s="283">
        <f t="shared" si="61"/>
        <v>0</v>
      </c>
      <c r="AV103" s="283">
        <f t="shared" si="62"/>
        <v>0</v>
      </c>
      <c r="AW103" s="320">
        <f t="shared" si="63"/>
        <v>13057.22</v>
      </c>
    </row>
    <row r="104" spans="1:49" x14ac:dyDescent="0.2">
      <c r="A104" s="18" t="s">
        <v>477</v>
      </c>
      <c r="B104" s="245">
        <v>2426897</v>
      </c>
      <c r="C104" s="245">
        <v>94648</v>
      </c>
      <c r="D104" s="2">
        <f>(B104+C104)*0.124-0.02</f>
        <v>312671.56</v>
      </c>
      <c r="E104" s="78">
        <f>(B104+C104)*0.049</f>
        <v>123555.71</v>
      </c>
      <c r="F104" s="78">
        <f t="shared" si="67"/>
        <v>132128.95999999999</v>
      </c>
      <c r="G104" s="2">
        <f t="shared" si="44"/>
        <v>216438</v>
      </c>
      <c r="H104" s="2">
        <f t="shared" si="65"/>
        <v>24711.14</v>
      </c>
      <c r="I104" s="2">
        <f t="shared" si="45"/>
        <v>3524.76</v>
      </c>
      <c r="J104" s="380">
        <f t="shared" si="42"/>
        <v>813030.13</v>
      </c>
      <c r="K104" s="18"/>
      <c r="L104" s="245"/>
      <c r="M104" s="245">
        <v>373563</v>
      </c>
      <c r="N104" s="245"/>
      <c r="O104" s="245">
        <v>1145364</v>
      </c>
      <c r="P104" s="245">
        <v>114777</v>
      </c>
      <c r="Q104" s="245"/>
      <c r="R104" s="245"/>
      <c r="S104" s="245"/>
      <c r="T104" s="245"/>
      <c r="U104" s="245"/>
      <c r="V104" s="245"/>
      <c r="W104" s="245">
        <v>9302</v>
      </c>
      <c r="X104" s="245">
        <v>16506</v>
      </c>
      <c r="Y104" s="245">
        <v>6902</v>
      </c>
      <c r="Z104" s="245"/>
      <c r="AA104" s="245"/>
      <c r="AB104" s="245">
        <v>855131</v>
      </c>
      <c r="AC104" s="245"/>
      <c r="AD104" s="245">
        <f>SUM(L104:AC104)</f>
        <v>2521545</v>
      </c>
      <c r="AE104" s="1"/>
      <c r="AF104" s="283">
        <f t="shared" si="46"/>
        <v>32948.26</v>
      </c>
      <c r="AG104" s="283">
        <f t="shared" si="47"/>
        <v>0</v>
      </c>
      <c r="AH104" s="283">
        <f t="shared" si="48"/>
        <v>101021.1</v>
      </c>
      <c r="AI104" s="283">
        <f t="shared" si="49"/>
        <v>4499.26</v>
      </c>
      <c r="AJ104" s="283">
        <f t="shared" si="50"/>
        <v>0</v>
      </c>
      <c r="AK104" s="283">
        <f t="shared" si="51"/>
        <v>0</v>
      </c>
      <c r="AL104" s="283">
        <f t="shared" si="52"/>
        <v>0</v>
      </c>
      <c r="AM104" s="283">
        <f t="shared" si="53"/>
        <v>0</v>
      </c>
      <c r="AN104" s="283">
        <f t="shared" si="54"/>
        <v>0</v>
      </c>
      <c r="AO104" s="283">
        <f t="shared" si="55"/>
        <v>0</v>
      </c>
      <c r="AP104" s="283">
        <f t="shared" si="56"/>
        <v>820.44</v>
      </c>
      <c r="AQ104" s="283">
        <f t="shared" si="57"/>
        <v>1455.83</v>
      </c>
      <c r="AR104" s="283">
        <f t="shared" si="58"/>
        <v>270.56</v>
      </c>
      <c r="AS104" s="283">
        <f t="shared" si="59"/>
        <v>0</v>
      </c>
      <c r="AT104" s="283">
        <f t="shared" si="60"/>
        <v>0</v>
      </c>
      <c r="AU104" s="283">
        <f t="shared" si="61"/>
        <v>75422.55</v>
      </c>
      <c r="AV104" s="283">
        <f t="shared" si="62"/>
        <v>0</v>
      </c>
      <c r="AW104" s="320">
        <f t="shared" si="63"/>
        <v>216438</v>
      </c>
    </row>
    <row r="105" spans="1:49" x14ac:dyDescent="0.2">
      <c r="A105" s="18" t="s">
        <v>67</v>
      </c>
      <c r="B105" s="245">
        <v>25107</v>
      </c>
      <c r="C105" s="245">
        <v>0</v>
      </c>
      <c r="D105" s="2">
        <f t="shared" si="68"/>
        <v>3113.27</v>
      </c>
      <c r="E105" s="78">
        <f t="shared" si="64"/>
        <v>1230.24</v>
      </c>
      <c r="F105" s="78">
        <f t="shared" si="67"/>
        <v>1315.61</v>
      </c>
      <c r="G105" s="2">
        <f t="shared" si="44"/>
        <v>1021.97</v>
      </c>
      <c r="H105" s="2">
        <f t="shared" si="65"/>
        <v>246.05</v>
      </c>
      <c r="I105" s="2">
        <f t="shared" si="45"/>
        <v>0</v>
      </c>
      <c r="J105" s="380">
        <f t="shared" si="42"/>
        <v>6927.14</v>
      </c>
      <c r="K105" s="18"/>
      <c r="L105" s="245"/>
      <c r="M105" s="245"/>
      <c r="N105" s="245"/>
      <c r="O105" s="245"/>
      <c r="P105" s="245"/>
      <c r="Q105" s="245">
        <v>24336</v>
      </c>
      <c r="R105" s="245"/>
      <c r="S105" s="245"/>
      <c r="T105" s="245"/>
      <c r="U105" s="245"/>
      <c r="V105" s="245"/>
      <c r="W105" s="245"/>
      <c r="X105" s="245"/>
      <c r="Y105" s="245"/>
      <c r="Z105" s="245"/>
      <c r="AA105" s="245"/>
      <c r="AB105" s="245"/>
      <c r="AC105" s="245">
        <v>771</v>
      </c>
      <c r="AD105" s="245">
        <f t="shared" si="66"/>
        <v>25107</v>
      </c>
      <c r="AE105" s="1"/>
      <c r="AF105" s="283">
        <f t="shared" si="46"/>
        <v>0</v>
      </c>
      <c r="AG105" s="283">
        <f t="shared" si="47"/>
        <v>0</v>
      </c>
      <c r="AH105" s="283">
        <f t="shared" si="48"/>
        <v>0</v>
      </c>
      <c r="AI105" s="283">
        <f t="shared" si="49"/>
        <v>0</v>
      </c>
      <c r="AJ105" s="283">
        <f t="shared" si="50"/>
        <v>953.97</v>
      </c>
      <c r="AK105" s="283">
        <f t="shared" si="51"/>
        <v>0</v>
      </c>
      <c r="AL105" s="283">
        <f t="shared" si="52"/>
        <v>0</v>
      </c>
      <c r="AM105" s="283">
        <f t="shared" si="53"/>
        <v>0</v>
      </c>
      <c r="AN105" s="283">
        <f t="shared" si="54"/>
        <v>0</v>
      </c>
      <c r="AO105" s="283">
        <f t="shared" si="55"/>
        <v>0</v>
      </c>
      <c r="AP105" s="283">
        <f t="shared" si="56"/>
        <v>0</v>
      </c>
      <c r="AQ105" s="283">
        <f t="shared" si="57"/>
        <v>0</v>
      </c>
      <c r="AR105" s="283">
        <f t="shared" si="58"/>
        <v>0</v>
      </c>
      <c r="AS105" s="283">
        <f t="shared" si="59"/>
        <v>0</v>
      </c>
      <c r="AT105" s="283">
        <f t="shared" si="60"/>
        <v>0</v>
      </c>
      <c r="AU105" s="283">
        <f t="shared" si="61"/>
        <v>0</v>
      </c>
      <c r="AV105" s="283">
        <f t="shared" si="62"/>
        <v>68</v>
      </c>
      <c r="AW105" s="320">
        <f t="shared" si="63"/>
        <v>1021.97</v>
      </c>
    </row>
    <row r="106" spans="1:49" x14ac:dyDescent="0.2">
      <c r="A106" s="18" t="s">
        <v>83</v>
      </c>
      <c r="B106" s="245">
        <v>156698</v>
      </c>
      <c r="C106" s="245">
        <v>0</v>
      </c>
      <c r="D106" s="2">
        <f t="shared" si="68"/>
        <v>19430.55</v>
      </c>
      <c r="E106" s="78">
        <f>(B106+C106)*0.049</f>
        <v>7678.2</v>
      </c>
      <c r="F106" s="78">
        <f t="shared" si="67"/>
        <v>8210.98</v>
      </c>
      <c r="G106" s="2">
        <f t="shared" si="44"/>
        <v>13820.76</v>
      </c>
      <c r="H106" s="2">
        <f t="shared" si="65"/>
        <v>1535.64</v>
      </c>
      <c r="I106" s="2">
        <f t="shared" si="45"/>
        <v>0</v>
      </c>
      <c r="J106" s="380">
        <f t="shared" si="42"/>
        <v>50676.13</v>
      </c>
      <c r="K106" s="18"/>
      <c r="L106" s="245"/>
      <c r="M106" s="245"/>
      <c r="N106" s="245"/>
      <c r="O106" s="245">
        <v>156698</v>
      </c>
      <c r="P106" s="245"/>
      <c r="Q106" s="245"/>
      <c r="R106" s="245"/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>
        <f>SUM(L106:AC106)</f>
        <v>156698</v>
      </c>
      <c r="AE106" s="7"/>
      <c r="AF106" s="283">
        <f t="shared" si="46"/>
        <v>0</v>
      </c>
      <c r="AG106" s="283">
        <f t="shared" si="47"/>
        <v>0</v>
      </c>
      <c r="AH106" s="283">
        <f t="shared" si="48"/>
        <v>13820.76</v>
      </c>
      <c r="AI106" s="283">
        <f t="shared" si="49"/>
        <v>0</v>
      </c>
      <c r="AJ106" s="283">
        <f t="shared" si="50"/>
        <v>0</v>
      </c>
      <c r="AK106" s="283">
        <f t="shared" si="51"/>
        <v>0</v>
      </c>
      <c r="AL106" s="283">
        <f t="shared" si="52"/>
        <v>0</v>
      </c>
      <c r="AM106" s="283">
        <f t="shared" si="53"/>
        <v>0</v>
      </c>
      <c r="AN106" s="283">
        <f t="shared" si="54"/>
        <v>0</v>
      </c>
      <c r="AO106" s="283">
        <f t="shared" si="55"/>
        <v>0</v>
      </c>
      <c r="AP106" s="283">
        <f t="shared" si="56"/>
        <v>0</v>
      </c>
      <c r="AQ106" s="283">
        <f t="shared" si="57"/>
        <v>0</v>
      </c>
      <c r="AR106" s="283">
        <f t="shared" si="58"/>
        <v>0</v>
      </c>
      <c r="AS106" s="283">
        <f t="shared" si="59"/>
        <v>0</v>
      </c>
      <c r="AT106" s="283">
        <f t="shared" si="60"/>
        <v>0</v>
      </c>
      <c r="AU106" s="283">
        <f t="shared" si="61"/>
        <v>0</v>
      </c>
      <c r="AV106" s="283">
        <f t="shared" si="62"/>
        <v>0</v>
      </c>
      <c r="AW106" s="320">
        <f t="shared" si="63"/>
        <v>13820.76</v>
      </c>
    </row>
    <row r="107" spans="1:49" x14ac:dyDescent="0.2">
      <c r="A107" s="18" t="s">
        <v>350</v>
      </c>
      <c r="B107" s="245">
        <v>426338</v>
      </c>
      <c r="C107" s="245">
        <v>0</v>
      </c>
      <c r="D107" s="2">
        <f t="shared" si="68"/>
        <v>52865.91</v>
      </c>
      <c r="E107" s="78">
        <f>(B107+C107)*0.049</f>
        <v>20890.560000000001</v>
      </c>
      <c r="F107" s="78">
        <f t="shared" si="67"/>
        <v>22340.11</v>
      </c>
      <c r="G107" s="2">
        <f t="shared" si="44"/>
        <v>37603.01</v>
      </c>
      <c r="H107" s="2">
        <f>(B107+C107)*0.0098+0.01</f>
        <v>4178.12</v>
      </c>
      <c r="I107" s="2">
        <f t="shared" si="45"/>
        <v>715.98</v>
      </c>
      <c r="J107" s="380">
        <f t="shared" si="42"/>
        <v>138593.69</v>
      </c>
      <c r="K107" s="18"/>
      <c r="L107" s="245"/>
      <c r="M107" s="245"/>
      <c r="N107" s="245"/>
      <c r="O107" s="245">
        <v>163014</v>
      </c>
      <c r="P107" s="245"/>
      <c r="Q107" s="245"/>
      <c r="R107" s="245"/>
      <c r="S107" s="245"/>
      <c r="T107" s="245"/>
      <c r="U107" s="245"/>
      <c r="V107" s="245"/>
      <c r="W107" s="245"/>
      <c r="X107" s="245"/>
      <c r="Y107" s="245"/>
      <c r="Z107" s="245">
        <v>89622</v>
      </c>
      <c r="AA107" s="245"/>
      <c r="AB107" s="245">
        <v>173702</v>
      </c>
      <c r="AC107" s="245"/>
      <c r="AD107" s="245">
        <f>SUM(L107:AC107)</f>
        <v>426338</v>
      </c>
      <c r="AE107" s="7"/>
      <c r="AF107" s="283">
        <f t="shared" si="46"/>
        <v>0</v>
      </c>
      <c r="AG107" s="283">
        <f t="shared" si="47"/>
        <v>0</v>
      </c>
      <c r="AH107" s="283">
        <f t="shared" si="48"/>
        <v>14377.83</v>
      </c>
      <c r="AI107" s="283">
        <f t="shared" si="49"/>
        <v>0</v>
      </c>
      <c r="AJ107" s="283">
        <f t="shared" si="50"/>
        <v>0</v>
      </c>
      <c r="AK107" s="283">
        <f t="shared" si="51"/>
        <v>0</v>
      </c>
      <c r="AL107" s="283">
        <f t="shared" si="52"/>
        <v>0</v>
      </c>
      <c r="AM107" s="283">
        <f t="shared" si="53"/>
        <v>0</v>
      </c>
      <c r="AN107" s="283">
        <f t="shared" si="54"/>
        <v>0</v>
      </c>
      <c r="AO107" s="283">
        <f t="shared" si="55"/>
        <v>0</v>
      </c>
      <c r="AP107" s="283">
        <f t="shared" si="56"/>
        <v>0</v>
      </c>
      <c r="AQ107" s="283">
        <f t="shared" si="57"/>
        <v>0</v>
      </c>
      <c r="AR107" s="283">
        <f t="shared" si="58"/>
        <v>0</v>
      </c>
      <c r="AS107" s="283">
        <f t="shared" si="59"/>
        <v>7904.66</v>
      </c>
      <c r="AT107" s="283">
        <f t="shared" si="60"/>
        <v>0</v>
      </c>
      <c r="AU107" s="283">
        <f t="shared" si="61"/>
        <v>15320.52</v>
      </c>
      <c r="AV107" s="283">
        <f t="shared" si="62"/>
        <v>0</v>
      </c>
      <c r="AW107" s="320">
        <f t="shared" si="63"/>
        <v>37603.01</v>
      </c>
    </row>
    <row r="108" spans="1:49" s="20" customFormat="1" x14ac:dyDescent="0.2">
      <c r="A108" s="18" t="s">
        <v>363</v>
      </c>
      <c r="B108" s="245">
        <v>918131</v>
      </c>
      <c r="C108" s="245">
        <v>0</v>
      </c>
      <c r="D108" s="2">
        <f t="shared" si="68"/>
        <v>113848.24</v>
      </c>
      <c r="E108" s="78">
        <f t="shared" ref="E108:E113" si="69">(B108+C108)*0.049</f>
        <v>44988.42</v>
      </c>
      <c r="F108" s="78">
        <f t="shared" ref="F108:F113" si="70">(B108+C108)*0.0524</f>
        <v>48110.06</v>
      </c>
      <c r="G108" s="2">
        <f t="shared" si="44"/>
        <v>71222.899999999994</v>
      </c>
      <c r="H108" s="2">
        <f>(B108+C108)*0.0098+0.01</f>
        <v>8997.69</v>
      </c>
      <c r="I108" s="2">
        <f t="shared" si="45"/>
        <v>2224.27</v>
      </c>
      <c r="J108" s="380">
        <f t="shared" si="42"/>
        <v>289391.58</v>
      </c>
      <c r="K108" s="18"/>
      <c r="L108" s="245"/>
      <c r="M108" s="245"/>
      <c r="N108" s="245"/>
      <c r="O108" s="245">
        <v>82537</v>
      </c>
      <c r="P108" s="245">
        <v>199107</v>
      </c>
      <c r="Q108" s="245"/>
      <c r="R108" s="245"/>
      <c r="S108" s="245"/>
      <c r="T108" s="245">
        <v>96865</v>
      </c>
      <c r="U108" s="245"/>
      <c r="V108" s="245"/>
      <c r="W108" s="245"/>
      <c r="X108" s="245"/>
      <c r="Y108" s="245"/>
      <c r="Z108" s="245"/>
      <c r="AA108" s="245"/>
      <c r="AB108" s="245">
        <v>539622</v>
      </c>
      <c r="AC108" s="245"/>
      <c r="AD108" s="245">
        <f t="shared" ref="AD108:AD121" si="71">SUM(L108:AC108)</f>
        <v>918131</v>
      </c>
      <c r="AE108" s="245"/>
      <c r="AF108" s="283">
        <f t="shared" si="46"/>
        <v>0</v>
      </c>
      <c r="AG108" s="283">
        <f t="shared" si="47"/>
        <v>0</v>
      </c>
      <c r="AH108" s="283">
        <f t="shared" si="48"/>
        <v>7279.76</v>
      </c>
      <c r="AI108" s="283">
        <f t="shared" si="49"/>
        <v>7804.99</v>
      </c>
      <c r="AJ108" s="283">
        <f t="shared" si="50"/>
        <v>0</v>
      </c>
      <c r="AK108" s="283">
        <f t="shared" si="51"/>
        <v>0</v>
      </c>
      <c r="AL108" s="283">
        <f t="shared" si="52"/>
        <v>0</v>
      </c>
      <c r="AM108" s="283">
        <f t="shared" si="53"/>
        <v>8543.49</v>
      </c>
      <c r="AN108" s="283">
        <f t="shared" si="54"/>
        <v>0</v>
      </c>
      <c r="AO108" s="283">
        <f t="shared" si="55"/>
        <v>0</v>
      </c>
      <c r="AP108" s="283">
        <f t="shared" si="56"/>
        <v>0</v>
      </c>
      <c r="AQ108" s="283">
        <f t="shared" si="57"/>
        <v>0</v>
      </c>
      <c r="AR108" s="283">
        <f t="shared" si="58"/>
        <v>0</v>
      </c>
      <c r="AS108" s="283">
        <f t="shared" si="59"/>
        <v>0</v>
      </c>
      <c r="AT108" s="283">
        <f t="shared" si="60"/>
        <v>0</v>
      </c>
      <c r="AU108" s="283">
        <f t="shared" si="61"/>
        <v>47594.66</v>
      </c>
      <c r="AV108" s="283">
        <f t="shared" si="62"/>
        <v>0</v>
      </c>
      <c r="AW108" s="320">
        <f t="shared" si="63"/>
        <v>71222.899999999994</v>
      </c>
    </row>
    <row r="109" spans="1:49" x14ac:dyDescent="0.2">
      <c r="A109" s="1" t="s">
        <v>68</v>
      </c>
      <c r="B109" s="7">
        <v>27786</v>
      </c>
      <c r="C109" s="7">
        <v>0</v>
      </c>
      <c r="D109" s="2">
        <f t="shared" si="68"/>
        <v>3445.46</v>
      </c>
      <c r="E109" s="2">
        <f t="shared" si="69"/>
        <v>1361.51</v>
      </c>
      <c r="F109" s="2">
        <f t="shared" si="70"/>
        <v>1455.99</v>
      </c>
      <c r="G109" s="2">
        <f t="shared" si="44"/>
        <v>2450.73</v>
      </c>
      <c r="H109" s="2">
        <f t="shared" si="65"/>
        <v>272.3</v>
      </c>
      <c r="I109" s="2">
        <f t="shared" si="45"/>
        <v>0</v>
      </c>
      <c r="J109" s="380">
        <f t="shared" si="42"/>
        <v>8985.99</v>
      </c>
      <c r="K109" s="1"/>
      <c r="L109" s="7"/>
      <c r="M109" s="7"/>
      <c r="N109" s="7"/>
      <c r="O109" s="7">
        <v>27786</v>
      </c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>
        <f t="shared" si="71"/>
        <v>27786</v>
      </c>
      <c r="AE109" s="1"/>
      <c r="AF109" s="283">
        <f t="shared" si="46"/>
        <v>0</v>
      </c>
      <c r="AG109" s="283">
        <f t="shared" si="47"/>
        <v>0</v>
      </c>
      <c r="AH109" s="283">
        <f t="shared" si="48"/>
        <v>2450.73</v>
      </c>
      <c r="AI109" s="283">
        <f t="shared" si="49"/>
        <v>0</v>
      </c>
      <c r="AJ109" s="283">
        <f t="shared" si="50"/>
        <v>0</v>
      </c>
      <c r="AK109" s="283">
        <f t="shared" si="51"/>
        <v>0</v>
      </c>
      <c r="AL109" s="283">
        <f t="shared" si="52"/>
        <v>0</v>
      </c>
      <c r="AM109" s="283">
        <f t="shared" si="53"/>
        <v>0</v>
      </c>
      <c r="AN109" s="283">
        <f t="shared" si="54"/>
        <v>0</v>
      </c>
      <c r="AO109" s="283">
        <f t="shared" si="55"/>
        <v>0</v>
      </c>
      <c r="AP109" s="283">
        <f t="shared" si="56"/>
        <v>0</v>
      </c>
      <c r="AQ109" s="283">
        <f t="shared" si="57"/>
        <v>0</v>
      </c>
      <c r="AR109" s="283">
        <f t="shared" si="58"/>
        <v>0</v>
      </c>
      <c r="AS109" s="283">
        <f t="shared" si="59"/>
        <v>0</v>
      </c>
      <c r="AT109" s="283">
        <f t="shared" si="60"/>
        <v>0</v>
      </c>
      <c r="AU109" s="283">
        <f t="shared" si="61"/>
        <v>0</v>
      </c>
      <c r="AV109" s="283">
        <f t="shared" si="62"/>
        <v>0</v>
      </c>
      <c r="AW109" s="320">
        <f t="shared" si="63"/>
        <v>2450.73</v>
      </c>
    </row>
    <row r="110" spans="1:49" x14ac:dyDescent="0.2">
      <c r="A110" s="1" t="s">
        <v>69</v>
      </c>
      <c r="B110" s="7">
        <v>227333</v>
      </c>
      <c r="C110" s="7">
        <v>0</v>
      </c>
      <c r="D110" s="2">
        <f>(B110+C110)*0.124-0.01</f>
        <v>28189.279999999999</v>
      </c>
      <c r="E110" s="2">
        <f t="shared" si="69"/>
        <v>11139.32</v>
      </c>
      <c r="F110" s="2">
        <f t="shared" si="70"/>
        <v>11912.25</v>
      </c>
      <c r="G110" s="2">
        <f t="shared" si="44"/>
        <v>20050.77</v>
      </c>
      <c r="H110" s="2">
        <f>(B110+C110)*0.0098+0.01</f>
        <v>2227.87</v>
      </c>
      <c r="I110" s="2">
        <f t="shared" si="45"/>
        <v>284.85000000000002</v>
      </c>
      <c r="J110" s="380">
        <f t="shared" si="42"/>
        <v>73804.34</v>
      </c>
      <c r="K110" s="1"/>
      <c r="L110" s="7"/>
      <c r="M110" s="7"/>
      <c r="N110" s="7">
        <v>48515</v>
      </c>
      <c r="O110" s="7"/>
      <c r="P110" s="7"/>
      <c r="Q110" s="7"/>
      <c r="R110" s="7"/>
      <c r="S110" s="7"/>
      <c r="T110" s="7"/>
      <c r="U110" s="7"/>
      <c r="V110" s="7"/>
      <c r="W110" s="7">
        <v>49405</v>
      </c>
      <c r="X110" s="7">
        <v>60307</v>
      </c>
      <c r="Y110" s="7"/>
      <c r="Z110" s="7"/>
      <c r="AA110" s="7"/>
      <c r="AB110" s="7">
        <v>69106</v>
      </c>
      <c r="AC110" s="7"/>
      <c r="AD110" s="7">
        <f t="shared" si="71"/>
        <v>227333</v>
      </c>
      <c r="AE110" s="1"/>
      <c r="AF110" s="283">
        <f t="shared" si="46"/>
        <v>0</v>
      </c>
      <c r="AG110" s="283">
        <f t="shared" si="47"/>
        <v>4279.0200000000004</v>
      </c>
      <c r="AH110" s="283">
        <f t="shared" si="48"/>
        <v>0</v>
      </c>
      <c r="AI110" s="283">
        <f t="shared" si="49"/>
        <v>0</v>
      </c>
      <c r="AJ110" s="283">
        <f t="shared" si="50"/>
        <v>0</v>
      </c>
      <c r="AK110" s="283">
        <f t="shared" si="51"/>
        <v>0</v>
      </c>
      <c r="AL110" s="283">
        <f t="shared" si="52"/>
        <v>0</v>
      </c>
      <c r="AM110" s="283">
        <f t="shared" si="53"/>
        <v>0</v>
      </c>
      <c r="AN110" s="283">
        <f t="shared" si="54"/>
        <v>0</v>
      </c>
      <c r="AO110" s="283">
        <f t="shared" si="55"/>
        <v>0</v>
      </c>
      <c r="AP110" s="283">
        <f t="shared" si="56"/>
        <v>4357.5200000000004</v>
      </c>
      <c r="AQ110" s="283">
        <f t="shared" si="57"/>
        <v>5319.08</v>
      </c>
      <c r="AR110" s="283">
        <f t="shared" si="58"/>
        <v>0</v>
      </c>
      <c r="AS110" s="283">
        <f t="shared" si="59"/>
        <v>0</v>
      </c>
      <c r="AT110" s="283">
        <f t="shared" si="60"/>
        <v>0</v>
      </c>
      <c r="AU110" s="283">
        <f t="shared" si="61"/>
        <v>6095.15</v>
      </c>
      <c r="AV110" s="283">
        <f t="shared" si="62"/>
        <v>0</v>
      </c>
      <c r="AW110" s="320">
        <f t="shared" si="63"/>
        <v>20050.77</v>
      </c>
    </row>
    <row r="111" spans="1:49" x14ac:dyDescent="0.2">
      <c r="A111" s="1" t="s">
        <v>574</v>
      </c>
      <c r="B111" s="7">
        <v>7174911</v>
      </c>
      <c r="C111" s="7">
        <v>0</v>
      </c>
      <c r="D111" s="2">
        <f>(B111+C111)*0.124-0.05</f>
        <v>889688.91</v>
      </c>
      <c r="E111" s="2">
        <f>(B111+C111)*0.049</f>
        <v>351570.64</v>
      </c>
      <c r="F111" s="2">
        <f>(B111+C111)*0.0524</f>
        <v>375965.34</v>
      </c>
      <c r="G111" s="2">
        <f t="shared" si="44"/>
        <v>624744.31000000006</v>
      </c>
      <c r="H111" s="2">
        <f t="shared" si="65"/>
        <v>70314.13</v>
      </c>
      <c r="I111" s="2">
        <f t="shared" si="45"/>
        <v>7187.86</v>
      </c>
      <c r="J111" s="380">
        <f t="shared" si="42"/>
        <v>2319471.19</v>
      </c>
      <c r="K111" s="1"/>
      <c r="L111" s="7"/>
      <c r="M111" s="7">
        <v>191937</v>
      </c>
      <c r="N111" s="7"/>
      <c r="O111" s="7">
        <v>4980147</v>
      </c>
      <c r="P111" s="7">
        <v>164956</v>
      </c>
      <c r="Q111" s="7"/>
      <c r="R111" s="7"/>
      <c r="S111" s="7"/>
      <c r="T111" s="7"/>
      <c r="U111" s="7"/>
      <c r="V111" s="7"/>
      <c r="W111" s="7">
        <v>94049</v>
      </c>
      <c r="X111" s="7"/>
      <c r="Y111" s="7"/>
      <c r="Z111" s="7"/>
      <c r="AA111" s="7"/>
      <c r="AB111" s="7">
        <v>1743822</v>
      </c>
      <c r="AC111" s="7"/>
      <c r="AD111" s="7">
        <f>SUM(L111:AC111)</f>
        <v>7174911</v>
      </c>
      <c r="AE111" s="7"/>
      <c r="AF111" s="283">
        <f t="shared" si="46"/>
        <v>16928.84</v>
      </c>
      <c r="AG111" s="283">
        <f t="shared" si="47"/>
        <v>0</v>
      </c>
      <c r="AH111" s="283">
        <f t="shared" si="48"/>
        <v>439248.97</v>
      </c>
      <c r="AI111" s="283">
        <f t="shared" si="49"/>
        <v>6466.28</v>
      </c>
      <c r="AJ111" s="283">
        <f t="shared" si="50"/>
        <v>0</v>
      </c>
      <c r="AK111" s="283">
        <f t="shared" si="51"/>
        <v>0</v>
      </c>
      <c r="AL111" s="283">
        <f t="shared" si="52"/>
        <v>0</v>
      </c>
      <c r="AM111" s="283">
        <f t="shared" si="53"/>
        <v>0</v>
      </c>
      <c r="AN111" s="283">
        <f t="shared" si="54"/>
        <v>0</v>
      </c>
      <c r="AO111" s="283">
        <f t="shared" si="55"/>
        <v>0</v>
      </c>
      <c r="AP111" s="283">
        <f t="shared" si="56"/>
        <v>8295.1200000000008</v>
      </c>
      <c r="AQ111" s="283">
        <f t="shared" si="57"/>
        <v>0</v>
      </c>
      <c r="AR111" s="283">
        <f t="shared" si="58"/>
        <v>0</v>
      </c>
      <c r="AS111" s="283">
        <f t="shared" si="59"/>
        <v>0</v>
      </c>
      <c r="AT111" s="283">
        <f t="shared" si="60"/>
        <v>0</v>
      </c>
      <c r="AU111" s="283">
        <f t="shared" si="61"/>
        <v>153805.1</v>
      </c>
      <c r="AV111" s="283">
        <f t="shared" si="62"/>
        <v>0</v>
      </c>
      <c r="AW111" s="320">
        <f t="shared" si="63"/>
        <v>624744.31000000006</v>
      </c>
    </row>
    <row r="112" spans="1:49" ht="12.75" customHeight="1" x14ac:dyDescent="0.2">
      <c r="A112" s="1" t="s">
        <v>712</v>
      </c>
      <c r="B112" s="7">
        <v>48644</v>
      </c>
      <c r="C112" s="7">
        <v>0</v>
      </c>
      <c r="D112" s="2">
        <f>(B112+C112)*0.124-0.01</f>
        <v>6031.85</v>
      </c>
      <c r="E112" s="2">
        <f>(B112+C112)*0.049</f>
        <v>2383.56</v>
      </c>
      <c r="F112" s="2">
        <f>(B112+C112)*0.0524</f>
        <v>2548.9499999999998</v>
      </c>
      <c r="G112" s="2">
        <f>+AW112</f>
        <v>4290.3999999999996</v>
      </c>
      <c r="H112" s="2">
        <f>(B112+C112)*0.0098</f>
        <v>476.71</v>
      </c>
      <c r="I112" s="2">
        <f>(AB112)*0.0041219</f>
        <v>0</v>
      </c>
      <c r="J112" s="380">
        <f>SUM(D112:I112)</f>
        <v>15731.47</v>
      </c>
      <c r="K112" s="1"/>
      <c r="L112" s="7"/>
      <c r="M112" s="7"/>
      <c r="N112" s="7"/>
      <c r="O112" s="7">
        <v>48644</v>
      </c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>
        <f>SUM(L112:AC112)</f>
        <v>48644</v>
      </c>
      <c r="AF112" s="283">
        <f>+M112*$AF$12</f>
        <v>0</v>
      </c>
      <c r="AG112" s="283">
        <f>+N112*$AG$12</f>
        <v>0</v>
      </c>
      <c r="AH112" s="283">
        <f>+O112*$AH$12</f>
        <v>4290.3999999999996</v>
      </c>
      <c r="AI112" s="283">
        <f>+P112*$AI$12</f>
        <v>0</v>
      </c>
      <c r="AJ112" s="283">
        <f>+Q112*$AJ$12</f>
        <v>0</v>
      </c>
      <c r="AK112" s="283">
        <f>+R112*$AK$12</f>
        <v>0</v>
      </c>
      <c r="AL112" s="283">
        <f>+S112*$AL$12</f>
        <v>0</v>
      </c>
      <c r="AM112" s="283">
        <f>+T112*$AM$12</f>
        <v>0</v>
      </c>
      <c r="AN112" s="283">
        <f>+U112*$AN$12</f>
        <v>0</v>
      </c>
      <c r="AO112" s="283">
        <f>+V112*$AO$12</f>
        <v>0</v>
      </c>
      <c r="AP112" s="283">
        <f>+W112*$AP$12</f>
        <v>0</v>
      </c>
      <c r="AQ112" s="283">
        <f>+X112*$AQ$12</f>
        <v>0</v>
      </c>
      <c r="AR112" s="283">
        <f>+Y112*$AR$12</f>
        <v>0</v>
      </c>
      <c r="AS112" s="283">
        <f>+Z112*$AS$12</f>
        <v>0</v>
      </c>
      <c r="AT112" s="283">
        <f>+AA112*$AT$12</f>
        <v>0</v>
      </c>
      <c r="AU112" s="283">
        <f>+AB112*$AU$12</f>
        <v>0</v>
      </c>
      <c r="AV112" s="283">
        <f>+AC112*$AV$12</f>
        <v>0</v>
      </c>
      <c r="AW112" s="320">
        <f>SUM(AF112:AV112)</f>
        <v>4290.3999999999996</v>
      </c>
    </row>
    <row r="113" spans="1:49" ht="12.75" customHeight="1" x14ac:dyDescent="0.2">
      <c r="A113" s="1" t="s">
        <v>716</v>
      </c>
      <c r="B113" s="7">
        <v>242938</v>
      </c>
      <c r="C113" s="7">
        <v>707266</v>
      </c>
      <c r="D113" s="2">
        <f t="shared" si="68"/>
        <v>117825.3</v>
      </c>
      <c r="E113" s="2">
        <f t="shared" si="69"/>
        <v>46560</v>
      </c>
      <c r="F113" s="2">
        <f t="shared" si="70"/>
        <v>49790.69</v>
      </c>
      <c r="G113" s="2">
        <f t="shared" si="44"/>
        <v>77893.55</v>
      </c>
      <c r="H113" s="2">
        <f t="shared" si="65"/>
        <v>9312</v>
      </c>
      <c r="I113" s="2">
        <f t="shared" si="45"/>
        <v>0</v>
      </c>
      <c r="J113" s="380">
        <f t="shared" si="42"/>
        <v>301381.53999999998</v>
      </c>
      <c r="K113" s="1"/>
      <c r="L113" s="7"/>
      <c r="M113" s="7"/>
      <c r="N113" s="7"/>
      <c r="O113" s="7">
        <v>829501</v>
      </c>
      <c r="P113" s="7"/>
      <c r="Q113" s="7">
        <v>82635</v>
      </c>
      <c r="R113" s="7"/>
      <c r="S113" s="7"/>
      <c r="T113" s="7"/>
      <c r="U113" s="7"/>
      <c r="V113" s="7">
        <v>5005</v>
      </c>
      <c r="W113" s="7"/>
      <c r="X113" s="7"/>
      <c r="Y113" s="7">
        <v>33063</v>
      </c>
      <c r="Z113" s="7"/>
      <c r="AA113" s="7"/>
      <c r="AB113" s="7"/>
      <c r="AC113" s="7"/>
      <c r="AD113" s="7">
        <f t="shared" si="71"/>
        <v>950204</v>
      </c>
      <c r="AF113" s="283">
        <f t="shared" si="46"/>
        <v>0</v>
      </c>
      <c r="AG113" s="283">
        <f t="shared" si="47"/>
        <v>0</v>
      </c>
      <c r="AH113" s="283">
        <f t="shared" si="48"/>
        <v>73161.990000000005</v>
      </c>
      <c r="AI113" s="283">
        <f t="shared" si="49"/>
        <v>0</v>
      </c>
      <c r="AJ113" s="283">
        <f t="shared" si="50"/>
        <v>3239.29</v>
      </c>
      <c r="AK113" s="283">
        <f t="shared" si="51"/>
        <v>0</v>
      </c>
      <c r="AL113" s="283">
        <f t="shared" si="52"/>
        <v>0</v>
      </c>
      <c r="AM113" s="283">
        <f t="shared" si="53"/>
        <v>0</v>
      </c>
      <c r="AN113" s="283">
        <f t="shared" si="54"/>
        <v>0</v>
      </c>
      <c r="AO113" s="283">
        <f t="shared" si="55"/>
        <v>196.2</v>
      </c>
      <c r="AP113" s="283">
        <f t="shared" si="56"/>
        <v>0</v>
      </c>
      <c r="AQ113" s="283">
        <f t="shared" si="57"/>
        <v>0</v>
      </c>
      <c r="AR113" s="283">
        <f t="shared" si="58"/>
        <v>1296.07</v>
      </c>
      <c r="AS113" s="283">
        <f t="shared" si="59"/>
        <v>0</v>
      </c>
      <c r="AT113" s="283">
        <f t="shared" si="60"/>
        <v>0</v>
      </c>
      <c r="AU113" s="283">
        <f t="shared" si="61"/>
        <v>0</v>
      </c>
      <c r="AV113" s="283">
        <f t="shared" si="62"/>
        <v>0</v>
      </c>
      <c r="AW113" s="320">
        <f t="shared" si="63"/>
        <v>77893.55</v>
      </c>
    </row>
    <row r="114" spans="1:49" x14ac:dyDescent="0.2">
      <c r="A114" s="1" t="s">
        <v>440</v>
      </c>
      <c r="B114" s="7">
        <v>120983</v>
      </c>
      <c r="C114" s="7">
        <v>0</v>
      </c>
      <c r="D114" s="2">
        <f>(B114+C114)*0.124-0.01</f>
        <v>15001.88</v>
      </c>
      <c r="E114" s="2">
        <f t="shared" ref="E114:E121" si="72">(B114+C114)*0.049</f>
        <v>5928.17</v>
      </c>
      <c r="F114" s="2">
        <f t="shared" ref="F114:F121" si="73">(B114+C114)*0.0524</f>
        <v>6339.51</v>
      </c>
      <c r="G114" s="2">
        <f t="shared" si="44"/>
        <v>10670.7</v>
      </c>
      <c r="H114" s="2">
        <f>(B114+C114)*0.0098+0.01</f>
        <v>1185.6400000000001</v>
      </c>
      <c r="I114" s="2">
        <f t="shared" si="45"/>
        <v>48.69</v>
      </c>
      <c r="J114" s="380">
        <f t="shared" si="42"/>
        <v>39174.589999999997</v>
      </c>
      <c r="K114" s="1"/>
      <c r="L114" s="7"/>
      <c r="M114" s="7"/>
      <c r="N114" s="7"/>
      <c r="O114" s="7">
        <v>109171</v>
      </c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>
        <v>11812</v>
      </c>
      <c r="AC114" s="7"/>
      <c r="AD114" s="7">
        <f t="shared" si="71"/>
        <v>120983</v>
      </c>
      <c r="AF114" s="283">
        <f t="shared" si="46"/>
        <v>0</v>
      </c>
      <c r="AG114" s="283">
        <f t="shared" si="47"/>
        <v>0</v>
      </c>
      <c r="AH114" s="283">
        <f t="shared" si="48"/>
        <v>9628.8799999999992</v>
      </c>
      <c r="AI114" s="283">
        <f t="shared" si="49"/>
        <v>0</v>
      </c>
      <c r="AJ114" s="283">
        <f t="shared" si="50"/>
        <v>0</v>
      </c>
      <c r="AK114" s="283">
        <f t="shared" si="51"/>
        <v>0</v>
      </c>
      <c r="AL114" s="283">
        <f t="shared" si="52"/>
        <v>0</v>
      </c>
      <c r="AM114" s="283">
        <f t="shared" si="53"/>
        <v>0</v>
      </c>
      <c r="AN114" s="283">
        <f t="shared" si="54"/>
        <v>0</v>
      </c>
      <c r="AO114" s="283">
        <f t="shared" si="55"/>
        <v>0</v>
      </c>
      <c r="AP114" s="283">
        <f t="shared" si="56"/>
        <v>0</v>
      </c>
      <c r="AQ114" s="283">
        <f t="shared" si="57"/>
        <v>0</v>
      </c>
      <c r="AR114" s="283">
        <f t="shared" si="58"/>
        <v>0</v>
      </c>
      <c r="AS114" s="283">
        <f t="shared" si="59"/>
        <v>0</v>
      </c>
      <c r="AT114" s="283">
        <f t="shared" si="60"/>
        <v>0</v>
      </c>
      <c r="AU114" s="283">
        <f t="shared" si="61"/>
        <v>1041.82</v>
      </c>
      <c r="AV114" s="283">
        <f t="shared" si="62"/>
        <v>0</v>
      </c>
      <c r="AW114" s="320">
        <f t="shared" si="63"/>
        <v>10670.7</v>
      </c>
    </row>
    <row r="115" spans="1:49" x14ac:dyDescent="0.2">
      <c r="A115" s="1" t="s">
        <v>494</v>
      </c>
      <c r="B115" s="7">
        <v>221</v>
      </c>
      <c r="C115" s="7">
        <v>0</v>
      </c>
      <c r="D115" s="2">
        <f t="shared" si="68"/>
        <v>27.4</v>
      </c>
      <c r="E115" s="2">
        <f>(B115+C115)*0.049</f>
        <v>10.83</v>
      </c>
      <c r="F115" s="2">
        <f>(B115+C115)*0.0524</f>
        <v>11.58</v>
      </c>
      <c r="G115" s="2">
        <f t="shared" si="44"/>
        <v>19.489999999999998</v>
      </c>
      <c r="H115" s="2">
        <f t="shared" si="65"/>
        <v>2.17</v>
      </c>
      <c r="I115" s="2">
        <f t="shared" si="45"/>
        <v>0</v>
      </c>
      <c r="J115" s="380">
        <f t="shared" si="42"/>
        <v>71.47</v>
      </c>
      <c r="K115" s="1"/>
      <c r="L115" s="7"/>
      <c r="M115" s="7"/>
      <c r="N115" s="7"/>
      <c r="O115" s="7">
        <v>221</v>
      </c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>
        <f>SUM(L115:AC115)</f>
        <v>221</v>
      </c>
      <c r="AF115" s="283">
        <f t="shared" si="46"/>
        <v>0</v>
      </c>
      <c r="AG115" s="283">
        <f t="shared" si="47"/>
        <v>0</v>
      </c>
      <c r="AH115" s="283">
        <f t="shared" si="48"/>
        <v>19.489999999999998</v>
      </c>
      <c r="AI115" s="283">
        <f t="shared" si="49"/>
        <v>0</v>
      </c>
      <c r="AJ115" s="283">
        <f t="shared" si="50"/>
        <v>0</v>
      </c>
      <c r="AK115" s="283">
        <f t="shared" si="51"/>
        <v>0</v>
      </c>
      <c r="AL115" s="283">
        <f t="shared" si="52"/>
        <v>0</v>
      </c>
      <c r="AM115" s="283">
        <f t="shared" si="53"/>
        <v>0</v>
      </c>
      <c r="AN115" s="283">
        <f t="shared" si="54"/>
        <v>0</v>
      </c>
      <c r="AO115" s="283">
        <f t="shared" si="55"/>
        <v>0</v>
      </c>
      <c r="AP115" s="283">
        <f t="shared" si="56"/>
        <v>0</v>
      </c>
      <c r="AQ115" s="283">
        <f t="shared" si="57"/>
        <v>0</v>
      </c>
      <c r="AR115" s="283">
        <f t="shared" si="58"/>
        <v>0</v>
      </c>
      <c r="AS115" s="283">
        <f t="shared" si="59"/>
        <v>0</v>
      </c>
      <c r="AT115" s="283">
        <f t="shared" si="60"/>
        <v>0</v>
      </c>
      <c r="AU115" s="283">
        <f t="shared" si="61"/>
        <v>0</v>
      </c>
      <c r="AV115" s="283">
        <f t="shared" si="62"/>
        <v>0</v>
      </c>
      <c r="AW115" s="320">
        <f t="shared" si="63"/>
        <v>19.489999999999998</v>
      </c>
    </row>
    <row r="116" spans="1:49" x14ac:dyDescent="0.2">
      <c r="A116" s="1" t="s">
        <v>84</v>
      </c>
      <c r="B116" s="7">
        <v>1842</v>
      </c>
      <c r="C116" s="7">
        <v>15100</v>
      </c>
      <c r="D116" s="2">
        <f>(B116+C116)*0.124-0.01</f>
        <v>2100.8000000000002</v>
      </c>
      <c r="E116" s="2">
        <f t="shared" si="72"/>
        <v>830.16</v>
      </c>
      <c r="F116" s="2">
        <f t="shared" si="73"/>
        <v>887.76</v>
      </c>
      <c r="G116" s="2">
        <f t="shared" si="44"/>
        <v>1404.03</v>
      </c>
      <c r="H116" s="2">
        <f t="shared" si="65"/>
        <v>166.03</v>
      </c>
      <c r="I116" s="2">
        <f t="shared" si="45"/>
        <v>0</v>
      </c>
      <c r="J116" s="380">
        <f t="shared" si="42"/>
        <v>5388.78</v>
      </c>
      <c r="K116" s="1"/>
      <c r="L116" s="7"/>
      <c r="M116" s="7"/>
      <c r="N116" s="7"/>
      <c r="O116" s="7"/>
      <c r="P116" s="7"/>
      <c r="Q116" s="7">
        <v>1842</v>
      </c>
      <c r="R116" s="7"/>
      <c r="S116" s="7"/>
      <c r="T116" s="7">
        <v>15100</v>
      </c>
      <c r="U116" s="7"/>
      <c r="V116" s="7"/>
      <c r="W116" s="7"/>
      <c r="X116" s="7"/>
      <c r="Y116" s="7"/>
      <c r="Z116" s="7"/>
      <c r="AA116" s="7"/>
      <c r="AB116" s="7"/>
      <c r="AC116" s="7"/>
      <c r="AD116" s="7">
        <f t="shared" si="71"/>
        <v>16942</v>
      </c>
      <c r="AF116" s="283">
        <f t="shared" si="46"/>
        <v>0</v>
      </c>
      <c r="AG116" s="283">
        <f t="shared" si="47"/>
        <v>0</v>
      </c>
      <c r="AH116" s="283">
        <f t="shared" si="48"/>
        <v>0</v>
      </c>
      <c r="AI116" s="283">
        <f t="shared" si="49"/>
        <v>0</v>
      </c>
      <c r="AJ116" s="283">
        <f t="shared" si="50"/>
        <v>72.209999999999994</v>
      </c>
      <c r="AK116" s="283">
        <f t="shared" si="51"/>
        <v>0</v>
      </c>
      <c r="AL116" s="283">
        <f t="shared" si="52"/>
        <v>0</v>
      </c>
      <c r="AM116" s="283">
        <f t="shared" si="53"/>
        <v>1331.82</v>
      </c>
      <c r="AN116" s="283">
        <f t="shared" si="54"/>
        <v>0</v>
      </c>
      <c r="AO116" s="283">
        <f t="shared" si="55"/>
        <v>0</v>
      </c>
      <c r="AP116" s="283">
        <f t="shared" si="56"/>
        <v>0</v>
      </c>
      <c r="AQ116" s="283">
        <f t="shared" si="57"/>
        <v>0</v>
      </c>
      <c r="AR116" s="283">
        <f t="shared" si="58"/>
        <v>0</v>
      </c>
      <c r="AS116" s="283">
        <f t="shared" si="59"/>
        <v>0</v>
      </c>
      <c r="AT116" s="283">
        <f t="shared" si="60"/>
        <v>0</v>
      </c>
      <c r="AU116" s="283">
        <f t="shared" si="61"/>
        <v>0</v>
      </c>
      <c r="AV116" s="283">
        <f t="shared" si="62"/>
        <v>0</v>
      </c>
      <c r="AW116" s="320">
        <f t="shared" si="63"/>
        <v>1404.03</v>
      </c>
    </row>
    <row r="117" spans="1:49" x14ac:dyDescent="0.2">
      <c r="A117" s="18" t="s">
        <v>575</v>
      </c>
      <c r="B117" s="245">
        <v>604316</v>
      </c>
      <c r="C117" s="245">
        <v>0</v>
      </c>
      <c r="D117" s="2">
        <f t="shared" si="68"/>
        <v>74935.179999999993</v>
      </c>
      <c r="E117" s="78">
        <f>(B117+C117)*0.049</f>
        <v>29611.48</v>
      </c>
      <c r="F117" s="78">
        <f>(B117+C117)*0.0524</f>
        <v>31666.16</v>
      </c>
      <c r="G117" s="2">
        <f t="shared" si="44"/>
        <v>53300.68</v>
      </c>
      <c r="H117" s="2">
        <f t="shared" si="65"/>
        <v>5922.3</v>
      </c>
      <c r="I117" s="2">
        <f t="shared" si="45"/>
        <v>857.43</v>
      </c>
      <c r="J117" s="380">
        <f t="shared" si="42"/>
        <v>196293.23</v>
      </c>
      <c r="K117" s="18"/>
      <c r="L117" s="245"/>
      <c r="M117" s="245"/>
      <c r="N117" s="245"/>
      <c r="O117" s="245">
        <v>396297</v>
      </c>
      <c r="P117" s="245"/>
      <c r="Q117" s="245"/>
      <c r="R117" s="245"/>
      <c r="S117" s="245"/>
      <c r="T117" s="245"/>
      <c r="U117" s="245"/>
      <c r="V117" s="245"/>
      <c r="W117" s="245"/>
      <c r="X117" s="245"/>
      <c r="Y117" s="245"/>
      <c r="Z117" s="245"/>
      <c r="AA117" s="245"/>
      <c r="AB117" s="245">
        <v>208019</v>
      </c>
      <c r="AC117" s="245"/>
      <c r="AD117" s="245">
        <f>SUM(L117:AC117)</f>
        <v>604316</v>
      </c>
      <c r="AF117" s="283">
        <f t="shared" si="46"/>
        <v>0</v>
      </c>
      <c r="AG117" s="283">
        <f t="shared" si="47"/>
        <v>0</v>
      </c>
      <c r="AH117" s="283">
        <f t="shared" si="48"/>
        <v>34953.4</v>
      </c>
      <c r="AI117" s="283">
        <f t="shared" si="49"/>
        <v>0</v>
      </c>
      <c r="AJ117" s="283">
        <f t="shared" si="50"/>
        <v>0</v>
      </c>
      <c r="AK117" s="283">
        <f t="shared" si="51"/>
        <v>0</v>
      </c>
      <c r="AL117" s="283">
        <f t="shared" si="52"/>
        <v>0</v>
      </c>
      <c r="AM117" s="283">
        <f t="shared" si="53"/>
        <v>0</v>
      </c>
      <c r="AN117" s="283">
        <f t="shared" si="54"/>
        <v>0</v>
      </c>
      <c r="AO117" s="283">
        <f t="shared" si="55"/>
        <v>0</v>
      </c>
      <c r="AP117" s="283">
        <f t="shared" si="56"/>
        <v>0</v>
      </c>
      <c r="AQ117" s="283">
        <f t="shared" si="57"/>
        <v>0</v>
      </c>
      <c r="AR117" s="283">
        <f t="shared" si="58"/>
        <v>0</v>
      </c>
      <c r="AS117" s="283">
        <f t="shared" si="59"/>
        <v>0</v>
      </c>
      <c r="AT117" s="283">
        <f t="shared" si="60"/>
        <v>0</v>
      </c>
      <c r="AU117" s="283">
        <f t="shared" si="61"/>
        <v>18347.28</v>
      </c>
      <c r="AV117" s="283">
        <f t="shared" si="62"/>
        <v>0</v>
      </c>
      <c r="AW117" s="320">
        <f t="shared" si="63"/>
        <v>53300.68</v>
      </c>
    </row>
    <row r="118" spans="1:49" x14ac:dyDescent="0.2">
      <c r="A118" s="18" t="s">
        <v>738</v>
      </c>
      <c r="B118" s="7"/>
      <c r="C118" s="7"/>
      <c r="D118" s="2">
        <f>(B118+C118)*0.124</f>
        <v>0</v>
      </c>
      <c r="E118" s="2">
        <f>(B118+C118)*0.049</f>
        <v>0</v>
      </c>
      <c r="F118" s="2">
        <f>(B118+C118)*0.0524</f>
        <v>0</v>
      </c>
      <c r="G118" s="2">
        <f>+AW118</f>
        <v>0</v>
      </c>
      <c r="H118" s="2">
        <f>(B118+C118)*0.0098</f>
        <v>0</v>
      </c>
      <c r="I118" s="2">
        <f>(AB118)*0.0041219</f>
        <v>0</v>
      </c>
      <c r="J118" s="380">
        <f>SUM(D118:I118)</f>
        <v>0</v>
      </c>
      <c r="K118" s="1"/>
      <c r="L118" s="7"/>
      <c r="M118" s="7"/>
      <c r="N118" s="7">
        <v>-519422</v>
      </c>
      <c r="O118" s="7">
        <v>519422</v>
      </c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>
        <f>SUM(L118:AC118)</f>
        <v>0</v>
      </c>
      <c r="AF118" s="283">
        <f>+M118*$AF$12</f>
        <v>0</v>
      </c>
      <c r="AG118" s="283">
        <f>+N118*$AG$12</f>
        <v>-45813.02</v>
      </c>
      <c r="AH118" s="283">
        <f>+O118*$AH$12</f>
        <v>45813.02</v>
      </c>
      <c r="AI118" s="283">
        <f>+P118*$AI$12</f>
        <v>0</v>
      </c>
      <c r="AJ118" s="283">
        <f>+Q118*$AJ$12</f>
        <v>0</v>
      </c>
      <c r="AK118" s="283">
        <f>+R118*$AK$12</f>
        <v>0</v>
      </c>
      <c r="AL118" s="283">
        <f>+S118*$AL$12</f>
        <v>0</v>
      </c>
      <c r="AM118" s="283">
        <f>+T118*$AM$12</f>
        <v>0</v>
      </c>
      <c r="AN118" s="283">
        <f>+U118*$AN$12</f>
        <v>0</v>
      </c>
      <c r="AO118" s="283">
        <f>+V118*$AO$12</f>
        <v>0</v>
      </c>
      <c r="AP118" s="283">
        <f>+W118*$AP$12</f>
        <v>0</v>
      </c>
      <c r="AQ118" s="283">
        <f>+X118*$AQ$12</f>
        <v>0</v>
      </c>
      <c r="AR118" s="283">
        <f>+Y118*$AR$12</f>
        <v>0</v>
      </c>
      <c r="AS118" s="283">
        <f>+Z118*$AS$12</f>
        <v>0</v>
      </c>
      <c r="AT118" s="283">
        <f>+AA118*$AT$12</f>
        <v>0</v>
      </c>
      <c r="AU118" s="283">
        <f>+AB118*$AU$12</f>
        <v>0</v>
      </c>
      <c r="AV118" s="283">
        <f>+AC118*$AV$12</f>
        <v>0</v>
      </c>
      <c r="AW118" s="320">
        <f>SUM(AF118:AV118)</f>
        <v>0</v>
      </c>
    </row>
    <row r="119" spans="1:49" x14ac:dyDescent="0.2">
      <c r="A119" s="18" t="s">
        <v>476</v>
      </c>
      <c r="B119" s="7"/>
      <c r="C119" s="7"/>
      <c r="D119" s="2">
        <f>(B119+C119)*0.124</f>
        <v>0</v>
      </c>
      <c r="E119" s="2">
        <f>(B119+C119)*0.049</f>
        <v>0</v>
      </c>
      <c r="F119" s="2">
        <f>(B119+C119)*0.0524</f>
        <v>0</v>
      </c>
      <c r="G119" s="2">
        <f>+AW119</f>
        <v>19.05</v>
      </c>
      <c r="H119" s="2">
        <f>(B119+C119)*0.0098+2.12</f>
        <v>2.12</v>
      </c>
      <c r="I119" s="2">
        <f>(AB119)*0.0041219</f>
        <v>0</v>
      </c>
      <c r="J119" s="380">
        <f>SUM(D119:I119)</f>
        <v>21.17</v>
      </c>
      <c r="K119" s="1"/>
      <c r="L119" s="7"/>
      <c r="M119" s="7"/>
      <c r="N119" s="7"/>
      <c r="O119" s="7">
        <v>216</v>
      </c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>
        <f>SUM(L119:AC119)</f>
        <v>216</v>
      </c>
      <c r="AF119" s="283">
        <f>+M119*$AF$12</f>
        <v>0</v>
      </c>
      <c r="AG119" s="283">
        <f>+N119*$AG$12</f>
        <v>0</v>
      </c>
      <c r="AH119" s="283">
        <f>+O119*$AH$12</f>
        <v>19.05</v>
      </c>
      <c r="AI119" s="283">
        <f>+P119*$AI$12</f>
        <v>0</v>
      </c>
      <c r="AJ119" s="283">
        <f>+Q119*$AJ$12</f>
        <v>0</v>
      </c>
      <c r="AK119" s="283">
        <f>+R119*$AK$12</f>
        <v>0</v>
      </c>
      <c r="AL119" s="283">
        <f>+S119*$AL$12</f>
        <v>0</v>
      </c>
      <c r="AM119" s="283">
        <f>+T119*$AM$12</f>
        <v>0</v>
      </c>
      <c r="AN119" s="283">
        <f>+U119*$AN$12</f>
        <v>0</v>
      </c>
      <c r="AO119" s="283">
        <f>+V119*$AO$12</f>
        <v>0</v>
      </c>
      <c r="AP119" s="283">
        <f>+W119*$AP$12</f>
        <v>0</v>
      </c>
      <c r="AQ119" s="283">
        <f>+X119*$AQ$12</f>
        <v>0</v>
      </c>
      <c r="AR119" s="283">
        <f>+Y119*$AR$12</f>
        <v>0</v>
      </c>
      <c r="AS119" s="283">
        <f>+Z119*$AS$12</f>
        <v>0</v>
      </c>
      <c r="AT119" s="283">
        <f>+AA119*$AT$12</f>
        <v>0</v>
      </c>
      <c r="AU119" s="283">
        <f>+AB119*$AU$12</f>
        <v>0</v>
      </c>
      <c r="AV119" s="283">
        <f>+AC119*$AV$12</f>
        <v>0</v>
      </c>
      <c r="AW119" s="320">
        <f>SUM(AF119:AV119)</f>
        <v>19.05</v>
      </c>
    </row>
    <row r="120" spans="1:49" x14ac:dyDescent="0.2">
      <c r="A120" s="18" t="s">
        <v>70</v>
      </c>
      <c r="B120" s="245">
        <v>146839</v>
      </c>
      <c r="C120" s="245">
        <v>0</v>
      </c>
      <c r="D120" s="2">
        <f>(B120+C120)*0.124-0.01</f>
        <v>18208.03</v>
      </c>
      <c r="E120" s="78">
        <f t="shared" si="72"/>
        <v>7195.11</v>
      </c>
      <c r="F120" s="78">
        <f t="shared" si="73"/>
        <v>7694.36</v>
      </c>
      <c r="G120" s="2">
        <f t="shared" si="44"/>
        <v>12951.2</v>
      </c>
      <c r="H120" s="2">
        <f t="shared" si="65"/>
        <v>1439.02</v>
      </c>
      <c r="I120" s="2">
        <f t="shared" si="45"/>
        <v>605.26</v>
      </c>
      <c r="J120" s="380">
        <f>SUM(D120:I120)</f>
        <v>48092.98</v>
      </c>
      <c r="K120" s="18"/>
      <c r="L120" s="245"/>
      <c r="M120" s="245"/>
      <c r="N120" s="245"/>
      <c r="O120" s="245"/>
      <c r="P120" s="245"/>
      <c r="Q120" s="245"/>
      <c r="R120" s="245"/>
      <c r="S120" s="245"/>
      <c r="T120" s="245"/>
      <c r="U120" s="245"/>
      <c r="V120" s="245"/>
      <c r="W120" s="245"/>
      <c r="X120" s="245"/>
      <c r="Y120" s="245"/>
      <c r="Z120" s="245"/>
      <c r="AA120" s="245"/>
      <c r="AB120" s="7">
        <v>146839</v>
      </c>
      <c r="AC120" s="245"/>
      <c r="AD120" s="245">
        <f t="shared" si="71"/>
        <v>146839</v>
      </c>
      <c r="AF120" s="283">
        <f t="shared" si="46"/>
        <v>0</v>
      </c>
      <c r="AG120" s="283">
        <f t="shared" si="47"/>
        <v>0</v>
      </c>
      <c r="AH120" s="283">
        <f t="shared" si="48"/>
        <v>0</v>
      </c>
      <c r="AI120" s="283">
        <f t="shared" si="49"/>
        <v>0</v>
      </c>
      <c r="AJ120" s="283">
        <f t="shared" si="50"/>
        <v>0</v>
      </c>
      <c r="AK120" s="283">
        <f t="shared" si="51"/>
        <v>0</v>
      </c>
      <c r="AL120" s="283">
        <f t="shared" si="52"/>
        <v>0</v>
      </c>
      <c r="AM120" s="283">
        <f t="shared" si="53"/>
        <v>0</v>
      </c>
      <c r="AN120" s="283">
        <f t="shared" si="54"/>
        <v>0</v>
      </c>
      <c r="AO120" s="283">
        <f t="shared" si="55"/>
        <v>0</v>
      </c>
      <c r="AP120" s="283">
        <f t="shared" si="56"/>
        <v>0</v>
      </c>
      <c r="AQ120" s="283">
        <f t="shared" si="57"/>
        <v>0</v>
      </c>
      <c r="AR120" s="283">
        <f t="shared" si="58"/>
        <v>0</v>
      </c>
      <c r="AS120" s="283">
        <f t="shared" si="59"/>
        <v>0</v>
      </c>
      <c r="AT120" s="283">
        <f t="shared" si="60"/>
        <v>0</v>
      </c>
      <c r="AU120" s="283">
        <f t="shared" si="61"/>
        <v>12951.2</v>
      </c>
      <c r="AV120" s="283">
        <f t="shared" si="62"/>
        <v>0</v>
      </c>
      <c r="AW120" s="320">
        <f t="shared" si="63"/>
        <v>12951.2</v>
      </c>
    </row>
    <row r="121" spans="1:49" x14ac:dyDescent="0.2">
      <c r="A121" s="1" t="s">
        <v>71</v>
      </c>
      <c r="B121" s="7">
        <v>223278</v>
      </c>
      <c r="C121" s="7">
        <v>0</v>
      </c>
      <c r="D121" s="2">
        <f t="shared" si="68"/>
        <v>27686.47</v>
      </c>
      <c r="E121" s="2">
        <f t="shared" si="72"/>
        <v>10940.62</v>
      </c>
      <c r="F121" s="2">
        <f t="shared" si="73"/>
        <v>11699.77</v>
      </c>
      <c r="G121" s="2">
        <f t="shared" si="44"/>
        <v>19619.62</v>
      </c>
      <c r="H121" s="2">
        <f t="shared" si="65"/>
        <v>2188.12</v>
      </c>
      <c r="I121" s="2">
        <f t="shared" si="45"/>
        <v>0</v>
      </c>
      <c r="J121" s="380">
        <f>SUM(D121:I121)</f>
        <v>72134.600000000006</v>
      </c>
      <c r="K121" s="1"/>
      <c r="L121" s="7"/>
      <c r="M121" s="7"/>
      <c r="N121" s="7">
        <v>158727</v>
      </c>
      <c r="O121" s="7"/>
      <c r="P121" s="7"/>
      <c r="Q121" s="7"/>
      <c r="R121" s="7">
        <v>1500</v>
      </c>
      <c r="S121" s="7"/>
      <c r="T121" s="7"/>
      <c r="U121" s="7"/>
      <c r="V121" s="7"/>
      <c r="W121" s="7"/>
      <c r="X121" s="7">
        <v>63051</v>
      </c>
      <c r="Y121" s="7"/>
      <c r="Z121" s="7"/>
      <c r="AA121" s="7"/>
      <c r="AB121" s="7"/>
      <c r="AC121" s="7"/>
      <c r="AD121" s="7">
        <f t="shared" si="71"/>
        <v>223278</v>
      </c>
      <c r="AF121" s="283">
        <f t="shared" si="46"/>
        <v>0</v>
      </c>
      <c r="AG121" s="283">
        <f t="shared" si="47"/>
        <v>13999.72</v>
      </c>
      <c r="AH121" s="283">
        <f t="shared" si="48"/>
        <v>0</v>
      </c>
      <c r="AI121" s="283">
        <f t="shared" si="49"/>
        <v>0</v>
      </c>
      <c r="AJ121" s="283">
        <f t="shared" si="50"/>
        <v>0</v>
      </c>
      <c r="AK121" s="283">
        <f t="shared" si="51"/>
        <v>58.8</v>
      </c>
      <c r="AL121" s="283">
        <f t="shared" si="52"/>
        <v>0</v>
      </c>
      <c r="AM121" s="283">
        <f t="shared" si="53"/>
        <v>0</v>
      </c>
      <c r="AN121" s="283">
        <f t="shared" si="54"/>
        <v>0</v>
      </c>
      <c r="AO121" s="283">
        <f t="shared" si="55"/>
        <v>0</v>
      </c>
      <c r="AP121" s="283">
        <f t="shared" si="56"/>
        <v>0</v>
      </c>
      <c r="AQ121" s="283">
        <f t="shared" si="57"/>
        <v>5561.1</v>
      </c>
      <c r="AR121" s="283">
        <f t="shared" si="58"/>
        <v>0</v>
      </c>
      <c r="AS121" s="283">
        <f t="shared" si="59"/>
        <v>0</v>
      </c>
      <c r="AT121" s="283">
        <f t="shared" si="60"/>
        <v>0</v>
      </c>
      <c r="AU121" s="283">
        <f t="shared" si="61"/>
        <v>0</v>
      </c>
      <c r="AV121" s="283">
        <f t="shared" si="62"/>
        <v>0</v>
      </c>
      <c r="AW121" s="320">
        <f t="shared" si="63"/>
        <v>19619.62</v>
      </c>
    </row>
    <row r="122" spans="1:49" x14ac:dyDescent="0.2">
      <c r="A122" s="1" t="s">
        <v>361</v>
      </c>
      <c r="B122" s="7">
        <v>156837</v>
      </c>
      <c r="C122" s="7">
        <v>0</v>
      </c>
      <c r="D122" s="2">
        <f>(B122+C122)*0.124+0.01</f>
        <v>19447.8</v>
      </c>
      <c r="E122" s="2">
        <f>(B122+C122)*0.049</f>
        <v>7685.01</v>
      </c>
      <c r="F122" s="2">
        <f>(B122+C122)*0.0524</f>
        <v>8218.26</v>
      </c>
      <c r="G122" s="2">
        <f t="shared" si="44"/>
        <v>13833.02</v>
      </c>
      <c r="H122" s="2">
        <f t="shared" si="65"/>
        <v>1537</v>
      </c>
      <c r="I122" s="2">
        <f t="shared" si="45"/>
        <v>0</v>
      </c>
      <c r="J122" s="380">
        <f>SUM(D122:I122)</f>
        <v>50721.09</v>
      </c>
      <c r="K122" s="1"/>
      <c r="L122" s="7"/>
      <c r="M122" s="7"/>
      <c r="N122" s="7"/>
      <c r="O122" s="7">
        <v>156837</v>
      </c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>
        <f>SUM(L122:AC122)</f>
        <v>156837</v>
      </c>
      <c r="AF122" s="283">
        <f t="shared" si="46"/>
        <v>0</v>
      </c>
      <c r="AG122" s="283">
        <f t="shared" si="47"/>
        <v>0</v>
      </c>
      <c r="AH122" s="283">
        <f t="shared" si="48"/>
        <v>13833.02</v>
      </c>
      <c r="AI122" s="283">
        <f t="shared" si="49"/>
        <v>0</v>
      </c>
      <c r="AJ122" s="283">
        <f t="shared" si="50"/>
        <v>0</v>
      </c>
      <c r="AK122" s="283">
        <f t="shared" si="51"/>
        <v>0</v>
      </c>
      <c r="AL122" s="283">
        <f t="shared" si="52"/>
        <v>0</v>
      </c>
      <c r="AM122" s="283">
        <f t="shared" si="53"/>
        <v>0</v>
      </c>
      <c r="AN122" s="283">
        <f t="shared" si="54"/>
        <v>0</v>
      </c>
      <c r="AO122" s="283">
        <f t="shared" si="55"/>
        <v>0</v>
      </c>
      <c r="AP122" s="283">
        <f t="shared" si="56"/>
        <v>0</v>
      </c>
      <c r="AQ122" s="283">
        <f t="shared" si="57"/>
        <v>0</v>
      </c>
      <c r="AR122" s="283">
        <f t="shared" si="58"/>
        <v>0</v>
      </c>
      <c r="AS122" s="283">
        <f t="shared" si="59"/>
        <v>0</v>
      </c>
      <c r="AT122" s="283">
        <f t="shared" si="60"/>
        <v>0</v>
      </c>
      <c r="AU122" s="283">
        <f t="shared" si="61"/>
        <v>0</v>
      </c>
      <c r="AV122" s="283">
        <f t="shared" si="62"/>
        <v>0</v>
      </c>
      <c r="AW122" s="320">
        <f t="shared" si="63"/>
        <v>13833.02</v>
      </c>
    </row>
    <row r="123" spans="1:49" x14ac:dyDescent="0.2">
      <c r="A123" s="10"/>
      <c r="B123" s="32"/>
      <c r="C123" s="32"/>
      <c r="D123" s="33"/>
      <c r="E123" s="33"/>
      <c r="F123" s="33"/>
      <c r="G123" s="33"/>
      <c r="H123" s="33"/>
      <c r="I123" s="33"/>
      <c r="J123" s="381"/>
      <c r="K123" s="89"/>
      <c r="L123" s="89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W123" s="320"/>
    </row>
    <row r="124" spans="1:49" ht="13.5" thickBot="1" x14ac:dyDescent="0.25">
      <c r="A124" s="127" t="s">
        <v>72</v>
      </c>
      <c r="B124" s="7">
        <f t="shared" ref="B124:J124" si="74">SUM(B12:B123)</f>
        <v>75731960</v>
      </c>
      <c r="C124" s="7">
        <f t="shared" si="74"/>
        <v>17960047</v>
      </c>
      <c r="D124" s="2">
        <f t="shared" si="74"/>
        <v>11606582.17</v>
      </c>
      <c r="E124" s="2">
        <f t="shared" si="74"/>
        <v>4584584.2300000004</v>
      </c>
      <c r="F124" s="2">
        <f t="shared" si="74"/>
        <v>4902699.91</v>
      </c>
      <c r="G124" s="2">
        <f t="shared" si="74"/>
        <v>7909715.8200000003</v>
      </c>
      <c r="H124" s="2">
        <f t="shared" si="74"/>
        <v>916921.93</v>
      </c>
      <c r="I124" s="2">
        <f t="shared" si="74"/>
        <v>65678.12</v>
      </c>
      <c r="J124" s="382">
        <f t="shared" si="74"/>
        <v>29986182.18</v>
      </c>
      <c r="K124" s="7"/>
      <c r="L124" s="113" t="s">
        <v>73</v>
      </c>
      <c r="M124" s="37">
        <f t="shared" ref="M124:AD124" si="75">SUM(M12:M123)</f>
        <v>3132007</v>
      </c>
      <c r="N124" s="37">
        <f t="shared" si="75"/>
        <v>365081</v>
      </c>
      <c r="O124" s="37">
        <f t="shared" si="75"/>
        <v>63002872</v>
      </c>
      <c r="P124" s="37">
        <f t="shared" si="75"/>
        <v>2138016</v>
      </c>
      <c r="Q124" s="37">
        <f t="shared" si="75"/>
        <v>2456087</v>
      </c>
      <c r="R124" s="37">
        <f t="shared" si="75"/>
        <v>20955</v>
      </c>
      <c r="S124" s="37">
        <f t="shared" si="75"/>
        <v>91899</v>
      </c>
      <c r="T124" s="37">
        <f t="shared" si="75"/>
        <v>1077186</v>
      </c>
      <c r="U124" s="37">
        <f t="shared" si="75"/>
        <v>370823</v>
      </c>
      <c r="V124" s="37">
        <f t="shared" si="75"/>
        <v>175346</v>
      </c>
      <c r="W124" s="37">
        <f t="shared" si="75"/>
        <v>1666451</v>
      </c>
      <c r="X124" s="37">
        <f t="shared" si="75"/>
        <v>311483</v>
      </c>
      <c r="Y124" s="37">
        <f t="shared" si="75"/>
        <v>2051045</v>
      </c>
      <c r="Z124" s="37">
        <f t="shared" si="75"/>
        <v>237921</v>
      </c>
      <c r="AA124" s="37">
        <f t="shared" si="75"/>
        <v>25649</v>
      </c>
      <c r="AB124" s="37">
        <f t="shared" si="75"/>
        <v>15953418</v>
      </c>
      <c r="AC124" s="37">
        <f t="shared" si="75"/>
        <v>496315</v>
      </c>
      <c r="AD124" s="37">
        <f t="shared" si="75"/>
        <v>93572554</v>
      </c>
      <c r="AF124" s="321">
        <f t="shared" ref="AF124:AW124" si="76">SUM(AF13:AF123)</f>
        <v>276243.02</v>
      </c>
      <c r="AG124" s="321">
        <f t="shared" si="76"/>
        <v>32200.15</v>
      </c>
      <c r="AH124" s="321">
        <f t="shared" si="76"/>
        <v>5556864.8099999996</v>
      </c>
      <c r="AI124" s="321">
        <f t="shared" si="76"/>
        <v>83810.23</v>
      </c>
      <c r="AJ124" s="321">
        <f t="shared" si="76"/>
        <v>96269.41</v>
      </c>
      <c r="AK124" s="321">
        <f t="shared" si="76"/>
        <v>821.43</v>
      </c>
      <c r="AL124" s="321">
        <f t="shared" si="76"/>
        <v>3602.44</v>
      </c>
      <c r="AM124" s="321">
        <f t="shared" si="76"/>
        <v>95007.8</v>
      </c>
      <c r="AN124" s="321">
        <f t="shared" si="76"/>
        <v>30850.67</v>
      </c>
      <c r="AO124" s="321">
        <f t="shared" si="76"/>
        <v>6873.57</v>
      </c>
      <c r="AP124" s="321">
        <f t="shared" si="76"/>
        <v>146980.97</v>
      </c>
      <c r="AQ124" s="321">
        <f t="shared" si="76"/>
        <v>27472.81</v>
      </c>
      <c r="AR124" s="321">
        <f t="shared" si="76"/>
        <v>80402.5</v>
      </c>
      <c r="AS124" s="321">
        <f t="shared" si="76"/>
        <v>20984.639999999999</v>
      </c>
      <c r="AT124" s="321">
        <f t="shared" si="76"/>
        <v>1005.45</v>
      </c>
      <c r="AU124" s="321">
        <f t="shared" si="76"/>
        <v>1406550.93</v>
      </c>
      <c r="AV124" s="321">
        <f t="shared" si="76"/>
        <v>43774.99</v>
      </c>
      <c r="AW124" s="321">
        <f t="shared" si="76"/>
        <v>7909715.8200000003</v>
      </c>
    </row>
    <row r="125" spans="1:49" x14ac:dyDescent="0.2">
      <c r="A125" s="127" t="s">
        <v>74</v>
      </c>
      <c r="B125" s="7">
        <f>C124</f>
        <v>17960047</v>
      </c>
      <c r="C125" s="7"/>
      <c r="D125" s="2"/>
      <c r="E125" s="2"/>
      <c r="F125" s="2"/>
      <c r="G125" s="2"/>
      <c r="H125" s="2"/>
      <c r="I125" s="2"/>
      <c r="J125" s="382"/>
      <c r="K125" s="1"/>
      <c r="L125" s="7"/>
      <c r="M125" s="7"/>
      <c r="N125" s="7"/>
      <c r="O125" s="7"/>
      <c r="P125" s="7"/>
      <c r="Q125" s="7"/>
      <c r="R125" s="7"/>
      <c r="S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W125" s="320"/>
    </row>
    <row r="126" spans="1:49" ht="13.5" thickBot="1" x14ac:dyDescent="0.25">
      <c r="A126" s="128" t="s">
        <v>12</v>
      </c>
      <c r="B126" s="34">
        <f>B124+B125</f>
        <v>93692007</v>
      </c>
      <c r="C126" s="35"/>
      <c r="D126" s="36">
        <f t="shared" ref="D126:J126" si="77">D124</f>
        <v>11606582.17</v>
      </c>
      <c r="E126" s="36">
        <f t="shared" si="77"/>
        <v>4584584.2300000004</v>
      </c>
      <c r="F126" s="36">
        <f t="shared" si="77"/>
        <v>4902699.91</v>
      </c>
      <c r="G126" s="36">
        <f t="shared" si="77"/>
        <v>7909715.8200000003</v>
      </c>
      <c r="H126" s="36">
        <f t="shared" si="77"/>
        <v>916921.93</v>
      </c>
      <c r="I126" s="36">
        <f t="shared" si="77"/>
        <v>65678.12</v>
      </c>
      <c r="J126" s="383">
        <f t="shared" si="77"/>
        <v>29986182.18</v>
      </c>
      <c r="K126" s="1"/>
      <c r="L126" s="23" t="s">
        <v>75</v>
      </c>
      <c r="M126" s="8">
        <f>M124*0.0882</f>
        <v>276243.02</v>
      </c>
      <c r="N126" s="8">
        <f>N124*0.0882</f>
        <v>32200.14</v>
      </c>
      <c r="O126" s="8">
        <f>O124*0.0882</f>
        <v>5556853.3099999996</v>
      </c>
      <c r="P126" s="8">
        <f>P124*0.0392</f>
        <v>83810.23</v>
      </c>
      <c r="Q126" s="8">
        <f>Q124*0.0392</f>
        <v>96278.61</v>
      </c>
      <c r="R126" s="8">
        <f>R124*0.0392</f>
        <v>821.44</v>
      </c>
      <c r="S126" s="8">
        <f>S124*0.0392</f>
        <v>3602.44</v>
      </c>
      <c r="T126" s="8">
        <f>T124*0.0882</f>
        <v>95007.81</v>
      </c>
      <c r="U126" s="8">
        <f>U124*0.0882</f>
        <v>32706.59</v>
      </c>
      <c r="V126" s="8">
        <f>V124*0.0392</f>
        <v>6873.56</v>
      </c>
      <c r="W126" s="8">
        <f>W124*0.0882</f>
        <v>146980.98000000001</v>
      </c>
      <c r="X126" s="8">
        <f>X124*0.0882</f>
        <v>27472.799999999999</v>
      </c>
      <c r="Y126" s="8">
        <f>Y124*0.0392</f>
        <v>80400.960000000006</v>
      </c>
      <c r="Z126" s="8">
        <f>Z124*0.0882</f>
        <v>20984.63</v>
      </c>
      <c r="AA126" s="8">
        <f>AA124*0.0392</f>
        <v>1005.44</v>
      </c>
      <c r="AB126" s="8">
        <f>AB124*0.0882</f>
        <v>1407091.47</v>
      </c>
      <c r="AC126" s="8">
        <f>AC124*0.0882</f>
        <v>43774.98</v>
      </c>
      <c r="AW126" s="320"/>
    </row>
    <row r="127" spans="1:49" hidden="1" x14ac:dyDescent="0.2">
      <c r="A127" s="1"/>
      <c r="B127" s="7" t="s">
        <v>501</v>
      </c>
      <c r="C127" s="1"/>
      <c r="D127" s="1"/>
      <c r="E127" s="1"/>
      <c r="F127" s="1"/>
      <c r="G127" s="1"/>
      <c r="H127" s="1"/>
      <c r="I127" s="1"/>
      <c r="J127" s="1"/>
      <c r="K127" s="1"/>
      <c r="L127" s="22" t="s">
        <v>76</v>
      </c>
      <c r="M127" s="8">
        <f t="shared" ref="M127:V127" si="78">M124*0.0098</f>
        <v>30693.67</v>
      </c>
      <c r="N127" s="8">
        <f t="shared" si="78"/>
        <v>3577.79</v>
      </c>
      <c r="O127" s="8">
        <f t="shared" si="78"/>
        <v>617428.15</v>
      </c>
      <c r="P127" s="8">
        <f t="shared" si="78"/>
        <v>20952.560000000001</v>
      </c>
      <c r="Q127" s="8">
        <f t="shared" si="78"/>
        <v>24069.65</v>
      </c>
      <c r="R127" s="8">
        <f t="shared" si="78"/>
        <v>205.36</v>
      </c>
      <c r="S127" s="8">
        <f t="shared" si="78"/>
        <v>900.61</v>
      </c>
      <c r="T127" s="8">
        <f t="shared" si="78"/>
        <v>10556.42</v>
      </c>
      <c r="U127" s="8">
        <f t="shared" si="78"/>
        <v>3634.07</v>
      </c>
      <c r="V127" s="8">
        <f t="shared" si="78"/>
        <v>1718.39</v>
      </c>
      <c r="W127" s="8">
        <f t="shared" ref="W127:AC127" si="79">W124*0.0098</f>
        <v>16331.22</v>
      </c>
      <c r="X127" s="8">
        <f t="shared" si="79"/>
        <v>3052.53</v>
      </c>
      <c r="Y127" s="8">
        <f t="shared" si="79"/>
        <v>20100.240000000002</v>
      </c>
      <c r="Z127" s="8">
        <f t="shared" si="79"/>
        <v>2331.63</v>
      </c>
      <c r="AA127" s="8">
        <f t="shared" si="79"/>
        <v>251.36</v>
      </c>
      <c r="AB127" s="8">
        <f t="shared" si="79"/>
        <v>156343.5</v>
      </c>
      <c r="AC127" s="8">
        <f t="shared" si="79"/>
        <v>4863.8900000000003</v>
      </c>
      <c r="AW127" s="320"/>
    </row>
    <row r="128" spans="1:49" hidden="1" x14ac:dyDescent="0.2">
      <c r="A128" s="1"/>
      <c r="B128" s="1"/>
      <c r="C128" s="1"/>
      <c r="D128" s="1"/>
      <c r="E128" s="1"/>
      <c r="F128" s="1"/>
      <c r="G128" s="24" t="s">
        <v>77</v>
      </c>
      <c r="H128" s="2">
        <v>0</v>
      </c>
      <c r="I128" s="2"/>
      <c r="J128" s="2">
        <f>'s6'!J28</f>
        <v>8116.67</v>
      </c>
      <c r="K128" s="2"/>
      <c r="L128" s="312" t="s">
        <v>660</v>
      </c>
      <c r="M128" s="313"/>
      <c r="N128" s="313"/>
      <c r="O128" s="313"/>
      <c r="P128" s="313"/>
      <c r="Q128" s="313"/>
      <c r="R128" s="313"/>
      <c r="S128" s="313"/>
      <c r="T128" s="313"/>
      <c r="U128" s="313"/>
      <c r="V128" s="313"/>
      <c r="W128" s="313"/>
      <c r="X128" s="313"/>
      <c r="Y128" s="313"/>
      <c r="Z128" s="313"/>
      <c r="AA128" s="313"/>
      <c r="AB128" s="8">
        <f>AB124*0.0041219</f>
        <v>65758.39</v>
      </c>
      <c r="AC128" s="313"/>
    </row>
    <row r="129" spans="1:31" hidden="1" x14ac:dyDescent="0.2">
      <c r="A129" s="1"/>
      <c r="B129" s="1"/>
      <c r="C129" s="1"/>
      <c r="D129" s="1"/>
      <c r="E129" s="1"/>
      <c r="F129" s="2"/>
      <c r="H129" s="1"/>
      <c r="I129" s="1"/>
      <c r="J129" s="2"/>
      <c r="K129" s="1"/>
    </row>
    <row r="130" spans="1:31" hidden="1" x14ac:dyDescent="0.2">
      <c r="A130" s="1"/>
      <c r="B130" s="1"/>
      <c r="C130" s="1"/>
      <c r="D130" s="1"/>
      <c r="E130" s="1"/>
      <c r="F130" s="1"/>
      <c r="G130" s="5" t="s">
        <v>78</v>
      </c>
      <c r="H130" s="1"/>
      <c r="I130" s="1"/>
      <c r="J130" s="279">
        <f>21093866.31+8892315.87</f>
        <v>29986182.18</v>
      </c>
      <c r="K130" s="1"/>
      <c r="L130" t="s">
        <v>572</v>
      </c>
      <c r="M130" s="8">
        <v>306936.69</v>
      </c>
      <c r="N130" s="8">
        <v>35777.94</v>
      </c>
      <c r="O130" s="278">
        <v>6174294.25</v>
      </c>
      <c r="P130" s="8">
        <v>104762.79</v>
      </c>
      <c r="Q130" s="8">
        <v>120336.74</v>
      </c>
      <c r="R130" s="8">
        <v>1026.79</v>
      </c>
      <c r="S130" s="8">
        <v>4503.0600000000004</v>
      </c>
      <c r="T130" s="8">
        <v>105564.23</v>
      </c>
      <c r="U130" s="8">
        <v>34456.300000000003</v>
      </c>
      <c r="V130" s="8">
        <v>8591.9599999999991</v>
      </c>
      <c r="W130" s="8">
        <v>163312.20000000001</v>
      </c>
      <c r="X130" s="8">
        <v>30525.360000000001</v>
      </c>
      <c r="Y130" s="278">
        <v>100503.11</v>
      </c>
      <c r="Z130" s="8">
        <v>23316.27</v>
      </c>
      <c r="AA130" s="8">
        <v>1256.81</v>
      </c>
      <c r="AB130" s="8">
        <v>1562834.36</v>
      </c>
      <c r="AC130" s="8">
        <v>48638.89</v>
      </c>
      <c r="AD130" s="8"/>
      <c r="AE130" s="8"/>
    </row>
    <row r="131" spans="1:31" hidden="1" x14ac:dyDescent="0.2">
      <c r="A131" s="1"/>
      <c r="B131" s="1"/>
      <c r="C131" s="1"/>
      <c r="D131" s="1"/>
      <c r="E131" s="1"/>
      <c r="F131" s="1"/>
      <c r="H131" s="1"/>
      <c r="I131" s="1"/>
      <c r="J131" s="2"/>
      <c r="K131" s="1"/>
      <c r="M131" s="313"/>
      <c r="N131" s="313"/>
      <c r="O131" s="313"/>
      <c r="P131" s="313"/>
      <c r="Q131" s="313"/>
      <c r="R131" s="313"/>
      <c r="S131" s="313"/>
      <c r="T131" s="313"/>
      <c r="U131" s="313"/>
      <c r="V131" s="313"/>
      <c r="W131" s="313"/>
      <c r="X131" s="313"/>
      <c r="Y131" s="313"/>
      <c r="Z131" s="313"/>
      <c r="AA131" s="316" t="s">
        <v>665</v>
      </c>
      <c r="AB131" s="8">
        <v>65678.12</v>
      </c>
      <c r="AC131" s="313"/>
    </row>
    <row r="132" spans="1:31" hidden="1" x14ac:dyDescent="0.2">
      <c r="A132" s="1"/>
      <c r="B132" s="1"/>
      <c r="C132" s="1"/>
      <c r="D132" s="1"/>
      <c r="E132" s="1">
        <f>ST12.65+_ST5+ST5.35</f>
        <v>21093866.309999999</v>
      </c>
      <c r="F132" s="1"/>
      <c r="G132" s="5" t="s">
        <v>79</v>
      </c>
      <c r="H132" s="1"/>
      <c r="I132" s="1"/>
      <c r="J132" s="2">
        <f>+J126+J128-J130</f>
        <v>8116.67</v>
      </c>
      <c r="K132" s="1"/>
      <c r="L132" s="7" t="s">
        <v>309</v>
      </c>
      <c r="M132" s="8">
        <f>M126+M127-M130</f>
        <v>0</v>
      </c>
      <c r="N132" s="8">
        <f t="shared" ref="N132:AC132" si="80">N126+N127-N130</f>
        <v>-0.01</v>
      </c>
      <c r="O132" s="8">
        <f t="shared" si="80"/>
        <v>-12.79</v>
      </c>
      <c r="P132" s="8">
        <f t="shared" si="80"/>
        <v>0</v>
      </c>
      <c r="Q132" s="8">
        <f t="shared" si="80"/>
        <v>11.52</v>
      </c>
      <c r="R132" s="8">
        <f t="shared" si="80"/>
        <v>0.01</v>
      </c>
      <c r="S132" s="8">
        <f t="shared" si="80"/>
        <v>-0.01</v>
      </c>
      <c r="T132" s="8">
        <f t="shared" si="80"/>
        <v>0</v>
      </c>
      <c r="U132" s="8">
        <f t="shared" si="80"/>
        <v>1884.36</v>
      </c>
      <c r="V132" s="8">
        <f t="shared" si="80"/>
        <v>-0.01</v>
      </c>
      <c r="W132" s="8">
        <f t="shared" si="80"/>
        <v>0</v>
      </c>
      <c r="X132" s="8">
        <f t="shared" si="80"/>
        <v>-0.03</v>
      </c>
      <c r="Y132" s="8">
        <f t="shared" si="80"/>
        <v>-1.91</v>
      </c>
      <c r="Z132" s="8">
        <f t="shared" si="80"/>
        <v>-0.01</v>
      </c>
      <c r="AA132" s="8">
        <f t="shared" si="80"/>
        <v>-0.01</v>
      </c>
      <c r="AB132" s="8">
        <f t="shared" si="80"/>
        <v>600.61</v>
      </c>
      <c r="AC132" s="8">
        <f t="shared" si="80"/>
        <v>-0.02</v>
      </c>
    </row>
    <row r="133" spans="1:31" hidden="1" x14ac:dyDescent="0.2">
      <c r="A133" s="1"/>
      <c r="B133" s="1"/>
      <c r="C133" s="1"/>
      <c r="D133" s="1" t="s">
        <v>500</v>
      </c>
      <c r="E133" s="1">
        <v>21093866.309999999</v>
      </c>
      <c r="F133" s="1"/>
      <c r="G133" s="1"/>
      <c r="H133" s="1"/>
      <c r="I133" s="1"/>
      <c r="J133" s="1"/>
      <c r="K133" s="1"/>
      <c r="L133" s="7"/>
      <c r="AA133" s="315" t="s">
        <v>664</v>
      </c>
      <c r="AB133" s="8">
        <f>+AB128-AB131</f>
        <v>80.27</v>
      </c>
    </row>
    <row r="134" spans="1:31" hidden="1" x14ac:dyDescent="0.2">
      <c r="E134" s="222">
        <f>E132-E133</f>
        <v>0</v>
      </c>
      <c r="G134" s="11"/>
      <c r="H134" s="11"/>
      <c r="I134" s="11"/>
      <c r="Q134" s="336" t="s">
        <v>724</v>
      </c>
      <c r="R134" s="336"/>
      <c r="U134" s="336" t="s">
        <v>726</v>
      </c>
      <c r="V134" s="336"/>
    </row>
    <row r="135" spans="1:31" hidden="1" x14ac:dyDescent="0.2">
      <c r="G135" s="11"/>
      <c r="Q135" s="336" t="s">
        <v>725</v>
      </c>
      <c r="R135" s="336"/>
      <c r="U135" s="336" t="s">
        <v>727</v>
      </c>
      <c r="V135" s="336"/>
      <c r="Z135" s="336" t="s">
        <v>776</v>
      </c>
      <c r="AA135" s="336"/>
      <c r="AB135">
        <v>4.2059999999999997E-3</v>
      </c>
      <c r="AC135" t="s">
        <v>661</v>
      </c>
    </row>
    <row r="136" spans="1:31" hidden="1" x14ac:dyDescent="0.2">
      <c r="Z136" s="336" t="s">
        <v>777</v>
      </c>
      <c r="AA136" s="336"/>
      <c r="AB136">
        <f>0.004206*2%</f>
        <v>8.4120000000000001E-5</v>
      </c>
      <c r="AC136" t="s">
        <v>662</v>
      </c>
    </row>
    <row r="137" spans="1:31" hidden="1" x14ac:dyDescent="0.2">
      <c r="AB137" s="314">
        <f>+AB135-AB136</f>
        <v>4.1219000000000004E-3</v>
      </c>
      <c r="AC137" t="s">
        <v>663</v>
      </c>
    </row>
    <row r="138" spans="1:31" hidden="1" x14ac:dyDescent="0.2"/>
    <row r="139" spans="1:31" hidden="1" x14ac:dyDescent="0.2">
      <c r="G139" t="s">
        <v>82</v>
      </c>
    </row>
    <row r="140" spans="1:31" hidden="1" x14ac:dyDescent="0.2">
      <c r="H140" s="11"/>
      <c r="I140" s="11"/>
      <c r="K140" s="1" t="s">
        <v>80</v>
      </c>
    </row>
    <row r="141" spans="1:31" hidden="1" x14ac:dyDescent="0.2"/>
    <row r="142" spans="1:31" hidden="1" x14ac:dyDescent="0.2">
      <c r="H142" s="11"/>
      <c r="I142" s="11"/>
    </row>
    <row r="143" spans="1:31" hidden="1" x14ac:dyDescent="0.2"/>
    <row r="144" spans="1:31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</sheetData>
  <mergeCells count="1">
    <mergeCell ref="AF10:AV10"/>
  </mergeCells>
  <phoneticPr fontId="0" type="noConversion"/>
  <printOptions horizontalCentered="1"/>
  <pageMargins left="0.25" right="0.25" top="0.5" bottom="0.5" header="0.25" footer="0.25"/>
  <pageSetup scale="60" fitToHeight="3" orientation="landscape" r:id="rId1"/>
  <headerFooter alignWithMargins="0">
    <oddFooter>&amp;CPage &amp;P&amp;R&amp;D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19"/>
  <sheetViews>
    <sheetView tabSelected="1" workbookViewId="0">
      <pane xSplit="1" ySplit="9" topLeftCell="E33" activePane="bottomRight" state="frozen"/>
      <selection pane="topRight" activeCell="B1" sqref="B1"/>
      <selection pane="bottomLeft" activeCell="A10" sqref="A10"/>
      <selection pane="bottomRight" activeCell="F40" sqref="F40"/>
    </sheetView>
  </sheetViews>
  <sheetFormatPr defaultRowHeight="12.75" x14ac:dyDescent="0.2"/>
  <cols>
    <col min="1" max="1" width="30.7109375" customWidth="1"/>
    <col min="2" max="3" width="15.28515625" customWidth="1"/>
    <col min="4" max="4" width="15.42578125" customWidth="1"/>
    <col min="5" max="6" width="15.28515625" customWidth="1"/>
  </cols>
  <sheetData>
    <row r="1" spans="1:6" ht="15.75" x14ac:dyDescent="0.25">
      <c r="A1" s="63" t="s">
        <v>204</v>
      </c>
    </row>
    <row r="2" spans="1:6" ht="15.75" x14ac:dyDescent="0.25">
      <c r="A2" s="111" t="str">
        <f>ReportMonth</f>
        <v>MAY 2004</v>
      </c>
      <c r="B2" s="1"/>
      <c r="C2" s="1"/>
      <c r="D2" s="1"/>
      <c r="E2" s="1"/>
    </row>
    <row r="3" spans="1:6" s="84" customFormat="1" ht="15.75" x14ac:dyDescent="0.25">
      <c r="A3" s="66" t="s">
        <v>205</v>
      </c>
      <c r="B3" s="66"/>
      <c r="C3" s="43"/>
      <c r="D3" s="42"/>
      <c r="E3" s="43"/>
      <c r="F3" s="43"/>
    </row>
    <row r="4" spans="1:6" ht="15.75" x14ac:dyDescent="0.25">
      <c r="A4" s="42" t="s">
        <v>206</v>
      </c>
      <c r="B4" s="67"/>
      <c r="C4" s="43"/>
      <c r="D4" s="43"/>
      <c r="E4" s="43"/>
      <c r="F4" s="43"/>
    </row>
    <row r="6" spans="1:6" x14ac:dyDescent="0.2">
      <c r="A6" s="1"/>
      <c r="B6" s="1"/>
      <c r="C6" s="1"/>
      <c r="D6" s="1"/>
      <c r="E6" s="118" t="s">
        <v>207</v>
      </c>
    </row>
    <row r="7" spans="1:6" x14ac:dyDescent="0.2">
      <c r="A7" s="1"/>
      <c r="B7" s="1"/>
      <c r="C7" s="118" t="s">
        <v>165</v>
      </c>
      <c r="D7" s="118" t="s">
        <v>207</v>
      </c>
      <c r="E7" s="118" t="s">
        <v>165</v>
      </c>
      <c r="F7" s="129" t="s">
        <v>208</v>
      </c>
    </row>
    <row r="8" spans="1:6" x14ac:dyDescent="0.2">
      <c r="A8" s="108" t="s">
        <v>13</v>
      </c>
      <c r="B8" s="96" t="s">
        <v>209</v>
      </c>
      <c r="C8" s="96" t="s">
        <v>129</v>
      </c>
      <c r="D8" s="96" t="s">
        <v>209</v>
      </c>
      <c r="E8" s="96" t="s">
        <v>210</v>
      </c>
      <c r="F8" s="61" t="s">
        <v>73</v>
      </c>
    </row>
    <row r="9" spans="1:6" x14ac:dyDescent="0.2">
      <c r="A9" s="1"/>
      <c r="B9" s="39"/>
      <c r="C9" s="39"/>
      <c r="D9" s="39"/>
      <c r="E9" s="39"/>
    </row>
    <row r="10" spans="1:6" ht="13.5" customHeight="1" x14ac:dyDescent="0.2">
      <c r="A10" s="1" t="s">
        <v>211</v>
      </c>
      <c r="B10" s="7">
        <v>364642</v>
      </c>
      <c r="C10" s="2">
        <f>B10*0.0098+0.01</f>
        <v>3573.5</v>
      </c>
      <c r="D10" s="7">
        <v>356713</v>
      </c>
      <c r="E10" s="2">
        <f>D10*0.02-0.01</f>
        <v>7134.25</v>
      </c>
      <c r="F10" s="11">
        <f>C10+E10</f>
        <v>10707.75</v>
      </c>
    </row>
    <row r="11" spans="1:6" x14ac:dyDescent="0.2">
      <c r="A11" s="1" t="s">
        <v>212</v>
      </c>
      <c r="B11" s="7">
        <v>6494654</v>
      </c>
      <c r="C11" s="2">
        <f t="shared" ref="C11:C38" si="0">B11*0.0098</f>
        <v>63647.61</v>
      </c>
      <c r="D11" s="7">
        <v>6296150</v>
      </c>
      <c r="E11" s="2">
        <f t="shared" ref="E11:E34" si="1">D11*0.02</f>
        <v>125923</v>
      </c>
      <c r="F11" s="11">
        <f t="shared" ref="F11:F32" si="2">C11+E11</f>
        <v>189570.61</v>
      </c>
    </row>
    <row r="12" spans="1:6" x14ac:dyDescent="0.2">
      <c r="A12" s="1" t="s">
        <v>609</v>
      </c>
      <c r="B12" s="7">
        <v>2199162</v>
      </c>
      <c r="C12" s="2">
        <f>B12*0.0098</f>
        <v>21551.79</v>
      </c>
      <c r="D12" s="7">
        <v>1779162</v>
      </c>
      <c r="E12" s="2">
        <f>D12*0.02</f>
        <v>35583.24</v>
      </c>
      <c r="F12" s="11">
        <f>C12+E12</f>
        <v>57135.03</v>
      </c>
    </row>
    <row r="13" spans="1:6" x14ac:dyDescent="0.2">
      <c r="A13" s="1" t="s">
        <v>213</v>
      </c>
      <c r="B13" s="7">
        <v>345146</v>
      </c>
      <c r="C13" s="2">
        <f t="shared" si="0"/>
        <v>3382.43</v>
      </c>
      <c r="D13" s="7">
        <v>200307</v>
      </c>
      <c r="E13" s="2">
        <f t="shared" si="1"/>
        <v>4006.14</v>
      </c>
      <c r="F13" s="11">
        <f t="shared" si="2"/>
        <v>7388.57</v>
      </c>
    </row>
    <row r="14" spans="1:6" s="20" customFormat="1" x14ac:dyDescent="0.2">
      <c r="A14" s="18" t="s">
        <v>453</v>
      </c>
      <c r="B14" s="245">
        <v>2081080</v>
      </c>
      <c r="C14" s="2">
        <f t="shared" si="0"/>
        <v>20394.580000000002</v>
      </c>
      <c r="D14" s="7">
        <v>2081080</v>
      </c>
      <c r="E14" s="78">
        <f t="shared" si="1"/>
        <v>41621.599999999999</v>
      </c>
      <c r="F14" s="246">
        <f>C14+E14</f>
        <v>62016.18</v>
      </c>
    </row>
    <row r="15" spans="1:6" x14ac:dyDescent="0.2">
      <c r="A15" s="1" t="s">
        <v>214</v>
      </c>
      <c r="B15" s="7">
        <v>4411675</v>
      </c>
      <c r="C15" s="2">
        <f t="shared" si="0"/>
        <v>43234.42</v>
      </c>
      <c r="D15" s="7">
        <v>3464638</v>
      </c>
      <c r="E15" s="2">
        <f t="shared" si="1"/>
        <v>69292.759999999995</v>
      </c>
      <c r="F15" s="11">
        <f t="shared" si="2"/>
        <v>112527.18</v>
      </c>
    </row>
    <row r="16" spans="1:6" x14ac:dyDescent="0.2">
      <c r="A16" s="1" t="s">
        <v>606</v>
      </c>
      <c r="B16" s="7">
        <v>2758620</v>
      </c>
      <c r="C16" s="2">
        <f t="shared" si="0"/>
        <v>27034.48</v>
      </c>
      <c r="D16" s="7">
        <v>2758620</v>
      </c>
      <c r="E16" s="2">
        <f t="shared" si="1"/>
        <v>55172.4</v>
      </c>
      <c r="F16" s="11">
        <f>C16+E16</f>
        <v>82206.880000000005</v>
      </c>
    </row>
    <row r="17" spans="1:6" x14ac:dyDescent="0.2">
      <c r="A17" s="1" t="s">
        <v>215</v>
      </c>
      <c r="B17" s="7">
        <v>2184630</v>
      </c>
      <c r="C17" s="2">
        <f>B17*0.0098</f>
        <v>21409.37</v>
      </c>
      <c r="D17" s="7">
        <v>2086728</v>
      </c>
      <c r="E17" s="2">
        <f t="shared" si="1"/>
        <v>41734.559999999998</v>
      </c>
      <c r="F17" s="11">
        <f t="shared" si="2"/>
        <v>63143.93</v>
      </c>
    </row>
    <row r="18" spans="1:6" x14ac:dyDescent="0.2">
      <c r="A18" s="1" t="s">
        <v>216</v>
      </c>
      <c r="B18" s="7">
        <v>1921458</v>
      </c>
      <c r="C18" s="2">
        <f t="shared" si="0"/>
        <v>18830.29</v>
      </c>
      <c r="D18" s="7">
        <v>1921458</v>
      </c>
      <c r="E18" s="2">
        <f t="shared" si="1"/>
        <v>38429.160000000003</v>
      </c>
      <c r="F18" s="11">
        <f t="shared" si="2"/>
        <v>57259.45</v>
      </c>
    </row>
    <row r="19" spans="1:6" x14ac:dyDescent="0.2">
      <c r="A19" s="1" t="s">
        <v>589</v>
      </c>
      <c r="B19" s="7">
        <v>354442</v>
      </c>
      <c r="C19" s="2">
        <f>B19*0.0098</f>
        <v>3473.53</v>
      </c>
      <c r="D19" s="7">
        <v>307201</v>
      </c>
      <c r="E19" s="2">
        <f>D19*0.02</f>
        <v>6144.02</v>
      </c>
      <c r="F19" s="11">
        <f>C19+E19</f>
        <v>9617.5499999999993</v>
      </c>
    </row>
    <row r="20" spans="1:6" x14ac:dyDescent="0.2">
      <c r="A20" s="1" t="s">
        <v>462</v>
      </c>
      <c r="B20" s="7">
        <v>62346</v>
      </c>
      <c r="C20" s="2">
        <f t="shared" si="0"/>
        <v>610.99</v>
      </c>
      <c r="D20" s="7">
        <v>0</v>
      </c>
      <c r="E20" s="2">
        <f t="shared" si="1"/>
        <v>0</v>
      </c>
      <c r="F20" s="11">
        <f>C20+E20</f>
        <v>610.99</v>
      </c>
    </row>
    <row r="21" spans="1:6" x14ac:dyDescent="0.2">
      <c r="A21" s="1" t="s">
        <v>352</v>
      </c>
      <c r="B21" s="7">
        <v>23819</v>
      </c>
      <c r="C21" s="2">
        <f t="shared" si="0"/>
        <v>233.43</v>
      </c>
      <c r="D21" s="7">
        <v>23819</v>
      </c>
      <c r="E21" s="2">
        <f t="shared" si="1"/>
        <v>476.38</v>
      </c>
      <c r="F21" s="11">
        <f>C21+E21</f>
        <v>709.81</v>
      </c>
    </row>
    <row r="22" spans="1:6" x14ac:dyDescent="0.2">
      <c r="A22" s="1" t="s">
        <v>463</v>
      </c>
      <c r="B22" s="7">
        <v>156670</v>
      </c>
      <c r="C22" s="2">
        <f t="shared" si="0"/>
        <v>1535.37</v>
      </c>
      <c r="D22" s="7">
        <v>110114</v>
      </c>
      <c r="E22" s="2">
        <f t="shared" si="1"/>
        <v>2202.2800000000002</v>
      </c>
      <c r="F22" s="246">
        <f t="shared" si="2"/>
        <v>3737.65</v>
      </c>
    </row>
    <row r="23" spans="1:6" x14ac:dyDescent="0.2">
      <c r="A23" s="1" t="s">
        <v>746</v>
      </c>
      <c r="B23" s="7">
        <v>2773</v>
      </c>
      <c r="C23" s="2">
        <f t="shared" si="0"/>
        <v>27.18</v>
      </c>
      <c r="D23" s="7"/>
      <c r="E23" s="2">
        <f>D23*0.02</f>
        <v>0</v>
      </c>
      <c r="F23" s="11">
        <f t="shared" si="2"/>
        <v>27.18</v>
      </c>
    </row>
    <row r="24" spans="1:6" x14ac:dyDescent="0.2">
      <c r="A24" s="1" t="s">
        <v>747</v>
      </c>
      <c r="B24" s="7">
        <v>-25264</v>
      </c>
      <c r="C24" s="2">
        <f t="shared" si="0"/>
        <v>-247.59</v>
      </c>
      <c r="D24" s="7"/>
      <c r="E24" s="2">
        <f>D24*0.02</f>
        <v>0</v>
      </c>
      <c r="F24" s="11">
        <f t="shared" si="2"/>
        <v>-247.59</v>
      </c>
    </row>
    <row r="25" spans="1:6" x14ac:dyDescent="0.2">
      <c r="A25" s="1" t="s">
        <v>748</v>
      </c>
      <c r="B25" s="7">
        <v>-26678</v>
      </c>
      <c r="C25" s="2">
        <f t="shared" si="0"/>
        <v>-261.44</v>
      </c>
      <c r="D25" s="7"/>
      <c r="E25" s="2">
        <f>D25*0.02</f>
        <v>0</v>
      </c>
      <c r="F25" s="11">
        <f t="shared" si="2"/>
        <v>-261.44</v>
      </c>
    </row>
    <row r="26" spans="1:6" x14ac:dyDescent="0.2">
      <c r="A26" s="1" t="s">
        <v>749</v>
      </c>
      <c r="B26" s="7">
        <v>-26480</v>
      </c>
      <c r="C26" s="2">
        <f t="shared" si="0"/>
        <v>-259.5</v>
      </c>
      <c r="D26" s="7"/>
      <c r="E26" s="2">
        <f>D26*0.02</f>
        <v>0</v>
      </c>
      <c r="F26" s="11">
        <f t="shared" si="2"/>
        <v>-259.5</v>
      </c>
    </row>
    <row r="27" spans="1:6" s="20" customFormat="1" x14ac:dyDescent="0.2">
      <c r="A27" s="18" t="s">
        <v>217</v>
      </c>
      <c r="B27" s="245">
        <v>2044413</v>
      </c>
      <c r="C27" s="2">
        <f>B27*0.0098-0.01</f>
        <v>20035.240000000002</v>
      </c>
      <c r="D27" s="7">
        <v>1918427</v>
      </c>
      <c r="E27" s="78">
        <f t="shared" si="1"/>
        <v>38368.54</v>
      </c>
      <c r="F27" s="246">
        <f t="shared" si="2"/>
        <v>58403.78</v>
      </c>
    </row>
    <row r="28" spans="1:6" s="20" customFormat="1" x14ac:dyDescent="0.2">
      <c r="A28" s="18" t="s">
        <v>610</v>
      </c>
      <c r="B28" s="245">
        <v>86996</v>
      </c>
      <c r="C28" s="2">
        <f t="shared" si="0"/>
        <v>852.56</v>
      </c>
      <c r="D28" s="7">
        <v>86996</v>
      </c>
      <c r="E28" s="78">
        <f t="shared" si="1"/>
        <v>1739.92</v>
      </c>
      <c r="F28" s="246">
        <f>C28+E28</f>
        <v>2592.48</v>
      </c>
    </row>
    <row r="29" spans="1:6" s="20" customFormat="1" x14ac:dyDescent="0.2">
      <c r="A29" s="18" t="s">
        <v>218</v>
      </c>
      <c r="B29" s="245">
        <v>582050</v>
      </c>
      <c r="C29" s="2">
        <f>B29*0.0098</f>
        <v>5704.09</v>
      </c>
      <c r="D29" s="7">
        <v>582050</v>
      </c>
      <c r="E29" s="78">
        <f t="shared" si="1"/>
        <v>11641</v>
      </c>
      <c r="F29" s="246">
        <f t="shared" si="2"/>
        <v>17345.09</v>
      </c>
    </row>
    <row r="30" spans="1:6" x14ac:dyDescent="0.2">
      <c r="A30" s="18" t="s">
        <v>775</v>
      </c>
      <c r="B30" s="7">
        <v>525575</v>
      </c>
      <c r="C30" s="2">
        <f>B30*0.0098-5150.64+0.01</f>
        <v>0</v>
      </c>
      <c r="D30" s="7">
        <v>525575</v>
      </c>
      <c r="E30" s="2">
        <f>D30*0.02+2022.56</f>
        <v>12534.06</v>
      </c>
      <c r="F30" s="246">
        <f>C30+E30</f>
        <v>12534.06</v>
      </c>
    </row>
    <row r="31" spans="1:6" x14ac:dyDescent="0.2">
      <c r="A31" s="1" t="s">
        <v>461</v>
      </c>
      <c r="B31" s="7">
        <v>5562</v>
      </c>
      <c r="C31" s="2">
        <f t="shared" si="0"/>
        <v>54.51</v>
      </c>
      <c r="D31" s="7"/>
      <c r="E31" s="2">
        <f t="shared" si="1"/>
        <v>0</v>
      </c>
      <c r="F31" s="246">
        <f>C31+E31</f>
        <v>54.51</v>
      </c>
    </row>
    <row r="32" spans="1:6" x14ac:dyDescent="0.2">
      <c r="A32" s="1" t="s">
        <v>65</v>
      </c>
      <c r="B32" s="7">
        <v>581277</v>
      </c>
      <c r="C32" s="2">
        <f t="shared" si="0"/>
        <v>5696.51</v>
      </c>
      <c r="D32" s="7">
        <v>581277</v>
      </c>
      <c r="E32" s="2">
        <f t="shared" si="1"/>
        <v>11625.54</v>
      </c>
      <c r="F32" s="11">
        <f t="shared" si="2"/>
        <v>17322.05</v>
      </c>
    </row>
    <row r="33" spans="1:6" x14ac:dyDescent="0.2">
      <c r="A33" s="1" t="s">
        <v>353</v>
      </c>
      <c r="B33" s="7">
        <v>10157238</v>
      </c>
      <c r="C33" s="2">
        <f t="shared" si="0"/>
        <v>99540.93</v>
      </c>
      <c r="D33" s="7">
        <v>8988756</v>
      </c>
      <c r="E33" s="2">
        <f t="shared" si="1"/>
        <v>179775.12</v>
      </c>
      <c r="F33" s="11">
        <f t="shared" ref="F33:F38" si="3">C33+E33</f>
        <v>279316.05</v>
      </c>
    </row>
    <row r="34" spans="1:6" x14ac:dyDescent="0.2">
      <c r="A34" s="1" t="s">
        <v>478</v>
      </c>
      <c r="B34" s="7">
        <v>2123656</v>
      </c>
      <c r="C34" s="2">
        <f t="shared" si="0"/>
        <v>20811.830000000002</v>
      </c>
      <c r="D34" s="7">
        <v>1626796</v>
      </c>
      <c r="E34" s="2">
        <f t="shared" si="1"/>
        <v>32535.919999999998</v>
      </c>
      <c r="F34" s="11">
        <f t="shared" si="3"/>
        <v>53347.75</v>
      </c>
    </row>
    <row r="35" spans="1:6" x14ac:dyDescent="0.2">
      <c r="A35" s="1" t="s">
        <v>495</v>
      </c>
      <c r="B35" s="7">
        <v>1988490</v>
      </c>
      <c r="C35" s="2">
        <f t="shared" si="0"/>
        <v>19487.2</v>
      </c>
      <c r="D35" s="7">
        <v>1784790</v>
      </c>
      <c r="E35" s="2">
        <f>D35*0.02</f>
        <v>35695.800000000003</v>
      </c>
      <c r="F35" s="11">
        <f t="shared" si="3"/>
        <v>55183</v>
      </c>
    </row>
    <row r="36" spans="1:6" x14ac:dyDescent="0.2">
      <c r="A36" s="1" t="s">
        <v>219</v>
      </c>
      <c r="B36" s="7">
        <v>33149</v>
      </c>
      <c r="C36" s="2">
        <f t="shared" si="0"/>
        <v>324.86</v>
      </c>
      <c r="D36" s="7">
        <v>23356</v>
      </c>
      <c r="E36" s="2">
        <f>D36*0.02</f>
        <v>467.12</v>
      </c>
      <c r="F36" s="11">
        <f t="shared" si="3"/>
        <v>791.98</v>
      </c>
    </row>
    <row r="37" spans="1:6" x14ac:dyDescent="0.2">
      <c r="A37" s="1" t="s">
        <v>750</v>
      </c>
      <c r="B37" s="7">
        <v>300</v>
      </c>
      <c r="C37" s="2">
        <f t="shared" si="0"/>
        <v>2.94</v>
      </c>
      <c r="D37" s="7">
        <v>300</v>
      </c>
      <c r="E37" s="2">
        <f>D37*0.02</f>
        <v>6</v>
      </c>
      <c r="F37" s="11">
        <f>C37+E37</f>
        <v>8.94</v>
      </c>
    </row>
    <row r="38" spans="1:6" x14ac:dyDescent="0.2">
      <c r="A38" s="1" t="s">
        <v>220</v>
      </c>
      <c r="B38" s="7">
        <v>1330747</v>
      </c>
      <c r="C38" s="2">
        <f t="shared" si="0"/>
        <v>13041.32</v>
      </c>
      <c r="D38" s="7">
        <v>1329871</v>
      </c>
      <c r="E38" s="2">
        <f>D38*0.02</f>
        <v>26597.42</v>
      </c>
      <c r="F38" s="11">
        <f t="shared" si="3"/>
        <v>39638.74</v>
      </c>
    </row>
    <row r="40" spans="1:6" ht="22.5" customHeight="1" thickBot="1" x14ac:dyDescent="0.25">
      <c r="A40" s="1" t="s">
        <v>12</v>
      </c>
      <c r="B40" s="34">
        <f>SUM(B9:B39)</f>
        <v>42742148</v>
      </c>
      <c r="C40" s="131">
        <f>SUM(C9:C39)</f>
        <v>413722.43</v>
      </c>
      <c r="D40" s="34">
        <f>SUM(D9:D39)</f>
        <v>38834184</v>
      </c>
      <c r="E40" s="131">
        <f>SUM(E9:E39)</f>
        <v>778706.23</v>
      </c>
      <c r="F40" s="131">
        <f>SUM(F10:F38)</f>
        <v>1192428.6599999999</v>
      </c>
    </row>
    <row r="41" spans="1:6" ht="28.5" hidden="1" customHeight="1" x14ac:dyDescent="0.2">
      <c r="A41" s="1" t="s">
        <v>221</v>
      </c>
      <c r="B41" s="132">
        <f>SUM(C40+E40)</f>
        <v>1192428.6599999999</v>
      </c>
      <c r="C41" s="1"/>
      <c r="D41" s="1"/>
      <c r="E41" s="1"/>
      <c r="F41" s="1"/>
    </row>
    <row r="42" spans="1:6" ht="21.75" hidden="1" customHeight="1" x14ac:dyDescent="0.2">
      <c r="A42" s="9" t="s">
        <v>222</v>
      </c>
      <c r="B42" s="2">
        <v>1192428.6599999999</v>
      </c>
      <c r="C42" s="1"/>
      <c r="D42" s="1"/>
      <c r="E42" s="1"/>
      <c r="F42" s="1"/>
    </row>
    <row r="43" spans="1:6" hidden="1" x14ac:dyDescent="0.2">
      <c r="A43" s="9" t="s">
        <v>223</v>
      </c>
      <c r="B43" s="2">
        <f>B42-B41</f>
        <v>0</v>
      </c>
      <c r="C43" s="1"/>
      <c r="D43" s="1"/>
      <c r="E43" s="1"/>
      <c r="F43" s="1"/>
    </row>
    <row r="44" spans="1:6" hidden="1" x14ac:dyDescent="0.2"/>
    <row r="45" spans="1:6" hidden="1" x14ac:dyDescent="0.2"/>
    <row r="46" spans="1:6" hidden="1" x14ac:dyDescent="0.2"/>
    <row r="47" spans="1:6" hidden="1" x14ac:dyDescent="0.2"/>
    <row r="48" spans="1:6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</sheetData>
  <phoneticPr fontId="0" type="noConversion"/>
  <printOptions horizontalCentered="1"/>
  <pageMargins left="0.75" right="0.75" top="0.48" bottom="0.45" header="0.3" footer="0.31"/>
  <pageSetup scale="10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234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7" sqref="A7"/>
    </sheetView>
  </sheetViews>
  <sheetFormatPr defaultRowHeight="12.75" x14ac:dyDescent="0.2"/>
  <cols>
    <col min="1" max="1" width="18.28515625" customWidth="1"/>
    <col min="2" max="2" width="10.28515625" customWidth="1"/>
    <col min="3" max="3" width="11.7109375" customWidth="1"/>
    <col min="4" max="4" width="13" customWidth="1"/>
    <col min="5" max="5" width="11.5703125" customWidth="1"/>
    <col min="6" max="6" width="10" customWidth="1"/>
    <col min="7" max="7" width="10.140625" customWidth="1"/>
    <col min="8" max="8" width="13.28515625" hidden="1" customWidth="1"/>
    <col min="9" max="9" width="12.42578125" hidden="1" customWidth="1"/>
    <col min="10" max="10" width="10.85546875" customWidth="1"/>
    <col min="11" max="11" width="10" customWidth="1"/>
    <col min="12" max="12" width="10" hidden="1" customWidth="1"/>
    <col min="13" max="13" width="9.42578125" customWidth="1"/>
    <col min="14" max="14" width="9.28515625" customWidth="1"/>
    <col min="15" max="15" width="10.42578125" customWidth="1"/>
    <col min="16" max="16" width="11.140625" hidden="1" customWidth="1"/>
    <col min="17" max="17" width="10.42578125" hidden="1" customWidth="1"/>
    <col min="18" max="18" width="10.85546875" customWidth="1"/>
    <col min="19" max="19" width="12" customWidth="1"/>
    <col min="20" max="20" width="11.28515625" customWidth="1"/>
    <col min="21" max="21" width="11" customWidth="1"/>
    <col min="22" max="22" width="15.85546875" hidden="1" customWidth="1"/>
    <col min="23" max="23" width="12.140625" customWidth="1"/>
    <col min="24" max="24" width="14.42578125" hidden="1" customWidth="1"/>
  </cols>
  <sheetData>
    <row r="1" spans="1:25" ht="15.75" x14ac:dyDescent="0.25">
      <c r="A1" s="63" t="s">
        <v>224</v>
      </c>
      <c r="B1" s="1"/>
      <c r="C1" s="1"/>
      <c r="D1" s="1"/>
      <c r="E1" s="1"/>
      <c r="F1" s="1"/>
      <c r="G1" s="1"/>
      <c r="H1" s="1"/>
      <c r="I1" s="1"/>
      <c r="J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x14ac:dyDescent="0.25">
      <c r="A2" s="115" t="str">
        <f>ReportMonth</f>
        <v>MAY 2004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x14ac:dyDescent="0.25">
      <c r="A3" s="66" t="s">
        <v>225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5" spans="1:25" x14ac:dyDescent="0.2">
      <c r="A5" s="1"/>
      <c r="B5" s="6" t="s">
        <v>226</v>
      </c>
      <c r="P5" s="6" t="s">
        <v>34</v>
      </c>
      <c r="Q5" s="6" t="s">
        <v>35</v>
      </c>
      <c r="S5" s="95" t="s">
        <v>227</v>
      </c>
      <c r="T5" s="1"/>
      <c r="U5" s="1"/>
      <c r="V5" s="6" t="s">
        <v>228</v>
      </c>
      <c r="W5" s="1"/>
      <c r="X5" s="1"/>
      <c r="Y5" s="1"/>
    </row>
    <row r="6" spans="1:25" x14ac:dyDescent="0.2">
      <c r="A6" s="1"/>
      <c r="B6" s="6" t="s">
        <v>229</v>
      </c>
      <c r="C6" s="6" t="s">
        <v>22</v>
      </c>
      <c r="D6" s="6" t="s">
        <v>23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1"/>
      <c r="Q6" s="1"/>
      <c r="R6" s="6" t="s">
        <v>36</v>
      </c>
      <c r="S6" s="95" t="s">
        <v>230</v>
      </c>
      <c r="T6" s="5" t="s">
        <v>12</v>
      </c>
      <c r="U6" s="5" t="s">
        <v>12</v>
      </c>
      <c r="V6" s="6" t="s">
        <v>231</v>
      </c>
      <c r="W6" s="5" t="s">
        <v>232</v>
      </c>
      <c r="X6" s="1"/>
      <c r="Y6" s="1"/>
    </row>
    <row r="7" spans="1:25" x14ac:dyDescent="0.2">
      <c r="A7" s="1"/>
      <c r="B7" s="38" t="s">
        <v>19</v>
      </c>
      <c r="C7" s="38" t="s">
        <v>233</v>
      </c>
      <c r="D7" s="38" t="s">
        <v>19</v>
      </c>
      <c r="E7" s="38" t="s">
        <v>234</v>
      </c>
      <c r="F7" s="38" t="s">
        <v>233</v>
      </c>
      <c r="G7" s="38" t="s">
        <v>233</v>
      </c>
      <c r="H7" s="38" t="s">
        <v>233</v>
      </c>
      <c r="I7" s="38" t="s">
        <v>233</v>
      </c>
      <c r="J7" s="38" t="s">
        <v>233</v>
      </c>
      <c r="K7" s="38" t="s">
        <v>233</v>
      </c>
      <c r="L7" s="38" t="s">
        <v>233</v>
      </c>
      <c r="M7" s="38" t="s">
        <v>233</v>
      </c>
      <c r="N7" s="38" t="s">
        <v>233</v>
      </c>
      <c r="O7" s="38" t="s">
        <v>233</v>
      </c>
      <c r="P7" s="38" t="s">
        <v>233</v>
      </c>
      <c r="Q7" s="38" t="s">
        <v>233</v>
      </c>
      <c r="R7" s="38" t="s">
        <v>233</v>
      </c>
      <c r="S7" s="38" t="s">
        <v>233</v>
      </c>
      <c r="T7" s="96" t="s">
        <v>101</v>
      </c>
      <c r="U7" s="96" t="s">
        <v>235</v>
      </c>
      <c r="V7" s="38" t="s">
        <v>236</v>
      </c>
      <c r="W7" s="40" t="s">
        <v>237</v>
      </c>
      <c r="X7" s="1"/>
      <c r="Y7" s="1"/>
    </row>
    <row r="8" spans="1:25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1"/>
      <c r="Y8" s="1"/>
    </row>
    <row r="9" spans="1:25" ht="15" customHeight="1" x14ac:dyDescent="0.2">
      <c r="A9" s="1" t="s">
        <v>239</v>
      </c>
      <c r="B9" s="267">
        <v>78.11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>
        <f t="shared" ref="T9:T24" si="0">SUM(B9+C9+D9+F9+G9+H9+I9+J9+K9+L9+M9+N9+O9+P9+Q9+R9+S9)</f>
        <v>78.11</v>
      </c>
      <c r="U9" s="2">
        <f t="shared" ref="U9:U24" si="1">E9</f>
        <v>0</v>
      </c>
      <c r="V9" s="2">
        <f>F9</f>
        <v>0</v>
      </c>
      <c r="W9" s="2">
        <f>SUM(T9:V9)</f>
        <v>78.11</v>
      </c>
      <c r="X9" s="1"/>
      <c r="Y9" s="1"/>
    </row>
    <row r="10" spans="1:25" x14ac:dyDescent="0.2">
      <c r="A10" s="1" t="s">
        <v>713</v>
      </c>
      <c r="B10" s="2"/>
      <c r="C10" s="267">
        <v>34.35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>
        <f>SUM(B10+C10+D10+F10+G10+H10+I10+J10+K10+L10+M10+N10+O10+P10+Q10+R10+S10)</f>
        <v>34.35</v>
      </c>
      <c r="U10" s="2">
        <f>E10</f>
        <v>0</v>
      </c>
      <c r="V10" s="2"/>
      <c r="W10" s="2">
        <f>SUM(T10:V10)</f>
        <v>34.35</v>
      </c>
      <c r="X10" s="1"/>
      <c r="Y10" s="1"/>
    </row>
    <row r="11" spans="1:25" x14ac:dyDescent="0.2">
      <c r="A11" s="1" t="s">
        <v>238</v>
      </c>
      <c r="B11" s="2"/>
      <c r="C11" s="2"/>
      <c r="D11" s="267">
        <v>160.44</v>
      </c>
      <c r="E11" s="267">
        <v>327.42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>
        <f t="shared" si="0"/>
        <v>160.44</v>
      </c>
      <c r="U11" s="2">
        <f t="shared" si="1"/>
        <v>327.42</v>
      </c>
      <c r="V11" s="2">
        <f>F11</f>
        <v>0</v>
      </c>
      <c r="W11" s="2">
        <f t="shared" ref="W11:W24" si="2">SUM(T11:V11)</f>
        <v>487.86</v>
      </c>
      <c r="X11" s="1"/>
      <c r="Y11" s="1"/>
    </row>
    <row r="12" spans="1:25" x14ac:dyDescent="0.2">
      <c r="A12" s="1" t="s">
        <v>698</v>
      </c>
      <c r="B12" s="2"/>
      <c r="C12" s="2"/>
      <c r="D12" s="267">
        <v>90.36</v>
      </c>
      <c r="E12" s="267">
        <v>184.4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f>SUM(B12+C12+D12+F12+G12+H12+I12+J12+K12+L12+M12+N12+O12+P12+Q12+R12+S12)</f>
        <v>90.36</v>
      </c>
      <c r="U12" s="2">
        <f>E12</f>
        <v>184.4</v>
      </c>
      <c r="V12" s="2"/>
      <c r="W12" s="2">
        <f>SUM(T12:V12)</f>
        <v>274.76</v>
      </c>
      <c r="X12" s="1"/>
      <c r="Y12" s="1"/>
    </row>
    <row r="13" spans="1:25" x14ac:dyDescent="0.2">
      <c r="A13" s="1" t="s">
        <v>241</v>
      </c>
      <c r="B13" s="2"/>
      <c r="C13" s="2"/>
      <c r="D13" s="267">
        <v>77.7</v>
      </c>
      <c r="E13" s="38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>
        <f t="shared" si="0"/>
        <v>77.7</v>
      </c>
      <c r="U13" s="2">
        <f t="shared" si="1"/>
        <v>0</v>
      </c>
      <c r="V13" s="2"/>
      <c r="W13" s="2">
        <f t="shared" si="2"/>
        <v>77.7</v>
      </c>
      <c r="X13" s="1"/>
      <c r="Y13" s="1"/>
    </row>
    <row r="14" spans="1:25" x14ac:dyDescent="0.2">
      <c r="A14" s="1" t="s">
        <v>242</v>
      </c>
      <c r="B14" s="2"/>
      <c r="C14" s="2"/>
      <c r="D14" s="376">
        <f>17435.79+18800.58+852.56+5704.09+5696.51+88089.81+15942.6+61702.27+1963.01+20394.58+33953.45+3010.57+20449.93+233.43+1079.12+17490.94+18830.29+228.89+13032.74+2.94</f>
        <v>344894.1</v>
      </c>
      <c r="E14" s="376">
        <f>35583.24+38368.54+1739.92+11641+11625.54+179775.12+32535.92+125923+4006.14+41621.6+69292.76+6144.02+41734.56+476.38+2202.28+35695.8+38429.16+467.12+26597.42+6+12534.06</f>
        <v>716399.58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>
        <f t="shared" si="0"/>
        <v>344894.1</v>
      </c>
      <c r="U14" s="2">
        <f t="shared" si="1"/>
        <v>716399.58</v>
      </c>
      <c r="V14" s="2">
        <v>0</v>
      </c>
      <c r="W14" s="2">
        <f t="shared" si="2"/>
        <v>1061293.68</v>
      </c>
      <c r="X14" s="1"/>
      <c r="Y14" s="1"/>
    </row>
    <row r="15" spans="1:25" x14ac:dyDescent="0.2">
      <c r="A15" s="1" t="s">
        <v>578</v>
      </c>
      <c r="B15" s="2"/>
      <c r="C15" s="2"/>
      <c r="D15" s="267">
        <f>3245+27034.48</f>
        <v>30279.48</v>
      </c>
      <c r="E15" s="267">
        <f>6622.43+55172.4</f>
        <v>61794.83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>
        <f t="shared" si="0"/>
        <v>30279.48</v>
      </c>
      <c r="U15" s="2">
        <f t="shared" si="1"/>
        <v>61794.83</v>
      </c>
      <c r="V15" s="2"/>
      <c r="W15" s="2">
        <f t="shared" si="2"/>
        <v>92074.31</v>
      </c>
      <c r="X15" s="1"/>
      <c r="Y15" s="1"/>
    </row>
    <row r="16" spans="1:25" x14ac:dyDescent="0.2">
      <c r="A16" s="1" t="s">
        <v>565</v>
      </c>
      <c r="B16" s="2"/>
      <c r="C16" s="2"/>
      <c r="D16" s="2"/>
      <c r="E16" s="2"/>
      <c r="F16" s="267">
        <f>235.45+17.56</f>
        <v>253.01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>
        <f t="shared" si="0"/>
        <v>253.01</v>
      </c>
      <c r="U16" s="2">
        <f t="shared" si="1"/>
        <v>0</v>
      </c>
      <c r="V16" s="2"/>
      <c r="W16" s="2">
        <f t="shared" si="2"/>
        <v>253.01</v>
      </c>
      <c r="X16" s="1"/>
      <c r="Y16" s="1"/>
    </row>
    <row r="17" spans="1:25" x14ac:dyDescent="0.2">
      <c r="A17" s="2" t="s">
        <v>240</v>
      </c>
      <c r="B17" s="2"/>
      <c r="C17" s="2"/>
      <c r="D17" s="2"/>
      <c r="E17" s="2"/>
      <c r="F17" s="2"/>
      <c r="G17" s="267">
        <f>617.36+317.22+78.44</f>
        <v>1013.02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f t="shared" si="0"/>
        <v>1013.02</v>
      </c>
      <c r="U17" s="2">
        <f t="shared" si="1"/>
        <v>0</v>
      </c>
      <c r="V17" s="2"/>
      <c r="W17" s="2">
        <f t="shared" si="2"/>
        <v>1013.02</v>
      </c>
      <c r="X17" s="1"/>
      <c r="Y17" s="1"/>
    </row>
    <row r="18" spans="1:25" x14ac:dyDescent="0.2">
      <c r="A18" s="2" t="s">
        <v>566</v>
      </c>
      <c r="B18" s="2"/>
      <c r="C18" s="2"/>
      <c r="D18" s="2"/>
      <c r="E18" s="2"/>
      <c r="F18" s="2"/>
      <c r="G18" s="2"/>
      <c r="H18" s="2"/>
      <c r="I18" s="2"/>
      <c r="J18" s="267">
        <v>127.21</v>
      </c>
      <c r="K18" s="2"/>
      <c r="L18" s="2"/>
      <c r="M18" s="2"/>
      <c r="N18" s="2"/>
      <c r="O18" s="2"/>
      <c r="P18" s="2"/>
      <c r="Q18" s="2"/>
      <c r="R18" s="2"/>
      <c r="S18" s="2"/>
      <c r="T18" s="2">
        <f t="shared" si="0"/>
        <v>127.21</v>
      </c>
      <c r="U18" s="2">
        <f t="shared" si="1"/>
        <v>0</v>
      </c>
      <c r="V18" s="2"/>
      <c r="W18" s="2">
        <f t="shared" si="2"/>
        <v>127.21</v>
      </c>
      <c r="X18" s="1"/>
      <c r="Y18" s="1"/>
    </row>
    <row r="19" spans="1:25" x14ac:dyDescent="0.2">
      <c r="A19" s="1" t="s">
        <v>567</v>
      </c>
      <c r="B19" s="2"/>
      <c r="C19" s="2"/>
      <c r="D19" s="2"/>
      <c r="E19" s="2"/>
      <c r="F19" s="2"/>
      <c r="G19" s="2"/>
      <c r="H19" s="2"/>
      <c r="I19" s="2"/>
      <c r="J19" s="2"/>
      <c r="K19" s="267">
        <v>78.17</v>
      </c>
      <c r="L19" s="2"/>
      <c r="M19" s="2"/>
      <c r="N19" s="2"/>
      <c r="O19" s="2"/>
      <c r="P19" s="2"/>
      <c r="Q19" s="2"/>
      <c r="R19" s="2"/>
      <c r="S19" s="2"/>
      <c r="T19" s="2">
        <f t="shared" si="0"/>
        <v>78.17</v>
      </c>
      <c r="U19" s="2">
        <f t="shared" si="1"/>
        <v>0</v>
      </c>
      <c r="V19" s="2"/>
      <c r="W19" s="2">
        <f t="shared" si="2"/>
        <v>78.17</v>
      </c>
      <c r="X19" s="1"/>
      <c r="Y19" s="1"/>
    </row>
    <row r="20" spans="1:25" x14ac:dyDescent="0.2">
      <c r="A20" s="1" t="s">
        <v>577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67">
        <v>54.51</v>
      </c>
      <c r="N20" s="2"/>
      <c r="O20" s="2"/>
      <c r="P20" s="2"/>
      <c r="Q20" s="2"/>
      <c r="R20" s="2"/>
      <c r="S20" s="2"/>
      <c r="T20" s="2">
        <f t="shared" si="0"/>
        <v>54.51</v>
      </c>
      <c r="U20" s="2">
        <f t="shared" si="1"/>
        <v>0</v>
      </c>
      <c r="V20" s="2"/>
      <c r="W20" s="2">
        <f t="shared" si="2"/>
        <v>54.51</v>
      </c>
      <c r="X20" s="1"/>
      <c r="Y20" s="1"/>
    </row>
    <row r="21" spans="1:25" x14ac:dyDescent="0.2">
      <c r="A21" s="1" t="s">
        <v>715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67">
        <v>6.39</v>
      </c>
      <c r="O21" s="2"/>
      <c r="P21" s="2"/>
      <c r="Q21" s="2"/>
      <c r="R21" s="294"/>
      <c r="S21" s="2"/>
      <c r="T21" s="2">
        <f>SUM(B21+C21+D21+F21+G21+H21+I21+J21+K21+L21+M21+N21+O21+P21+Q21+R21+S21)</f>
        <v>6.39</v>
      </c>
      <c r="U21" s="2">
        <f>E21</f>
        <v>0</v>
      </c>
      <c r="V21" s="2"/>
      <c r="W21" s="2">
        <f>SUM(T21:V21)</f>
        <v>6.39</v>
      </c>
      <c r="X21" s="1"/>
      <c r="Y21" s="1"/>
    </row>
    <row r="22" spans="1:25" x14ac:dyDescent="0.2">
      <c r="A22" s="1" t="s">
        <v>568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67">
        <v>70.239999999999995</v>
      </c>
      <c r="P22" s="2"/>
      <c r="Q22" s="2"/>
      <c r="R22" s="2"/>
      <c r="S22" s="2"/>
      <c r="T22" s="2">
        <f t="shared" si="0"/>
        <v>70.239999999999995</v>
      </c>
      <c r="U22" s="2">
        <f t="shared" si="1"/>
        <v>0</v>
      </c>
      <c r="V22" s="2"/>
      <c r="W22" s="2">
        <f t="shared" si="2"/>
        <v>70.239999999999995</v>
      </c>
      <c r="X22" s="1"/>
      <c r="Y22" s="1"/>
    </row>
    <row r="23" spans="1:25" x14ac:dyDescent="0.2">
      <c r="A23" s="1" t="s">
        <v>244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67">
        <f>4116+1234.66+11451.12+4869.23+1945.34+256.64+8788.84+378.13+610.99+959.44+456.25+1996.26+8.58-247.59-261.44-259.5</f>
        <v>36302.949999999997</v>
      </c>
      <c r="S23" s="2"/>
      <c r="T23" s="2">
        <f t="shared" si="0"/>
        <v>36302.949999999997</v>
      </c>
      <c r="U23" s="2">
        <f t="shared" si="1"/>
        <v>0</v>
      </c>
      <c r="V23" s="2"/>
      <c r="W23" s="2">
        <f t="shared" si="2"/>
        <v>36302.949999999997</v>
      </c>
      <c r="X23" s="1"/>
      <c r="Y23" s="1"/>
    </row>
    <row r="24" spans="1:25" x14ac:dyDescent="0.2">
      <c r="A24" s="1" t="s">
        <v>243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67">
        <f>78.41+27.18</f>
        <v>105.59</v>
      </c>
      <c r="S24" s="2"/>
      <c r="T24" s="2">
        <f t="shared" si="0"/>
        <v>105.59</v>
      </c>
      <c r="U24" s="2">
        <f t="shared" si="1"/>
        <v>0</v>
      </c>
      <c r="V24" s="2"/>
      <c r="W24" s="2">
        <f t="shared" si="2"/>
        <v>105.59</v>
      </c>
      <c r="X24" s="1"/>
      <c r="Y24" s="1"/>
    </row>
    <row r="25" spans="1:25" x14ac:dyDescent="0.2">
      <c r="A25" s="1" t="s">
        <v>714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94"/>
      <c r="S25" s="267">
        <v>96.8</v>
      </c>
      <c r="T25" s="2">
        <f>SUM(B25+C25+D25+F25+G25+H25+I25+J25+K25+L25+M25+N25+O25+P25+Q25+R25+S25)</f>
        <v>96.8</v>
      </c>
      <c r="U25" s="2">
        <f>E25</f>
        <v>0</v>
      </c>
      <c r="V25" s="2"/>
      <c r="W25" s="2">
        <f>SUM(T25:V25)</f>
        <v>96.8</v>
      </c>
      <c r="X25" s="1"/>
      <c r="Y25" s="1"/>
    </row>
    <row r="26" spans="1:25" x14ac:dyDescent="0.2">
      <c r="X26" s="1"/>
      <c r="Y26" s="1"/>
    </row>
    <row r="27" spans="1:25" ht="25.5" customHeight="1" thickBot="1" x14ac:dyDescent="0.25">
      <c r="A27" s="21" t="s">
        <v>245</v>
      </c>
      <c r="B27" s="36">
        <f t="shared" ref="B27:W27" si="3">SUM(B8:B26)</f>
        <v>78.11</v>
      </c>
      <c r="C27" s="36">
        <f t="shared" si="3"/>
        <v>34.35</v>
      </c>
      <c r="D27" s="36">
        <f t="shared" si="3"/>
        <v>375502.08000000002</v>
      </c>
      <c r="E27" s="36">
        <f t="shared" si="3"/>
        <v>778706.23</v>
      </c>
      <c r="F27" s="36">
        <f t="shared" si="3"/>
        <v>253.01</v>
      </c>
      <c r="G27" s="36">
        <f t="shared" si="3"/>
        <v>1013.02</v>
      </c>
      <c r="H27" s="36">
        <f t="shared" si="3"/>
        <v>0</v>
      </c>
      <c r="I27" s="36">
        <f t="shared" si="3"/>
        <v>0</v>
      </c>
      <c r="J27" s="36">
        <f t="shared" si="3"/>
        <v>127.21</v>
      </c>
      <c r="K27" s="36">
        <f t="shared" si="3"/>
        <v>78.17</v>
      </c>
      <c r="L27" s="36">
        <f t="shared" si="3"/>
        <v>0</v>
      </c>
      <c r="M27" s="36">
        <f t="shared" si="3"/>
        <v>54.51</v>
      </c>
      <c r="N27" s="36">
        <f t="shared" si="3"/>
        <v>6.39</v>
      </c>
      <c r="O27" s="36">
        <f t="shared" si="3"/>
        <v>70.239999999999995</v>
      </c>
      <c r="P27" s="36">
        <f t="shared" si="3"/>
        <v>0</v>
      </c>
      <c r="Q27" s="36">
        <f t="shared" si="3"/>
        <v>0</v>
      </c>
      <c r="R27" s="36">
        <f t="shared" si="3"/>
        <v>36408.54</v>
      </c>
      <c r="S27" s="36">
        <f t="shared" si="3"/>
        <v>96.8</v>
      </c>
      <c r="T27" s="36">
        <f t="shared" si="3"/>
        <v>413722.43</v>
      </c>
      <c r="U27" s="36">
        <f t="shared" si="3"/>
        <v>778706.23</v>
      </c>
      <c r="V27" s="36">
        <f t="shared" si="3"/>
        <v>0</v>
      </c>
      <c r="W27" s="36">
        <f t="shared" si="3"/>
        <v>1192428.6599999999</v>
      </c>
      <c r="X27" s="2">
        <f>SUM(B27:S27)</f>
        <v>1192428.6599999999</v>
      </c>
      <c r="Y27" s="1"/>
    </row>
    <row r="28" spans="1:25" hidden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32">
        <f>'s5'!F40</f>
        <v>1192428.6599999999</v>
      </c>
      <c r="Y28" s="1"/>
    </row>
    <row r="29" spans="1:25" hidden="1" x14ac:dyDescent="0.2">
      <c r="A29" s="1"/>
      <c r="B29" s="7"/>
      <c r="C29" s="1"/>
      <c r="D29" s="255"/>
      <c r="E29" s="9"/>
      <c r="F29" s="9"/>
      <c r="G29" s="9"/>
      <c r="H29" s="1"/>
      <c r="I29" s="1"/>
      <c r="J29" s="14"/>
      <c r="K29" s="9"/>
      <c r="L29" s="9"/>
      <c r="M29" s="9"/>
      <c r="N29" s="9"/>
      <c r="O29" s="9"/>
      <c r="P29" s="14"/>
      <c r="Q29" s="9"/>
      <c r="R29" s="2"/>
      <c r="S29" s="1"/>
      <c r="T29" s="2"/>
      <c r="U29" s="2"/>
      <c r="V29" s="1"/>
      <c r="W29" s="2">
        <f>W27-X27</f>
        <v>0</v>
      </c>
      <c r="X29" s="132">
        <f>X27-X28</f>
        <v>0</v>
      </c>
      <c r="Y29" s="1"/>
    </row>
    <row r="30" spans="1:25" hidden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idden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1"/>
      <c r="Y31" s="1"/>
    </row>
    <row r="32" spans="1:25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</sheetData>
  <phoneticPr fontId="0" type="noConversion"/>
  <printOptions horizontalCentered="1"/>
  <pageMargins left="0.2" right="0.19" top="0.82" bottom="1" header="0.5" footer="0.5"/>
  <pageSetup scale="6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F193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6" sqref="A6"/>
    </sheetView>
  </sheetViews>
  <sheetFormatPr defaultRowHeight="12.75" x14ac:dyDescent="0.2"/>
  <cols>
    <col min="1" max="1" width="18.42578125" customWidth="1"/>
    <col min="2" max="2" width="10.7109375" customWidth="1"/>
    <col min="3" max="3" width="9.7109375" customWidth="1"/>
    <col min="4" max="6" width="11.7109375" customWidth="1"/>
    <col min="7" max="8" width="12" customWidth="1"/>
    <col min="9" max="9" width="11.85546875" customWidth="1"/>
    <col min="10" max="10" width="12.5703125" customWidth="1"/>
    <col min="12" max="12" width="18.7109375" customWidth="1"/>
    <col min="13" max="13" width="15.7109375" customWidth="1"/>
    <col min="14" max="14" width="12.7109375" customWidth="1"/>
    <col min="15" max="15" width="18.42578125" customWidth="1"/>
    <col min="16" max="16" width="14.85546875" customWidth="1"/>
    <col min="17" max="17" width="15.7109375" customWidth="1"/>
    <col min="18" max="19" width="16.28515625" customWidth="1"/>
    <col min="20" max="20" width="16.28515625" hidden="1" customWidth="1"/>
    <col min="21" max="21" width="12.42578125" customWidth="1"/>
    <col min="22" max="23" width="10.7109375" customWidth="1"/>
    <col min="28" max="28" width="10" customWidth="1"/>
    <col min="29" max="29" width="11.7109375" customWidth="1"/>
    <col min="30" max="31" width="12.5703125" customWidth="1"/>
    <col min="32" max="32" width="11.5703125" customWidth="1"/>
  </cols>
  <sheetData>
    <row r="1" spans="1:32" ht="15.75" x14ac:dyDescent="0.25">
      <c r="A1" s="109" t="s">
        <v>246</v>
      </c>
      <c r="B1" s="68"/>
      <c r="L1" s="68" t="s">
        <v>354</v>
      </c>
      <c r="M1" s="68"/>
      <c r="AA1" s="16"/>
      <c r="AB1" s="5"/>
      <c r="AC1" s="5"/>
      <c r="AD1" s="5"/>
      <c r="AE1" s="5"/>
    </row>
    <row r="2" spans="1:32" ht="15.75" x14ac:dyDescent="0.25">
      <c r="A2" s="120" t="str">
        <f>ReportMonth</f>
        <v>MAY 2004</v>
      </c>
      <c r="B2" s="68" t="s">
        <v>86</v>
      </c>
      <c r="L2" s="121" t="str">
        <f>ReportMonth</f>
        <v>MAY 2004</v>
      </c>
      <c r="M2" s="68" t="s">
        <v>86</v>
      </c>
      <c r="AA2" s="16"/>
      <c r="AB2" s="5"/>
      <c r="AC2" s="5"/>
      <c r="AD2" s="5"/>
      <c r="AE2" s="5"/>
    </row>
    <row r="3" spans="1:32" ht="21.75" customHeight="1" x14ac:dyDescent="0.25">
      <c r="A3" s="66" t="s">
        <v>247</v>
      </c>
      <c r="B3" s="43"/>
      <c r="C3" s="43"/>
      <c r="D3" s="43"/>
      <c r="E3" s="43"/>
      <c r="F3" s="43"/>
      <c r="G3" s="43"/>
      <c r="H3" s="43"/>
      <c r="I3" s="43"/>
      <c r="J3" s="43"/>
      <c r="L3" s="94" t="s">
        <v>248</v>
      </c>
      <c r="M3" s="43"/>
      <c r="N3" s="43"/>
      <c r="O3" s="43"/>
      <c r="P3" s="43"/>
      <c r="Q3" s="43"/>
      <c r="R3" s="43"/>
      <c r="S3" s="43"/>
      <c r="T3" s="43"/>
      <c r="AA3" s="16"/>
      <c r="AB3" s="5"/>
      <c r="AC3" s="5"/>
      <c r="AD3" s="5"/>
      <c r="AE3" s="5"/>
      <c r="AF3" s="24"/>
    </row>
    <row r="4" spans="1:32" ht="27" customHeight="1" x14ac:dyDescent="0.2">
      <c r="Q4" s="24" t="s">
        <v>339</v>
      </c>
      <c r="R4" s="119"/>
      <c r="S4" s="119"/>
      <c r="T4" s="119" t="s">
        <v>249</v>
      </c>
      <c r="AA4" s="16"/>
      <c r="AB4" s="5"/>
      <c r="AC4" s="5"/>
      <c r="AD4" s="5"/>
      <c r="AE4" s="5"/>
      <c r="AF4" s="24"/>
    </row>
    <row r="5" spans="1:32" x14ac:dyDescent="0.2">
      <c r="B5" s="6" t="s">
        <v>250</v>
      </c>
      <c r="C5" s="29"/>
      <c r="D5" s="29"/>
      <c r="E5" s="29"/>
      <c r="F5" s="29"/>
      <c r="G5" s="29"/>
      <c r="H5" s="29"/>
      <c r="J5" s="29" t="s">
        <v>12</v>
      </c>
      <c r="K5" s="29"/>
      <c r="L5" s="29"/>
      <c r="M5" s="122" t="s">
        <v>251</v>
      </c>
      <c r="O5" s="118" t="s">
        <v>252</v>
      </c>
      <c r="P5" s="6"/>
      <c r="Q5" s="5" t="s">
        <v>253</v>
      </c>
      <c r="R5" s="5" t="s">
        <v>253</v>
      </c>
      <c r="S5" s="5" t="s">
        <v>340</v>
      </c>
      <c r="T5" s="5" t="s">
        <v>503</v>
      </c>
      <c r="U5" s="16"/>
    </row>
    <row r="6" spans="1:32" ht="12" customHeight="1" x14ac:dyDescent="0.2">
      <c r="B6" s="39" t="s">
        <v>254</v>
      </c>
      <c r="C6" s="39" t="s">
        <v>255</v>
      </c>
      <c r="D6" s="39" t="s">
        <v>256</v>
      </c>
      <c r="E6" s="39" t="s">
        <v>611</v>
      </c>
      <c r="F6" s="39" t="s">
        <v>590</v>
      </c>
      <c r="G6" s="39" t="s">
        <v>579</v>
      </c>
      <c r="H6" s="39" t="s">
        <v>365</v>
      </c>
      <c r="I6" s="6" t="s">
        <v>576</v>
      </c>
      <c r="J6" s="91" t="s">
        <v>5</v>
      </c>
      <c r="K6" s="29"/>
      <c r="L6" s="29"/>
      <c r="M6" s="123" t="s">
        <v>210</v>
      </c>
      <c r="N6" s="6" t="s">
        <v>148</v>
      </c>
      <c r="O6" s="123" t="s">
        <v>258</v>
      </c>
      <c r="P6" s="123" t="s">
        <v>259</v>
      </c>
      <c r="Q6" s="137" t="s">
        <v>260</v>
      </c>
      <c r="R6" s="137" t="s">
        <v>8</v>
      </c>
      <c r="S6" s="137" t="s">
        <v>341</v>
      </c>
      <c r="T6" s="122" t="s">
        <v>261</v>
      </c>
      <c r="AE6" s="24"/>
    </row>
    <row r="7" spans="1:32" x14ac:dyDescent="0.2">
      <c r="B7" s="38" t="s">
        <v>262</v>
      </c>
      <c r="C7" s="38" t="s">
        <v>262</v>
      </c>
      <c r="D7" s="38" t="s">
        <v>263</v>
      </c>
      <c r="E7" s="38" t="s">
        <v>464</v>
      </c>
      <c r="F7" s="38" t="s">
        <v>264</v>
      </c>
      <c r="G7" s="38" t="s">
        <v>580</v>
      </c>
      <c r="H7" s="38" t="s">
        <v>366</v>
      </c>
      <c r="I7" s="38" t="s">
        <v>265</v>
      </c>
      <c r="J7" s="38" t="s">
        <v>12</v>
      </c>
      <c r="K7" s="29"/>
      <c r="L7" s="29"/>
      <c r="M7" s="138" t="s">
        <v>266</v>
      </c>
      <c r="N7" s="139" t="s">
        <v>257</v>
      </c>
      <c r="O7" s="138" t="s">
        <v>338</v>
      </c>
      <c r="P7" s="138" t="s">
        <v>267</v>
      </c>
      <c r="Q7" s="140" t="s">
        <v>150</v>
      </c>
      <c r="R7" s="140" t="s">
        <v>10</v>
      </c>
      <c r="S7" s="140" t="s">
        <v>150</v>
      </c>
      <c r="T7" s="124" t="s">
        <v>268</v>
      </c>
      <c r="U7" s="6"/>
      <c r="V7" s="6"/>
      <c r="W7" s="6"/>
      <c r="Y7" s="5"/>
    </row>
    <row r="8" spans="1:32" ht="30" customHeight="1" x14ac:dyDescent="0.2">
      <c r="A8" s="16" t="s">
        <v>131</v>
      </c>
      <c r="B8" s="7"/>
      <c r="C8" s="7">
        <v>8989</v>
      </c>
      <c r="D8" s="7"/>
      <c r="E8" s="7"/>
      <c r="F8" s="7"/>
      <c r="G8" s="7"/>
      <c r="H8" s="7"/>
      <c r="I8" s="7"/>
      <c r="J8" s="7">
        <f t="shared" ref="J8:J22" si="0">SUM(B8:H8)</f>
        <v>8989</v>
      </c>
      <c r="L8" s="16" t="s">
        <v>131</v>
      </c>
      <c r="M8" s="2">
        <f>SUM(AvCaGals*0.0196)</f>
        <v>176.18</v>
      </c>
      <c r="N8" s="15"/>
      <c r="O8" s="31">
        <f>AvCaBase/AVGAS10.5</f>
        <v>4.1116E-2</v>
      </c>
      <c r="P8" s="99">
        <f>CAP*AvCaPer</f>
        <v>176.18</v>
      </c>
      <c r="Q8" s="2">
        <f>AvCaBase-AvCaDed</f>
        <v>0</v>
      </c>
      <c r="R8" s="99"/>
      <c r="S8" s="99">
        <f t="shared" ref="S8:S24" si="1">Q8+R8</f>
        <v>0</v>
      </c>
      <c r="T8" s="99"/>
      <c r="U8" s="2"/>
      <c r="V8" s="2"/>
      <c r="W8" s="2"/>
      <c r="Y8" s="1"/>
      <c r="Z8" s="2"/>
      <c r="AA8" s="2"/>
      <c r="AB8" s="2"/>
      <c r="AC8" s="11"/>
      <c r="AD8" s="2"/>
      <c r="AE8" s="2"/>
    </row>
    <row r="9" spans="1:32" x14ac:dyDescent="0.2">
      <c r="A9" s="16" t="s">
        <v>132</v>
      </c>
      <c r="B9" s="7"/>
      <c r="C9" s="7">
        <v>4074</v>
      </c>
      <c r="D9" s="7"/>
      <c r="E9" s="7"/>
      <c r="F9" s="7"/>
      <c r="G9" s="7"/>
      <c r="H9" s="7"/>
      <c r="I9" s="7"/>
      <c r="J9" s="7">
        <f t="shared" si="0"/>
        <v>4074</v>
      </c>
      <c r="L9" s="16" t="s">
        <v>132</v>
      </c>
      <c r="M9" s="2">
        <f>SUM(AvChGals*0.0196)</f>
        <v>79.849999999999994</v>
      </c>
      <c r="N9" s="15"/>
      <c r="O9" s="31">
        <f>AvChBase/AVGAS10.5</f>
        <v>1.8634999999999999E-2</v>
      </c>
      <c r="P9" s="99">
        <f>CAP*AvChPer</f>
        <v>79.849999999999994</v>
      </c>
      <c r="Q9" s="2">
        <f>AvChBase-AvChDed</f>
        <v>0</v>
      </c>
      <c r="R9" s="99"/>
      <c r="S9" s="99">
        <f t="shared" si="1"/>
        <v>0</v>
      </c>
      <c r="T9" s="99"/>
      <c r="U9" s="2"/>
      <c r="V9" s="2"/>
      <c r="W9" s="2"/>
      <c r="Y9" s="1"/>
      <c r="Z9" s="2"/>
      <c r="AA9" s="2"/>
      <c r="AB9" s="2"/>
      <c r="AC9" s="11"/>
      <c r="AD9" s="2"/>
      <c r="AE9" s="2"/>
    </row>
    <row r="10" spans="1:32" x14ac:dyDescent="0.2">
      <c r="A10" s="16" t="s">
        <v>133</v>
      </c>
      <c r="B10" s="7">
        <v>109602</v>
      </c>
      <c r="C10" s="7">
        <v>8111</v>
      </c>
      <c r="D10" s="7"/>
      <c r="E10" s="7">
        <v>979</v>
      </c>
      <c r="F10" s="7"/>
      <c r="G10" s="7"/>
      <c r="H10" s="7">
        <v>10448</v>
      </c>
      <c r="I10" s="7"/>
      <c r="J10" s="7">
        <f t="shared" si="0"/>
        <v>129140</v>
      </c>
      <c r="L10" s="16" t="s">
        <v>133</v>
      </c>
      <c r="M10" s="2">
        <f>SUM(AvClGals*0.0196)+0.01</f>
        <v>2531.15</v>
      </c>
      <c r="N10" s="15"/>
      <c r="O10" s="31">
        <f>AvClBase/AVGAS10.5</f>
        <v>0.59070100000000003</v>
      </c>
      <c r="P10" s="99">
        <f>CAP*AvClPer</f>
        <v>2531.15</v>
      </c>
      <c r="Q10" s="2">
        <f>AvClBase-AvClDed</f>
        <v>0</v>
      </c>
      <c r="R10" s="99"/>
      <c r="S10" s="99">
        <f t="shared" si="1"/>
        <v>0</v>
      </c>
      <c r="T10" s="99"/>
      <c r="U10" s="2"/>
      <c r="V10" s="2"/>
      <c r="W10" s="2"/>
      <c r="Y10" s="1"/>
      <c r="Z10" s="2"/>
      <c r="AA10" s="2"/>
      <c r="AB10" s="2"/>
      <c r="AC10" s="11"/>
      <c r="AD10" s="2"/>
      <c r="AE10" s="2"/>
    </row>
    <row r="11" spans="1:32" x14ac:dyDescent="0.2">
      <c r="A11" s="16" t="s">
        <v>134</v>
      </c>
      <c r="B11" s="7">
        <v>7985</v>
      </c>
      <c r="C11" s="7">
        <v>17016</v>
      </c>
      <c r="D11" s="7"/>
      <c r="E11" s="7"/>
      <c r="F11" s="7"/>
      <c r="G11" s="7"/>
      <c r="H11" s="7"/>
      <c r="I11" s="7"/>
      <c r="J11" s="7">
        <f t="shared" si="0"/>
        <v>25001</v>
      </c>
      <c r="L11" s="16" t="s">
        <v>134</v>
      </c>
      <c r="M11" s="78">
        <f>SUM(AvDoGals*0.0196)</f>
        <v>490.02</v>
      </c>
      <c r="N11" s="15">
        <v>0</v>
      </c>
      <c r="O11" s="31">
        <f>AvDoBase/AVGAS10.5</f>
        <v>0.114357</v>
      </c>
      <c r="P11" s="99">
        <f>CAP*AvDoPer</f>
        <v>490.02</v>
      </c>
      <c r="Q11" s="2">
        <f>AvDoBase-AvDoDed</f>
        <v>0</v>
      </c>
      <c r="R11" s="99">
        <f>638.8+1361.28</f>
        <v>2000.08</v>
      </c>
      <c r="S11" s="99">
        <f t="shared" si="1"/>
        <v>2000.08</v>
      </c>
      <c r="T11" s="99"/>
      <c r="U11" s="2"/>
      <c r="V11" s="2"/>
      <c r="W11" s="2"/>
      <c r="Y11" s="1"/>
      <c r="Z11" s="2"/>
      <c r="AA11" s="2"/>
      <c r="AB11" s="2"/>
      <c r="AC11" s="11"/>
      <c r="AD11" s="2"/>
      <c r="AE11" s="2"/>
    </row>
    <row r="12" spans="1:32" x14ac:dyDescent="0.2">
      <c r="A12" s="16" t="s">
        <v>135</v>
      </c>
      <c r="B12" s="7"/>
      <c r="C12" s="7"/>
      <c r="D12" s="7">
        <v>11912</v>
      </c>
      <c r="E12" s="7"/>
      <c r="F12" s="7"/>
      <c r="G12" s="7"/>
      <c r="H12" s="7"/>
      <c r="I12" s="7"/>
      <c r="J12" s="7">
        <f t="shared" si="0"/>
        <v>11912</v>
      </c>
      <c r="L12" s="16" t="s">
        <v>135</v>
      </c>
      <c r="M12" s="2">
        <f>SUM(AvElGals*0.0196)</f>
        <v>233.48</v>
      </c>
      <c r="N12" s="15"/>
      <c r="O12" s="31">
        <f>AvElBase/AVGAS10.5</f>
        <v>5.4488000000000002E-2</v>
      </c>
      <c r="P12" s="99">
        <f>CAP*AvElPer</f>
        <v>233.48</v>
      </c>
      <c r="Q12" s="2">
        <f>AvElBase-AvElDed</f>
        <v>0</v>
      </c>
      <c r="R12" s="99">
        <f>AvElGals*0.08</f>
        <v>952.96</v>
      </c>
      <c r="S12" s="99">
        <f t="shared" si="1"/>
        <v>952.96</v>
      </c>
      <c r="T12" s="99"/>
      <c r="U12" s="2"/>
      <c r="V12" s="2"/>
      <c r="W12" s="2"/>
      <c r="Y12" s="1"/>
      <c r="Z12" s="2"/>
      <c r="AA12" s="2"/>
      <c r="AB12" s="2"/>
      <c r="AC12" s="11"/>
      <c r="AD12" s="2"/>
      <c r="AE12" s="2"/>
    </row>
    <row r="13" spans="1:32" x14ac:dyDescent="0.2">
      <c r="A13" s="16" t="s">
        <v>136</v>
      </c>
      <c r="B13" s="7"/>
      <c r="C13" s="7"/>
      <c r="D13" s="7"/>
      <c r="E13" s="7"/>
      <c r="F13" s="7"/>
      <c r="G13" s="7"/>
      <c r="H13" s="7"/>
      <c r="I13" s="7"/>
      <c r="J13" s="7">
        <f t="shared" si="0"/>
        <v>0</v>
      </c>
      <c r="L13" s="16" t="s">
        <v>136</v>
      </c>
      <c r="M13" s="2">
        <f>SUM(AvEsGals*0.0196)</f>
        <v>0</v>
      </c>
      <c r="N13" s="15"/>
      <c r="O13" s="31">
        <f>AvEsBase/AVGAS10.5</f>
        <v>0</v>
      </c>
      <c r="P13" s="99">
        <f>CAP*AvEsPer</f>
        <v>0</v>
      </c>
      <c r="Q13" s="2">
        <f>AvEsBase-AvEsDed</f>
        <v>0</v>
      </c>
      <c r="R13" s="99"/>
      <c r="S13" s="99">
        <f t="shared" si="1"/>
        <v>0</v>
      </c>
      <c r="T13" s="99"/>
      <c r="U13" s="2"/>
      <c r="V13" s="2"/>
      <c r="W13" s="2"/>
      <c r="Y13" s="1"/>
      <c r="Z13" s="2"/>
      <c r="AA13" s="2"/>
      <c r="AB13" s="2"/>
      <c r="AC13" s="11"/>
      <c r="AD13" s="2"/>
      <c r="AE13" s="2"/>
    </row>
    <row r="14" spans="1:32" x14ac:dyDescent="0.2">
      <c r="A14" s="16" t="s">
        <v>137</v>
      </c>
      <c r="B14" s="7"/>
      <c r="C14" s="7"/>
      <c r="D14" s="7"/>
      <c r="E14" s="7"/>
      <c r="F14" s="7">
        <v>8811</v>
      </c>
      <c r="G14" s="7"/>
      <c r="H14" s="7"/>
      <c r="I14" s="7"/>
      <c r="J14" s="7">
        <f t="shared" si="0"/>
        <v>8811</v>
      </c>
      <c r="L14" s="16" t="s">
        <v>137</v>
      </c>
      <c r="M14" s="2">
        <f>SUM(AvEuGals*0.0196)</f>
        <v>172.7</v>
      </c>
      <c r="N14" s="15"/>
      <c r="O14" s="31">
        <f>AvEuBase/AVGAS10.5</f>
        <v>4.0302999999999999E-2</v>
      </c>
      <c r="P14" s="99">
        <f>CAP*AvEuPer</f>
        <v>172.7</v>
      </c>
      <c r="Q14" s="2">
        <f>AvEuBase-AvEuDed</f>
        <v>0</v>
      </c>
      <c r="R14" s="99"/>
      <c r="S14" s="99">
        <f t="shared" si="1"/>
        <v>0</v>
      </c>
      <c r="T14" s="99"/>
      <c r="U14" s="2"/>
      <c r="V14" s="2"/>
      <c r="W14" s="2"/>
      <c r="Y14" s="1"/>
      <c r="Z14" s="2"/>
      <c r="AA14" s="2"/>
      <c r="AB14" s="2"/>
      <c r="AC14" s="11"/>
      <c r="AD14" s="2"/>
      <c r="AE14" s="2"/>
    </row>
    <row r="15" spans="1:32" x14ac:dyDescent="0.2">
      <c r="A15" s="16" t="s">
        <v>138</v>
      </c>
      <c r="B15" s="7"/>
      <c r="C15" s="7">
        <v>10983</v>
      </c>
      <c r="D15" s="7"/>
      <c r="E15" s="7"/>
      <c r="F15" s="7"/>
      <c r="G15" s="7"/>
      <c r="H15" s="7"/>
      <c r="I15" s="7"/>
      <c r="J15" s="7">
        <f t="shared" si="0"/>
        <v>10983</v>
      </c>
      <c r="L15" s="16" t="s">
        <v>138</v>
      </c>
      <c r="M15" s="2">
        <f>SUM(AvHuGals*0.0196)</f>
        <v>215.27</v>
      </c>
      <c r="N15" s="15"/>
      <c r="O15" s="31">
        <f>AvHuBase/AVGAS10.5</f>
        <v>5.0237999999999998E-2</v>
      </c>
      <c r="P15" s="99">
        <f>CAP*AvHuPer</f>
        <v>215.27</v>
      </c>
      <c r="Q15" s="2">
        <f>AvHuBase-AvHuDed</f>
        <v>0</v>
      </c>
      <c r="R15" s="99">
        <f>AvHuGals*0.08</f>
        <v>878.64</v>
      </c>
      <c r="S15" s="99">
        <f t="shared" si="1"/>
        <v>878.64</v>
      </c>
      <c r="T15" s="99"/>
      <c r="U15" s="2"/>
      <c r="V15" s="2"/>
      <c r="W15" s="2"/>
      <c r="Y15" s="1"/>
      <c r="Z15" s="2"/>
      <c r="AA15" s="2"/>
      <c r="AB15" s="2"/>
      <c r="AC15" s="11"/>
      <c r="AD15" s="2"/>
      <c r="AE15" s="2"/>
    </row>
    <row r="16" spans="1:32" x14ac:dyDescent="0.2">
      <c r="A16" s="16" t="s">
        <v>139</v>
      </c>
      <c r="B16" s="7"/>
      <c r="C16" s="7"/>
      <c r="D16" s="7"/>
      <c r="E16" s="7"/>
      <c r="F16" s="7"/>
      <c r="G16" s="7"/>
      <c r="H16" s="7"/>
      <c r="I16" s="7"/>
      <c r="J16" s="7">
        <f t="shared" si="0"/>
        <v>0</v>
      </c>
      <c r="L16" s="16" t="s">
        <v>139</v>
      </c>
      <c r="M16" s="2">
        <f>SUM(AvLaGals*0.0196)</f>
        <v>0</v>
      </c>
      <c r="N16" s="15"/>
      <c r="O16" s="31">
        <f>AvLaBase/AVGAS10.5</f>
        <v>0</v>
      </c>
      <c r="P16" s="99">
        <f>CAP*AvLaPer</f>
        <v>0</v>
      </c>
      <c r="Q16" s="2">
        <f>AvLaBase-AvLaDed</f>
        <v>0</v>
      </c>
      <c r="R16" s="99"/>
      <c r="S16" s="99">
        <f t="shared" si="1"/>
        <v>0</v>
      </c>
      <c r="T16" s="99"/>
      <c r="U16" s="2"/>
      <c r="V16" s="2"/>
      <c r="W16" s="2"/>
      <c r="Y16" s="1"/>
      <c r="Z16" s="2"/>
      <c r="AA16" s="2"/>
      <c r="AB16" s="2"/>
      <c r="AC16" s="11"/>
      <c r="AD16" s="2"/>
      <c r="AE16" s="2"/>
    </row>
    <row r="17" spans="1:32" x14ac:dyDescent="0.2">
      <c r="A17" s="16" t="s">
        <v>140</v>
      </c>
      <c r="B17" s="7"/>
      <c r="C17" s="7"/>
      <c r="D17" s="7"/>
      <c r="E17" s="7"/>
      <c r="F17" s="7"/>
      <c r="G17" s="7"/>
      <c r="H17" s="7"/>
      <c r="I17" s="7"/>
      <c r="J17" s="7">
        <f t="shared" si="0"/>
        <v>0</v>
      </c>
      <c r="L17" s="16" t="s">
        <v>140</v>
      </c>
      <c r="M17" s="2">
        <f>SUM(AvLiGals*0.0196)</f>
        <v>0</v>
      </c>
      <c r="N17" s="15"/>
      <c r="O17" s="31">
        <f>AvLiBase/AVGAS10.5</f>
        <v>0</v>
      </c>
      <c r="P17" s="99">
        <f>CAP*AvLiPer</f>
        <v>0</v>
      </c>
      <c r="Q17" s="2">
        <f>AvLiBase-AvLiDed</f>
        <v>0</v>
      </c>
      <c r="R17" s="99"/>
      <c r="S17" s="99">
        <f t="shared" si="1"/>
        <v>0</v>
      </c>
      <c r="T17" s="99"/>
      <c r="U17" s="2"/>
      <c r="V17" s="2"/>
      <c r="W17" s="2"/>
      <c r="Y17" s="1"/>
      <c r="Z17" s="2"/>
      <c r="AA17" s="2"/>
      <c r="AB17" s="2"/>
      <c r="AC17" s="11"/>
      <c r="AD17" s="2"/>
      <c r="AE17" s="2"/>
    </row>
    <row r="18" spans="1:32" x14ac:dyDescent="0.2">
      <c r="A18" s="16" t="s">
        <v>141</v>
      </c>
      <c r="B18" s="7"/>
      <c r="C18" s="7"/>
      <c r="D18" s="7"/>
      <c r="E18" s="7"/>
      <c r="F18" s="7"/>
      <c r="G18" s="7">
        <v>3770</v>
      </c>
      <c r="H18" s="7"/>
      <c r="I18" s="7"/>
      <c r="J18" s="7">
        <f t="shared" si="0"/>
        <v>3770</v>
      </c>
      <c r="L18" s="16" t="s">
        <v>141</v>
      </c>
      <c r="M18" s="2">
        <f>SUM(AvLyGals*0.0196)</f>
        <v>73.89</v>
      </c>
      <c r="N18" s="15"/>
      <c r="O18" s="31">
        <f>AvLyBase/AVGAS10.5</f>
        <v>1.7243999999999999E-2</v>
      </c>
      <c r="P18" s="99">
        <f>CAP*AvLyPer</f>
        <v>73.89</v>
      </c>
      <c r="Q18" s="2">
        <f>AvLyBase-AvLyDed</f>
        <v>0</v>
      </c>
      <c r="R18" s="99"/>
      <c r="S18" s="99">
        <f t="shared" si="1"/>
        <v>0</v>
      </c>
      <c r="T18" s="99"/>
      <c r="U18" s="2"/>
      <c r="V18" s="2"/>
      <c r="W18" s="2"/>
      <c r="Y18" s="1"/>
      <c r="Z18" s="2"/>
      <c r="AA18" s="2"/>
      <c r="AB18" s="2"/>
      <c r="AC18" s="11"/>
      <c r="AD18" s="2"/>
      <c r="AE18" s="2"/>
    </row>
    <row r="19" spans="1:32" x14ac:dyDescent="0.2">
      <c r="A19" s="16" t="s">
        <v>142</v>
      </c>
      <c r="B19" s="7"/>
      <c r="C19" s="7"/>
      <c r="D19" s="7"/>
      <c r="E19" s="7"/>
      <c r="F19" s="7"/>
      <c r="G19" s="7"/>
      <c r="H19" s="7"/>
      <c r="I19" s="7"/>
      <c r="J19" s="7">
        <f t="shared" si="0"/>
        <v>0</v>
      </c>
      <c r="L19" s="16" t="s">
        <v>142</v>
      </c>
      <c r="M19" s="2">
        <f>SUM(AvMiGals*0.0196)</f>
        <v>0</v>
      </c>
      <c r="N19" s="15"/>
      <c r="O19" s="31">
        <f>AvMiBase/AVGAS10.5</f>
        <v>0</v>
      </c>
      <c r="P19" s="99">
        <f>CAP*AvMiPer</f>
        <v>0</v>
      </c>
      <c r="Q19" s="2">
        <f>AvMiBase-AvMiDed</f>
        <v>0</v>
      </c>
      <c r="R19" s="99"/>
      <c r="S19" s="99">
        <f t="shared" si="1"/>
        <v>0</v>
      </c>
      <c r="T19" s="99"/>
      <c r="U19" s="2"/>
      <c r="V19" s="2"/>
      <c r="W19" s="2"/>
      <c r="Y19" s="1"/>
      <c r="Z19" s="2"/>
      <c r="AA19" s="2"/>
      <c r="AB19" s="2"/>
      <c r="AC19" s="11"/>
      <c r="AD19" s="2"/>
      <c r="AE19" s="2"/>
    </row>
    <row r="20" spans="1:32" x14ac:dyDescent="0.2">
      <c r="A20" s="16" t="s">
        <v>143</v>
      </c>
      <c r="B20" s="7"/>
      <c r="C20" s="7"/>
      <c r="D20" s="7"/>
      <c r="E20" s="7"/>
      <c r="F20" s="7"/>
      <c r="G20" s="7"/>
      <c r="H20" s="7"/>
      <c r="I20" s="7"/>
      <c r="J20" s="7">
        <f t="shared" si="0"/>
        <v>0</v>
      </c>
      <c r="L20" s="16" t="s">
        <v>143</v>
      </c>
      <c r="M20" s="2">
        <f>SUM(AvNyGals*0.0196)</f>
        <v>0</v>
      </c>
      <c r="N20" s="15"/>
      <c r="O20" s="31">
        <f>AvNyBase/AVGAS10.5</f>
        <v>0</v>
      </c>
      <c r="P20" s="99">
        <f>CAP*AvNyPer</f>
        <v>0</v>
      </c>
      <c r="Q20" s="2">
        <f>AvNyBase-AvNyDed</f>
        <v>0</v>
      </c>
      <c r="R20" s="99"/>
      <c r="S20" s="99">
        <f t="shared" si="1"/>
        <v>0</v>
      </c>
      <c r="T20" s="99"/>
      <c r="U20" s="2"/>
      <c r="V20" s="2"/>
      <c r="W20" s="2"/>
      <c r="Y20" s="1"/>
      <c r="Z20" s="2"/>
      <c r="AA20" s="2"/>
      <c r="AB20" s="2"/>
      <c r="AC20" s="11"/>
      <c r="AD20" s="2"/>
      <c r="AE20" s="2"/>
    </row>
    <row r="21" spans="1:32" x14ac:dyDescent="0.2">
      <c r="A21" s="16" t="s">
        <v>144</v>
      </c>
      <c r="B21" s="7"/>
      <c r="C21" s="7"/>
      <c r="D21" s="7"/>
      <c r="E21" s="7"/>
      <c r="F21" s="7"/>
      <c r="G21" s="7"/>
      <c r="H21" s="7"/>
      <c r="I21" s="7"/>
      <c r="J21" s="7">
        <f t="shared" si="0"/>
        <v>0</v>
      </c>
      <c r="L21" s="16" t="s">
        <v>144</v>
      </c>
      <c r="M21" s="2">
        <f>SUM(AvPeGals*0.0196)</f>
        <v>0</v>
      </c>
      <c r="N21" s="15"/>
      <c r="O21" s="31">
        <f>AvPeBase/AVGAS10.5</f>
        <v>0</v>
      </c>
      <c r="P21" s="99">
        <f>CAP*AvPePer</f>
        <v>0</v>
      </c>
      <c r="Q21" s="2">
        <f>AvPeBase-AvPeDed</f>
        <v>0</v>
      </c>
      <c r="R21" s="99"/>
      <c r="S21" s="99">
        <f t="shared" si="1"/>
        <v>0</v>
      </c>
      <c r="T21" s="99"/>
      <c r="U21" s="2"/>
      <c r="V21" s="2"/>
      <c r="W21" s="2"/>
      <c r="Y21" s="1"/>
      <c r="Z21" s="2"/>
      <c r="AA21" s="2"/>
      <c r="AB21" s="2"/>
      <c r="AC21" s="11"/>
      <c r="AD21" s="2"/>
      <c r="AE21" s="2"/>
    </row>
    <row r="22" spans="1:32" x14ac:dyDescent="0.2">
      <c r="A22" s="16" t="s">
        <v>145</v>
      </c>
      <c r="B22" s="7"/>
      <c r="C22" s="7"/>
      <c r="D22" s="7"/>
      <c r="E22" s="7"/>
      <c r="F22" s="7"/>
      <c r="G22" s="7"/>
      <c r="H22" s="7"/>
      <c r="I22" s="7"/>
      <c r="J22" s="7">
        <f t="shared" si="0"/>
        <v>0</v>
      </c>
      <c r="L22" s="16" t="s">
        <v>145</v>
      </c>
      <c r="M22" s="2">
        <f>SUM(AvStGals*0.0196)</f>
        <v>0</v>
      </c>
      <c r="N22" s="15"/>
      <c r="O22" s="31">
        <f>AvStBase/AVGAS10.5</f>
        <v>0</v>
      </c>
      <c r="P22" s="99">
        <f>CAP*AvStPer</f>
        <v>0</v>
      </c>
      <c r="Q22" s="2">
        <f>AvStBase-AvStDed</f>
        <v>0</v>
      </c>
      <c r="R22" s="99"/>
      <c r="S22" s="99">
        <f t="shared" si="1"/>
        <v>0</v>
      </c>
      <c r="T22" s="99"/>
      <c r="U22" s="2"/>
      <c r="V22" s="2"/>
      <c r="W22" s="2"/>
      <c r="Y22" s="1"/>
      <c r="Z22" s="2"/>
      <c r="AA22" s="2"/>
      <c r="AB22" s="2"/>
      <c r="AC22" s="11"/>
      <c r="AD22" s="2"/>
      <c r="AE22" s="2"/>
    </row>
    <row r="23" spans="1:32" x14ac:dyDescent="0.2">
      <c r="A23" s="16" t="s">
        <v>146</v>
      </c>
      <c r="B23" s="7"/>
      <c r="C23" s="7"/>
      <c r="D23" s="7">
        <v>7985</v>
      </c>
      <c r="E23" s="7"/>
      <c r="F23" s="7"/>
      <c r="G23" s="7"/>
      <c r="H23" s="7"/>
      <c r="I23" s="7">
        <v>7956</v>
      </c>
      <c r="J23" s="7">
        <f>SUM(B23:I23)</f>
        <v>15941</v>
      </c>
      <c r="L23" s="16" t="s">
        <v>146</v>
      </c>
      <c r="M23" s="2">
        <f>SUM(AvWaGals*0.0196)+0.01</f>
        <v>312.45</v>
      </c>
      <c r="N23" s="15"/>
      <c r="O23" s="31">
        <f>AvWaBase/AVGAS10.5</f>
        <v>7.2916999999999996E-2</v>
      </c>
      <c r="P23" s="99">
        <f>CAP*AvWaPer</f>
        <v>312.45</v>
      </c>
      <c r="Q23" s="2">
        <f>AvWaBase-AvWaDed</f>
        <v>0</v>
      </c>
      <c r="R23" s="99"/>
      <c r="S23" s="99">
        <f t="shared" si="1"/>
        <v>0</v>
      </c>
      <c r="T23" s="99"/>
      <c r="U23" s="2"/>
      <c r="V23" s="2"/>
      <c r="W23" s="2"/>
      <c r="Y23" s="1"/>
      <c r="Z23" s="2"/>
      <c r="AA23" s="2"/>
      <c r="AB23" s="2"/>
      <c r="AC23" s="11"/>
      <c r="AD23" s="2"/>
      <c r="AE23" s="2"/>
    </row>
    <row r="24" spans="1:32" x14ac:dyDescent="0.2">
      <c r="A24" s="16" t="s">
        <v>147</v>
      </c>
      <c r="B24" s="7"/>
      <c r="C24" s="7"/>
      <c r="D24" s="7"/>
      <c r="E24" s="7"/>
      <c r="F24" s="7"/>
      <c r="G24" s="7"/>
      <c r="H24" s="7"/>
      <c r="I24" s="7"/>
      <c r="J24" s="7">
        <f>SUM(B24:H24)</f>
        <v>0</v>
      </c>
      <c r="L24" s="16" t="s">
        <v>147</v>
      </c>
      <c r="M24" s="33">
        <f>SUM(AvWhGals*0.0196)</f>
        <v>0</v>
      </c>
      <c r="N24" s="48"/>
      <c r="O24" s="49">
        <f>AvWhBase/AVGAS10.5</f>
        <v>0</v>
      </c>
      <c r="P24" s="100">
        <f>CAP*AvWhPer</f>
        <v>0</v>
      </c>
      <c r="Q24" s="33">
        <f>AvWhBase-AvWhDed</f>
        <v>0</v>
      </c>
      <c r="R24" s="100"/>
      <c r="S24" s="100">
        <f t="shared" si="1"/>
        <v>0</v>
      </c>
      <c r="T24" s="100"/>
      <c r="U24" s="2"/>
      <c r="V24" s="2"/>
      <c r="W24" s="2"/>
      <c r="Y24" s="1"/>
      <c r="Z24" s="2"/>
      <c r="AA24" s="2"/>
      <c r="AB24" s="33"/>
      <c r="AC24" s="93"/>
      <c r="AD24" s="33"/>
      <c r="AE24" s="2"/>
    </row>
    <row r="25" spans="1:32" ht="24" customHeight="1" thickBot="1" x14ac:dyDescent="0.25">
      <c r="A25" s="92" t="s">
        <v>12</v>
      </c>
      <c r="B25" s="34">
        <f>SUM(B8:B24)</f>
        <v>117587</v>
      </c>
      <c r="C25" s="34">
        <f>SUM(C8:C24)</f>
        <v>49173</v>
      </c>
      <c r="D25" s="34">
        <f t="shared" ref="D25:I25" si="2">SUM(D8:D24)</f>
        <v>19897</v>
      </c>
      <c r="E25" s="34">
        <f t="shared" si="2"/>
        <v>979</v>
      </c>
      <c r="F25" s="34">
        <f t="shared" si="2"/>
        <v>8811</v>
      </c>
      <c r="G25" s="34">
        <f t="shared" si="2"/>
        <v>3770</v>
      </c>
      <c r="H25" s="34">
        <f t="shared" si="2"/>
        <v>10448</v>
      </c>
      <c r="I25" s="34">
        <f t="shared" si="2"/>
        <v>7956</v>
      </c>
      <c r="J25" s="34">
        <f>SUM(J8:J24)</f>
        <v>218621</v>
      </c>
      <c r="K25" s="7"/>
      <c r="L25" s="16" t="s">
        <v>12</v>
      </c>
      <c r="M25" s="133">
        <f>SUM(AvCaBase:AvWhBase)</f>
        <v>4284.99</v>
      </c>
      <c r="N25" s="134">
        <f>'s4'!E11</f>
        <v>4284.99</v>
      </c>
      <c r="O25" s="47">
        <f>SUM(O8:O24)</f>
        <v>1</v>
      </c>
      <c r="P25" s="135">
        <f>SUM(AvCaDed:AvWhDed)</f>
        <v>4284.99</v>
      </c>
      <c r="Q25" s="133">
        <f>SUM(Q8:Q24)</f>
        <v>0</v>
      </c>
      <c r="R25" s="46">
        <f>SUM(R8:R24)</f>
        <v>3831.68</v>
      </c>
      <c r="S25" s="46">
        <f>SUM(S8:S24)</f>
        <v>3831.68</v>
      </c>
      <c r="T25" s="46">
        <f>SUM(T8:T24)</f>
        <v>0</v>
      </c>
      <c r="Y25" s="2"/>
      <c r="Z25" s="14"/>
      <c r="AA25" s="2"/>
      <c r="AB25" s="2"/>
      <c r="AC25" s="2"/>
      <c r="AD25" s="2"/>
      <c r="AE25" s="2"/>
      <c r="AF25" s="11"/>
    </row>
    <row r="26" spans="1:32" ht="14.25" hidden="1" customHeight="1" x14ac:dyDescent="0.2">
      <c r="D26" s="7"/>
      <c r="E26" s="7"/>
      <c r="F26" s="7"/>
    </row>
    <row r="27" spans="1:32" hidden="1" x14ac:dyDescent="0.2">
      <c r="J27" s="7"/>
      <c r="Q27" s="98"/>
      <c r="R27" s="98"/>
      <c r="S27" s="98"/>
      <c r="T27" s="98">
        <f>AE25</f>
        <v>0</v>
      </c>
      <c r="U27" s="4"/>
      <c r="V27" s="4"/>
      <c r="W27" s="4"/>
    </row>
    <row r="28" spans="1:32" hidden="1" x14ac:dyDescent="0.2">
      <c r="A28" t="s">
        <v>269</v>
      </c>
      <c r="B28" s="44">
        <v>2943.51</v>
      </c>
      <c r="C28" s="44">
        <v>3203.71</v>
      </c>
      <c r="D28" s="44">
        <v>1342.95</v>
      </c>
      <c r="E28" s="44">
        <v>19.190000000000001</v>
      </c>
      <c r="F28" s="44">
        <v>172.7</v>
      </c>
      <c r="G28" s="44">
        <v>73.89</v>
      </c>
      <c r="H28" s="44">
        <v>204.78</v>
      </c>
      <c r="I28" s="44">
        <v>155.94</v>
      </c>
      <c r="J28" s="45">
        <f>SUM(B28:I28)</f>
        <v>8116.67</v>
      </c>
      <c r="L28" s="280">
        <v>0</v>
      </c>
      <c r="O28">
        <f>CAP+AV_OPT</f>
        <v>8116.67</v>
      </c>
      <c r="U28" s="9"/>
      <c r="V28" s="9"/>
      <c r="W28" s="9"/>
      <c r="Y28" s="2"/>
    </row>
    <row r="29" spans="1:32" hidden="1" x14ac:dyDescent="0.2">
      <c r="O29" s="25"/>
      <c r="P29" s="17">
        <f>AvDeduct-CAP</f>
        <v>0</v>
      </c>
    </row>
    <row r="30" spans="1:32" hidden="1" x14ac:dyDescent="0.2">
      <c r="R30" s="11"/>
      <c r="S30" s="11"/>
      <c r="T30" s="11">
        <f>AE25</f>
        <v>0</v>
      </c>
    </row>
    <row r="31" spans="1:32" hidden="1" x14ac:dyDescent="0.2"/>
    <row r="32" spans="1:32" hidden="1" x14ac:dyDescent="0.2">
      <c r="N32">
        <f>AVGAS10.5+AV_OPT</f>
        <v>8116.67</v>
      </c>
    </row>
    <row r="33" spans="12:13" hidden="1" x14ac:dyDescent="0.2">
      <c r="L33" s="385">
        <v>8116.67</v>
      </c>
    </row>
    <row r="34" spans="12:13" hidden="1" x14ac:dyDescent="0.2"/>
    <row r="35" spans="12:13" hidden="1" x14ac:dyDescent="0.2">
      <c r="L35" s="277">
        <f>O28-L33</f>
        <v>0</v>
      </c>
      <c r="M35" s="2"/>
    </row>
    <row r="36" spans="12:13" hidden="1" x14ac:dyDescent="0.2"/>
    <row r="37" spans="12:13" hidden="1" x14ac:dyDescent="0.2"/>
    <row r="38" spans="12:13" hidden="1" x14ac:dyDescent="0.2"/>
    <row r="39" spans="12:13" hidden="1" x14ac:dyDescent="0.2"/>
    <row r="40" spans="12:13" hidden="1" x14ac:dyDescent="0.2"/>
    <row r="41" spans="12:13" hidden="1" x14ac:dyDescent="0.2"/>
    <row r="42" spans="12:13" hidden="1" x14ac:dyDescent="0.2"/>
    <row r="43" spans="12:13" hidden="1" x14ac:dyDescent="0.2"/>
    <row r="44" spans="12:13" hidden="1" x14ac:dyDescent="0.2"/>
    <row r="45" spans="12:13" hidden="1" x14ac:dyDescent="0.2"/>
    <row r="46" spans="12:13" hidden="1" x14ac:dyDescent="0.2"/>
    <row r="47" spans="12:13" hidden="1" x14ac:dyDescent="0.2"/>
    <row r="48" spans="12:13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</sheetData>
  <phoneticPr fontId="0" type="noConversion"/>
  <printOptions horizontalCentered="1"/>
  <pageMargins left="0.75" right="0.75" top="1" bottom="1" header="0.5" footer="0.5"/>
  <pageSetup scale="96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W328"/>
  <sheetViews>
    <sheetView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A9" sqref="A9"/>
    </sheetView>
  </sheetViews>
  <sheetFormatPr defaultRowHeight="12.75" x14ac:dyDescent="0.2"/>
  <cols>
    <col min="1" max="1" width="28.7109375" customWidth="1"/>
    <col min="2" max="2" width="13.5703125" customWidth="1"/>
    <col min="3" max="3" width="12.28515625" customWidth="1"/>
    <col min="4" max="4" width="15" customWidth="1"/>
    <col min="5" max="5" width="12.28515625" customWidth="1"/>
    <col min="6" max="6" width="12" customWidth="1"/>
    <col min="7" max="7" width="11.42578125" customWidth="1"/>
    <col min="8" max="8" width="10.28515625" customWidth="1"/>
    <col min="9" max="9" width="10.85546875" customWidth="1"/>
    <col min="10" max="10" width="10.5703125" customWidth="1"/>
    <col min="11" max="11" width="10.85546875" customWidth="1"/>
    <col min="12" max="12" width="12.140625" customWidth="1"/>
    <col min="13" max="13" width="11.42578125" customWidth="1"/>
    <col min="14" max="14" width="13.28515625" customWidth="1"/>
    <col min="15" max="15" width="10.85546875" customWidth="1"/>
    <col min="16" max="16" width="11.85546875" customWidth="1"/>
    <col min="17" max="17" width="10.85546875" customWidth="1"/>
    <col min="19" max="19" width="13.140625" customWidth="1"/>
    <col min="20" max="20" width="13.28515625" hidden="1" customWidth="1"/>
    <col min="22" max="22" width="11.5703125" hidden="1" customWidth="1"/>
  </cols>
  <sheetData>
    <row r="1" spans="1:20" ht="15.75" x14ac:dyDescent="0.25">
      <c r="A1" s="63" t="s">
        <v>270</v>
      </c>
      <c r="B1" s="1"/>
      <c r="C1" s="1"/>
      <c r="D1" s="1"/>
      <c r="E1" s="1"/>
      <c r="F1" s="62"/>
      <c r="H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5" t="str">
        <f>ReportMonth</f>
        <v>MAY 2004</v>
      </c>
      <c r="B2" s="1"/>
      <c r="C2" s="1"/>
      <c r="D2" s="1"/>
      <c r="E2" s="1"/>
      <c r="G2" s="69"/>
      <c r="H2" s="62"/>
      <c r="I2" s="62"/>
      <c r="J2" s="62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6" t="s">
        <v>3</v>
      </c>
      <c r="B3" s="42"/>
      <c r="C3" s="42"/>
      <c r="D3" s="42"/>
      <c r="E3" s="42"/>
      <c r="F3" s="86"/>
      <c r="G3" s="65"/>
      <c r="H3" s="86"/>
      <c r="I3" s="86"/>
      <c r="J3" s="86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6" t="s">
        <v>441</v>
      </c>
      <c r="B4" s="42"/>
      <c r="C4" s="42"/>
      <c r="D4" s="42"/>
      <c r="E4" s="42"/>
      <c r="F4" s="86"/>
      <c r="G4" s="65"/>
      <c r="H4" s="86"/>
      <c r="I4" s="86"/>
      <c r="J4" s="86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6" t="s">
        <v>271</v>
      </c>
      <c r="B5" s="42"/>
      <c r="C5" s="42"/>
      <c r="D5" s="42"/>
      <c r="E5" s="42"/>
      <c r="F5" s="43"/>
      <c r="G5" s="86"/>
      <c r="H5" s="86"/>
      <c r="I5" s="86"/>
      <c r="J5" s="86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ht="15" x14ac:dyDescent="0.2">
      <c r="A6" s="86" t="s">
        <v>272</v>
      </c>
      <c r="B6" s="42"/>
      <c r="C6" s="42"/>
      <c r="D6" s="42"/>
      <c r="E6" s="42"/>
      <c r="F6" s="43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1"/>
    </row>
    <row r="7" spans="1:20" ht="29.25" customHeight="1" x14ac:dyDescent="0.25">
      <c r="A7" s="125" t="str">
        <f>CONCATENATE("FEES COLLECTED IN ",ReportMonth," FOR ",ActivityMonth," TRANSACTIONS")</f>
        <v>FEES COLLECTED IN MAY 2004 FOR MAY 2004 TRANSACTIONS</v>
      </c>
      <c r="B7" s="43"/>
      <c r="C7" s="43"/>
      <c r="D7" s="43"/>
      <c r="E7" s="43"/>
      <c r="F7" s="43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8" spans="1:20" ht="18" customHeight="1" x14ac:dyDescent="0.2">
      <c r="A8" s="83"/>
      <c r="B8" s="43"/>
      <c r="C8" s="43"/>
      <c r="D8" s="43"/>
      <c r="E8" s="43"/>
      <c r="F8" s="43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1"/>
    </row>
    <row r="9" spans="1:20" ht="12.75" customHeight="1" x14ac:dyDescent="0.2">
      <c r="A9" s="1"/>
      <c r="B9" s="6" t="s">
        <v>273</v>
      </c>
      <c r="C9" s="50" t="s">
        <v>274</v>
      </c>
      <c r="D9" s="52" t="s">
        <v>275</v>
      </c>
      <c r="E9" s="52"/>
      <c r="F9" s="52" t="s">
        <v>276</v>
      </c>
      <c r="G9" s="52"/>
      <c r="H9" s="52" t="s">
        <v>277</v>
      </c>
      <c r="I9" s="52"/>
      <c r="J9" s="52" t="s">
        <v>278</v>
      </c>
      <c r="K9" s="52"/>
      <c r="L9" s="52" t="s">
        <v>279</v>
      </c>
      <c r="M9" s="52"/>
      <c r="N9" s="52" t="s">
        <v>280</v>
      </c>
      <c r="O9" s="52"/>
      <c r="P9" s="52" t="s">
        <v>281</v>
      </c>
      <c r="Q9" s="52"/>
      <c r="R9" s="50" t="s">
        <v>282</v>
      </c>
      <c r="S9" s="57" t="s">
        <v>283</v>
      </c>
      <c r="T9" s="5" t="s">
        <v>112</v>
      </c>
    </row>
    <row r="10" spans="1:20" x14ac:dyDescent="0.2">
      <c r="A10" s="1"/>
      <c r="B10" s="6" t="s">
        <v>284</v>
      </c>
      <c r="C10" s="50" t="s">
        <v>284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2" t="s">
        <v>5</v>
      </c>
      <c r="O10" s="52"/>
      <c r="P10" s="53"/>
      <c r="Q10" s="53"/>
      <c r="R10" s="53"/>
      <c r="S10" s="57" t="s">
        <v>12</v>
      </c>
      <c r="T10" s="5" t="s">
        <v>285</v>
      </c>
    </row>
    <row r="11" spans="1:20" x14ac:dyDescent="0.2">
      <c r="A11" s="108" t="s">
        <v>13</v>
      </c>
      <c r="B11" s="38" t="s">
        <v>286</v>
      </c>
      <c r="C11" s="51" t="s">
        <v>287</v>
      </c>
      <c r="D11" s="54" t="s">
        <v>288</v>
      </c>
      <c r="E11" s="55" t="s">
        <v>289</v>
      </c>
      <c r="F11" s="54" t="s">
        <v>288</v>
      </c>
      <c r="G11" s="56" t="s">
        <v>289</v>
      </c>
      <c r="H11" s="56" t="s">
        <v>288</v>
      </c>
      <c r="I11" s="56" t="s">
        <v>289</v>
      </c>
      <c r="J11" s="54" t="s">
        <v>288</v>
      </c>
      <c r="K11" s="56" t="s">
        <v>289</v>
      </c>
      <c r="L11" s="54" t="s">
        <v>288</v>
      </c>
      <c r="M11" s="55" t="s">
        <v>289</v>
      </c>
      <c r="N11" s="54" t="s">
        <v>288</v>
      </c>
      <c r="O11" s="56" t="s">
        <v>289</v>
      </c>
      <c r="P11" s="54" t="s">
        <v>288</v>
      </c>
      <c r="Q11" s="56" t="s">
        <v>289</v>
      </c>
      <c r="R11" s="56"/>
      <c r="S11" s="58" t="s">
        <v>5</v>
      </c>
      <c r="T11" s="5" t="s">
        <v>290</v>
      </c>
    </row>
    <row r="12" spans="1:20" x14ac:dyDescent="0.2">
      <c r="A12" s="1"/>
      <c r="B12" s="7"/>
      <c r="C12" s="7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59"/>
      <c r="T12" s="1"/>
    </row>
    <row r="13" spans="1:20" x14ac:dyDescent="0.2">
      <c r="A13" s="1" t="s">
        <v>102</v>
      </c>
      <c r="B13" s="2">
        <v>11295.25</v>
      </c>
      <c r="C13" s="78">
        <v>161.5</v>
      </c>
      <c r="D13" s="7">
        <v>293640</v>
      </c>
      <c r="E13" s="7"/>
      <c r="F13" s="7"/>
      <c r="G13" s="7"/>
      <c r="H13" s="7"/>
      <c r="I13" s="7"/>
      <c r="J13" s="7"/>
      <c r="K13" s="7"/>
      <c r="L13" s="7">
        <v>1212393</v>
      </c>
      <c r="M13" s="7"/>
      <c r="N13" s="7"/>
      <c r="O13" s="7"/>
      <c r="P13" s="7"/>
      <c r="Q13" s="7"/>
      <c r="R13" s="7"/>
      <c r="S13" s="60">
        <f t="shared" ref="S13:S20" si="0">SUM((D13+F13+H13+J13+L13+N13+P13+R13)-(E13+G13+I13+K13+M13+O13+Q13))</f>
        <v>1506033</v>
      </c>
      <c r="T13" s="1">
        <f t="shared" ref="T13:T20" si="1">S13-J13</f>
        <v>1506033</v>
      </c>
    </row>
    <row r="14" spans="1:20" s="20" customFormat="1" x14ac:dyDescent="0.2">
      <c r="A14" s="18" t="s">
        <v>291</v>
      </c>
      <c r="B14" s="78">
        <v>-622.70000000000005</v>
      </c>
      <c r="C14" s="78"/>
      <c r="D14" s="245"/>
      <c r="E14" s="245"/>
      <c r="F14" s="245"/>
      <c r="G14" s="245">
        <v>89246</v>
      </c>
      <c r="H14" s="245"/>
      <c r="I14" s="245"/>
      <c r="J14" s="245"/>
      <c r="K14" s="245"/>
      <c r="L14" s="245">
        <v>14881</v>
      </c>
      <c r="M14" s="245">
        <v>8662</v>
      </c>
      <c r="N14" s="245"/>
      <c r="O14" s="245"/>
      <c r="P14" s="245"/>
      <c r="Q14" s="245"/>
      <c r="R14" s="245"/>
      <c r="S14" s="247">
        <f t="shared" si="0"/>
        <v>-83027</v>
      </c>
      <c r="T14" s="18">
        <f t="shared" si="1"/>
        <v>-83027</v>
      </c>
    </row>
    <row r="15" spans="1:20" s="20" customFormat="1" x14ac:dyDescent="0.2">
      <c r="A15" s="18" t="s">
        <v>292</v>
      </c>
      <c r="B15" s="78">
        <v>2279.83</v>
      </c>
      <c r="C15" s="78">
        <v>27.05</v>
      </c>
      <c r="D15" s="245"/>
      <c r="E15" s="245"/>
      <c r="F15" s="245"/>
      <c r="G15" s="245"/>
      <c r="H15" s="245">
        <v>49173</v>
      </c>
      <c r="I15" s="245"/>
      <c r="J15" s="245"/>
      <c r="K15" s="245"/>
      <c r="L15" s="245">
        <v>262307</v>
      </c>
      <c r="M15" s="245">
        <v>7503</v>
      </c>
      <c r="N15" s="245"/>
      <c r="O15" s="245"/>
      <c r="P15" s="245"/>
      <c r="Q15" s="245"/>
      <c r="R15" s="245"/>
      <c r="S15" s="247">
        <f>SUM((D15+F15+H15+J15+L15+N15+P15+R15)-(E15+G15+I15+K15+M15+O15+Q15))</f>
        <v>303977</v>
      </c>
      <c r="T15" s="18">
        <f>S15-J15</f>
        <v>303977</v>
      </c>
    </row>
    <row r="16" spans="1:20" x14ac:dyDescent="0.2">
      <c r="A16" s="1" t="s">
        <v>429</v>
      </c>
      <c r="B16" s="2">
        <v>-1707.29</v>
      </c>
      <c r="C16" s="78"/>
      <c r="D16" s="7"/>
      <c r="E16" s="7"/>
      <c r="F16" s="7"/>
      <c r="G16" s="7"/>
      <c r="H16" s="7"/>
      <c r="I16" s="7"/>
      <c r="J16" s="7"/>
      <c r="K16" s="7"/>
      <c r="L16" s="7"/>
      <c r="M16" s="7">
        <v>227639</v>
      </c>
      <c r="N16" s="7"/>
      <c r="O16" s="7"/>
      <c r="P16" s="7"/>
      <c r="Q16" s="7"/>
      <c r="R16" s="7"/>
      <c r="S16" s="60">
        <f>SUM((D16+F16+H16+J16+L16+N16+P16+R16)-(E16+G16+I16+K16+M16+O16+Q16))</f>
        <v>-227639</v>
      </c>
      <c r="T16" s="1">
        <f>S16-J16</f>
        <v>-227639</v>
      </c>
    </row>
    <row r="17" spans="1:49" x14ac:dyDescent="0.2">
      <c r="A17" s="1" t="s">
        <v>344</v>
      </c>
      <c r="B17" s="2">
        <v>103516.17</v>
      </c>
      <c r="C17" s="78">
        <v>3267.89</v>
      </c>
      <c r="D17" s="7">
        <v>5876735</v>
      </c>
      <c r="E17" s="7">
        <v>0</v>
      </c>
      <c r="F17" s="7"/>
      <c r="G17" s="7"/>
      <c r="H17" s="7"/>
      <c r="I17" s="7"/>
      <c r="J17" s="7">
        <v>64884</v>
      </c>
      <c r="K17" s="7"/>
      <c r="L17" s="7">
        <v>7902925</v>
      </c>
      <c r="M17" s="7">
        <v>52116</v>
      </c>
      <c r="N17" s="7"/>
      <c r="O17" s="7"/>
      <c r="P17" s="7">
        <v>74612</v>
      </c>
      <c r="Q17" s="7"/>
      <c r="R17" s="7"/>
      <c r="S17" s="60">
        <f t="shared" si="0"/>
        <v>13867040</v>
      </c>
      <c r="T17" s="1">
        <f t="shared" si="1"/>
        <v>13802156</v>
      </c>
    </row>
    <row r="18" spans="1:49" x14ac:dyDescent="0.2">
      <c r="A18" s="1" t="s">
        <v>450</v>
      </c>
      <c r="B18" s="2">
        <v>131134.45000000001</v>
      </c>
      <c r="C18" s="78">
        <v>9675.1200000000008</v>
      </c>
      <c r="D18" s="7"/>
      <c r="E18" s="7"/>
      <c r="F18" s="7">
        <v>17591125</v>
      </c>
      <c r="G18" s="7">
        <v>1455882</v>
      </c>
      <c r="H18" s="7"/>
      <c r="I18" s="7"/>
      <c r="J18" s="7"/>
      <c r="K18" s="7"/>
      <c r="L18" s="7">
        <v>1357566</v>
      </c>
      <c r="M18" s="7">
        <v>21404</v>
      </c>
      <c r="N18" s="7"/>
      <c r="O18" s="7"/>
      <c r="P18" s="7">
        <v>13188</v>
      </c>
      <c r="Q18" s="7"/>
      <c r="R18" s="7"/>
      <c r="S18" s="60">
        <f t="shared" si="0"/>
        <v>17484593</v>
      </c>
      <c r="T18" s="1">
        <f t="shared" si="1"/>
        <v>17484593</v>
      </c>
    </row>
    <row r="19" spans="1:49" x14ac:dyDescent="0.2">
      <c r="A19" s="1" t="s">
        <v>451</v>
      </c>
      <c r="B19" s="2">
        <v>1400.69</v>
      </c>
      <c r="C19" s="78">
        <v>60.36</v>
      </c>
      <c r="D19" s="7">
        <v>109739</v>
      </c>
      <c r="E19" s="7"/>
      <c r="F19" s="7"/>
      <c r="G19" s="7"/>
      <c r="H19" s="7"/>
      <c r="I19" s="7"/>
      <c r="J19" s="7"/>
      <c r="K19" s="7"/>
      <c r="L19" s="7">
        <v>77020</v>
      </c>
      <c r="M19" s="7"/>
      <c r="N19" s="7"/>
      <c r="O19" s="7"/>
      <c r="P19" s="7"/>
      <c r="Q19" s="7"/>
      <c r="R19" s="7"/>
      <c r="S19" s="60">
        <f t="shared" si="0"/>
        <v>186759</v>
      </c>
      <c r="T19" s="1">
        <f t="shared" si="1"/>
        <v>186759</v>
      </c>
    </row>
    <row r="20" spans="1:49" x14ac:dyDescent="0.2">
      <c r="A20" s="1" t="s">
        <v>91</v>
      </c>
      <c r="B20" s="2">
        <v>403.22</v>
      </c>
      <c r="C20" s="78">
        <v>24.8</v>
      </c>
      <c r="D20" s="7">
        <v>45093</v>
      </c>
      <c r="E20" s="7">
        <v>0</v>
      </c>
      <c r="F20" s="7"/>
      <c r="G20" s="7"/>
      <c r="H20" s="7"/>
      <c r="I20" s="7"/>
      <c r="J20" s="7"/>
      <c r="K20" s="7"/>
      <c r="L20" s="7">
        <v>8670</v>
      </c>
      <c r="M20" s="7">
        <v>0</v>
      </c>
      <c r="N20" s="7"/>
      <c r="O20" s="7"/>
      <c r="P20" s="7"/>
      <c r="Q20" s="7"/>
      <c r="R20" s="7"/>
      <c r="S20" s="60">
        <f t="shared" si="0"/>
        <v>53763</v>
      </c>
      <c r="T20" s="1">
        <f t="shared" si="1"/>
        <v>53763</v>
      </c>
    </row>
    <row r="21" spans="1:49" x14ac:dyDescent="0.2">
      <c r="A21" s="1" t="s">
        <v>293</v>
      </c>
      <c r="B21" s="2">
        <v>-1022.14</v>
      </c>
      <c r="C21" s="78">
        <v>54</v>
      </c>
      <c r="D21" s="7"/>
      <c r="E21" s="7"/>
      <c r="F21" s="7"/>
      <c r="G21" s="7"/>
      <c r="H21" s="7"/>
      <c r="I21" s="7"/>
      <c r="J21" s="7">
        <v>98181</v>
      </c>
      <c r="K21" s="7"/>
      <c r="L21" s="7"/>
      <c r="M21" s="7">
        <v>136285</v>
      </c>
      <c r="N21" s="7"/>
      <c r="O21" s="7"/>
      <c r="P21" s="7"/>
      <c r="Q21" s="7"/>
      <c r="R21" s="7"/>
      <c r="S21" s="60">
        <f t="shared" ref="S21:S34" si="2">SUM((D21+F21+H21+J21+L21+N21+P21+R21)-(E21+G21+I21+K21+M21+O21+Q21))</f>
        <v>-38104</v>
      </c>
      <c r="T21" s="1">
        <f t="shared" ref="T21:T34" si="3">S21-J21</f>
        <v>-136285</v>
      </c>
    </row>
    <row r="22" spans="1:49" s="20" customFormat="1" x14ac:dyDescent="0.2">
      <c r="A22" s="18" t="s">
        <v>636</v>
      </c>
      <c r="B22" s="78">
        <v>5.95</v>
      </c>
      <c r="C22" s="78">
        <v>0.44</v>
      </c>
      <c r="D22" s="245">
        <v>793</v>
      </c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7">
        <f>SUM((D22+F22+H22+J22+L22+N22+P22+R22)-(E22+G22+I22+K22+M22+O22+Q22))</f>
        <v>793</v>
      </c>
      <c r="T22" s="18">
        <f>S22-J22</f>
        <v>793</v>
      </c>
      <c r="U22" s="78"/>
      <c r="V22" s="18"/>
      <c r="W22" s="18"/>
      <c r="X22" s="245"/>
      <c r="Y22" s="245"/>
      <c r="Z22" s="245"/>
      <c r="AA22" s="245"/>
      <c r="AB22" s="245"/>
      <c r="AC22" s="245"/>
      <c r="AD22" s="245"/>
      <c r="AE22" s="245"/>
      <c r="AF22" s="245"/>
      <c r="AG22" s="245"/>
      <c r="AH22" s="245"/>
      <c r="AI22" s="245"/>
      <c r="AJ22" s="245"/>
      <c r="AK22" s="245"/>
      <c r="AL22" s="245"/>
      <c r="AM22" s="245"/>
      <c r="AN22" s="245"/>
      <c r="AO22" s="245"/>
      <c r="AP22" s="245"/>
      <c r="AQ22" s="245"/>
      <c r="AR22" s="245"/>
      <c r="AS22" s="245"/>
      <c r="AT22" s="18"/>
      <c r="AU22" s="245"/>
      <c r="AV22" s="18"/>
      <c r="AW22" s="18"/>
    </row>
    <row r="23" spans="1:49" s="20" customFormat="1" x14ac:dyDescent="0.2">
      <c r="A23" s="18" t="s">
        <v>720</v>
      </c>
      <c r="B23" s="78"/>
      <c r="C23" s="78">
        <v>3.55</v>
      </c>
      <c r="D23" s="245"/>
      <c r="E23" s="245"/>
      <c r="F23" s="245"/>
      <c r="G23" s="245"/>
      <c r="H23" s="245"/>
      <c r="I23" s="245"/>
      <c r="J23" s="245">
        <v>6461</v>
      </c>
      <c r="K23" s="245"/>
      <c r="L23" s="245"/>
      <c r="M23" s="245"/>
      <c r="N23" s="245"/>
      <c r="O23" s="245"/>
      <c r="P23" s="245"/>
      <c r="Q23" s="245"/>
      <c r="R23" s="245"/>
      <c r="S23" s="247">
        <f>SUM((D23+F23+H23+J23+L23+N23+P23+R23)-(E23+G23+I23+K23+M23+O23+Q23))</f>
        <v>6461</v>
      </c>
      <c r="T23" s="18">
        <f>S23-J23</f>
        <v>0</v>
      </c>
      <c r="U23" s="78"/>
      <c r="V23" s="18"/>
      <c r="W23" s="18"/>
      <c r="X23" s="245"/>
      <c r="Y23" s="245"/>
      <c r="Z23" s="245"/>
      <c r="AA23" s="245"/>
      <c r="AB23" s="245"/>
      <c r="AC23" s="245"/>
      <c r="AD23" s="245"/>
      <c r="AE23" s="245"/>
      <c r="AF23" s="245"/>
      <c r="AG23" s="245"/>
      <c r="AH23" s="245"/>
      <c r="AI23" s="245"/>
      <c r="AJ23" s="245"/>
      <c r="AK23" s="245"/>
      <c r="AL23" s="245"/>
      <c r="AM23" s="245"/>
      <c r="AN23" s="245"/>
      <c r="AO23" s="245"/>
      <c r="AP23" s="245"/>
      <c r="AQ23" s="245"/>
      <c r="AR23" s="245"/>
      <c r="AS23" s="245"/>
      <c r="AT23" s="18"/>
      <c r="AU23" s="245"/>
      <c r="AV23" s="18"/>
      <c r="AW23" s="18"/>
    </row>
    <row r="24" spans="1:49" x14ac:dyDescent="0.2">
      <c r="A24" s="1" t="s">
        <v>564</v>
      </c>
      <c r="B24" s="2">
        <v>437.6</v>
      </c>
      <c r="C24" s="78">
        <v>32.090000000000003</v>
      </c>
      <c r="D24" s="7">
        <v>58347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60">
        <f t="shared" si="2"/>
        <v>58347</v>
      </c>
      <c r="T24" s="1">
        <f t="shared" si="3"/>
        <v>58347</v>
      </c>
    </row>
    <row r="25" spans="1:49" x14ac:dyDescent="0.2">
      <c r="A25" s="1" t="s">
        <v>294</v>
      </c>
      <c r="B25" s="2">
        <v>180962.21</v>
      </c>
      <c r="C25" s="78">
        <v>11455.15</v>
      </c>
      <c r="D25" s="7">
        <v>20652030</v>
      </c>
      <c r="E25" s="7">
        <v>31176</v>
      </c>
      <c r="F25" s="7"/>
      <c r="G25" s="7"/>
      <c r="H25" s="7">
        <v>145440</v>
      </c>
      <c r="I25" s="7"/>
      <c r="J25" s="7">
        <v>30067</v>
      </c>
      <c r="K25" s="7"/>
      <c r="L25" s="7">
        <v>3695886</v>
      </c>
      <c r="M25" s="7">
        <v>340819</v>
      </c>
      <c r="N25" s="7"/>
      <c r="O25" s="7"/>
      <c r="P25" s="7">
        <v>6933</v>
      </c>
      <c r="Q25" s="7"/>
      <c r="R25" s="7"/>
      <c r="S25" s="60">
        <f>SUM((D25+F25+H25+J25+L25+N25+P25+R25)-(E25+G25+I25+K25+M25+O25+Q25))</f>
        <v>24158361</v>
      </c>
      <c r="T25" s="1">
        <f>S25-J25</f>
        <v>24128294</v>
      </c>
    </row>
    <row r="26" spans="1:49" x14ac:dyDescent="0.2">
      <c r="A26" s="18" t="s">
        <v>92</v>
      </c>
      <c r="B26" s="2">
        <v>590.53</v>
      </c>
      <c r="C26" s="78">
        <v>23.25</v>
      </c>
      <c r="D26" s="7">
        <v>42272</v>
      </c>
      <c r="E26" s="7"/>
      <c r="F26" s="7"/>
      <c r="G26" s="7"/>
      <c r="H26" s="7"/>
      <c r="I26" s="7"/>
      <c r="J26" s="7"/>
      <c r="K26" s="7"/>
      <c r="L26" s="7">
        <v>36465</v>
      </c>
      <c r="M26" s="7"/>
      <c r="N26" s="7"/>
      <c r="O26" s="7"/>
      <c r="P26" s="7"/>
      <c r="Q26" s="7"/>
      <c r="R26" s="7"/>
      <c r="S26" s="60">
        <f t="shared" si="2"/>
        <v>78737</v>
      </c>
      <c r="T26" s="1">
        <f t="shared" si="3"/>
        <v>78737</v>
      </c>
    </row>
    <row r="27" spans="1:49" x14ac:dyDescent="0.2">
      <c r="A27" s="18" t="s">
        <v>93</v>
      </c>
      <c r="B27" s="2">
        <v>-2942.02</v>
      </c>
      <c r="C27" s="78"/>
      <c r="D27" s="7"/>
      <c r="E27" s="7">
        <v>364583</v>
      </c>
      <c r="F27" s="7"/>
      <c r="G27" s="7"/>
      <c r="H27" s="7"/>
      <c r="I27" s="7"/>
      <c r="J27" s="7"/>
      <c r="K27" s="7"/>
      <c r="L27" s="7"/>
      <c r="M27" s="7">
        <v>27686</v>
      </c>
      <c r="N27" s="7"/>
      <c r="O27" s="7"/>
      <c r="P27" s="7"/>
      <c r="Q27" s="7"/>
      <c r="R27" s="7"/>
      <c r="S27" s="60">
        <f t="shared" si="2"/>
        <v>-392269</v>
      </c>
      <c r="T27" s="1">
        <f t="shared" si="3"/>
        <v>-392269</v>
      </c>
    </row>
    <row r="28" spans="1:49" x14ac:dyDescent="0.2">
      <c r="A28" s="18" t="s">
        <v>612</v>
      </c>
      <c r="B28" s="2">
        <v>73.09</v>
      </c>
      <c r="C28" s="78">
        <v>8.68</v>
      </c>
      <c r="D28" s="7">
        <v>9745</v>
      </c>
      <c r="E28" s="7"/>
      <c r="F28" s="7"/>
      <c r="G28" s="7"/>
      <c r="H28" s="7"/>
      <c r="I28" s="7"/>
      <c r="J28" s="7">
        <v>6036</v>
      </c>
      <c r="K28" s="7"/>
      <c r="L28" s="7"/>
      <c r="M28" s="7"/>
      <c r="N28" s="7"/>
      <c r="O28" s="7"/>
      <c r="P28" s="7"/>
      <c r="Q28" s="7"/>
      <c r="R28" s="7"/>
      <c r="S28" s="60">
        <f>SUM((D28+F28+H28+J28+L28+N28+P28+R28)-(E28+G28+I28+K28+M28+O28+Q28))</f>
        <v>15781</v>
      </c>
      <c r="T28" s="1">
        <f>S28-J28</f>
        <v>9745</v>
      </c>
    </row>
    <row r="29" spans="1:49" x14ac:dyDescent="0.2">
      <c r="A29" s="1" t="s">
        <v>613</v>
      </c>
      <c r="B29" s="2">
        <v>66545.58</v>
      </c>
      <c r="C29" s="78">
        <v>4280.1899999999996</v>
      </c>
      <c r="D29" s="7">
        <v>7782167</v>
      </c>
      <c r="E29" s="7">
        <v>536574</v>
      </c>
      <c r="F29" s="7"/>
      <c r="G29" s="7"/>
      <c r="H29" s="7"/>
      <c r="I29" s="7"/>
      <c r="J29" s="7"/>
      <c r="K29" s="7"/>
      <c r="L29" s="7">
        <v>4187471</v>
      </c>
      <c r="M29" s="7">
        <v>2560320</v>
      </c>
      <c r="N29" s="7"/>
      <c r="O29" s="7"/>
      <c r="P29" s="7"/>
      <c r="Q29" s="7"/>
      <c r="R29" s="7"/>
      <c r="S29" s="60">
        <f t="shared" si="2"/>
        <v>8872744</v>
      </c>
      <c r="T29" s="1">
        <f t="shared" si="3"/>
        <v>8872744</v>
      </c>
    </row>
    <row r="30" spans="1:49" x14ac:dyDescent="0.2">
      <c r="A30" s="1" t="s">
        <v>295</v>
      </c>
      <c r="B30" s="2">
        <v>1481.69</v>
      </c>
      <c r="C30" s="78">
        <v>81.81</v>
      </c>
      <c r="D30" s="7">
        <v>148743</v>
      </c>
      <c r="E30" s="7"/>
      <c r="F30" s="7"/>
      <c r="G30" s="7"/>
      <c r="H30" s="7"/>
      <c r="I30" s="7"/>
      <c r="J30" s="7"/>
      <c r="K30" s="7"/>
      <c r="L30" s="7">
        <v>48815</v>
      </c>
      <c r="M30" s="7"/>
      <c r="N30" s="7"/>
      <c r="O30" s="7"/>
      <c r="P30" s="7"/>
      <c r="Q30" s="7"/>
      <c r="R30" s="7"/>
      <c r="S30" s="60">
        <f t="shared" si="2"/>
        <v>197558</v>
      </c>
      <c r="T30" s="1">
        <f t="shared" si="3"/>
        <v>197558</v>
      </c>
    </row>
    <row r="31" spans="1:49" s="20" customFormat="1" x14ac:dyDescent="0.2">
      <c r="A31" s="18" t="s">
        <v>741</v>
      </c>
      <c r="B31" s="78">
        <v>-48.29</v>
      </c>
      <c r="C31" s="78"/>
      <c r="D31" s="245"/>
      <c r="E31" s="245"/>
      <c r="F31" s="245"/>
      <c r="G31" s="245"/>
      <c r="H31" s="245"/>
      <c r="I31" s="245"/>
      <c r="J31" s="245"/>
      <c r="K31" s="245"/>
      <c r="L31" s="245"/>
      <c r="M31" s="245">
        <v>6439</v>
      </c>
      <c r="N31" s="245"/>
      <c r="O31" s="245"/>
      <c r="P31" s="245"/>
      <c r="Q31" s="245"/>
      <c r="R31" s="245"/>
      <c r="S31" s="247">
        <f>SUM((D31+F31+H31+J31+L31+N31+P31+R31)-(E31+G31+I31+K31+M31+O31+Q31))</f>
        <v>-6439</v>
      </c>
      <c r="T31" s="18">
        <f>S31-J31</f>
        <v>-6439</v>
      </c>
      <c r="U31" s="78"/>
      <c r="V31" s="18"/>
      <c r="W31" s="18"/>
      <c r="X31" s="245"/>
      <c r="Y31" s="245"/>
      <c r="Z31" s="245"/>
      <c r="AA31" s="245"/>
      <c r="AB31" s="245"/>
      <c r="AC31" s="245"/>
      <c r="AD31" s="245"/>
      <c r="AE31" s="245"/>
      <c r="AF31" s="245"/>
      <c r="AG31" s="245"/>
      <c r="AH31" s="245"/>
      <c r="AI31" s="245"/>
      <c r="AJ31" s="245"/>
      <c r="AK31" s="245"/>
      <c r="AL31" s="245"/>
      <c r="AM31" s="245"/>
      <c r="AN31" s="245"/>
      <c r="AO31" s="245"/>
      <c r="AP31" s="245"/>
      <c r="AQ31" s="245"/>
      <c r="AR31" s="245"/>
      <c r="AS31" s="245"/>
      <c r="AT31" s="18"/>
      <c r="AU31" s="245"/>
      <c r="AV31" s="18"/>
      <c r="AW31" s="18"/>
    </row>
    <row r="32" spans="1:49" x14ac:dyDescent="0.2">
      <c r="A32" s="1" t="s">
        <v>454</v>
      </c>
      <c r="B32" s="2">
        <v>-621.73</v>
      </c>
      <c r="C32" s="78"/>
      <c r="D32" s="7"/>
      <c r="E32" s="7"/>
      <c r="F32" s="7"/>
      <c r="G32" s="7"/>
      <c r="H32" s="7"/>
      <c r="I32" s="7"/>
      <c r="J32" s="7"/>
      <c r="K32" s="7"/>
      <c r="L32" s="7">
        <v>30733</v>
      </c>
      <c r="M32" s="7">
        <v>113630</v>
      </c>
      <c r="N32" s="7"/>
      <c r="O32" s="7"/>
      <c r="P32" s="7"/>
      <c r="Q32" s="7"/>
      <c r="R32" s="7"/>
      <c r="S32" s="60">
        <f>SUM((D32+F32+H32+J32+L32+N32+P32+R32)-(E32+G32+I32+K32+M32+O32+Q32))</f>
        <v>-82897</v>
      </c>
      <c r="T32" s="1">
        <f>S32-J32</f>
        <v>-82897</v>
      </c>
    </row>
    <row r="33" spans="1:49" s="20" customFormat="1" x14ac:dyDescent="0.2">
      <c r="A33" s="18" t="s">
        <v>742</v>
      </c>
      <c r="B33" s="78">
        <v>-203.62</v>
      </c>
      <c r="C33" s="78"/>
      <c r="D33" s="245"/>
      <c r="E33" s="245"/>
      <c r="F33" s="245"/>
      <c r="G33" s="245"/>
      <c r="H33" s="245"/>
      <c r="I33" s="245"/>
      <c r="J33" s="245"/>
      <c r="K33" s="245"/>
      <c r="L33" s="245"/>
      <c r="M33" s="245">
        <v>27149</v>
      </c>
      <c r="N33" s="245"/>
      <c r="O33" s="245"/>
      <c r="P33" s="245"/>
      <c r="Q33" s="245"/>
      <c r="R33" s="245"/>
      <c r="S33" s="247">
        <f>SUM((D33+F33+H33+J33+L33+N33+P33+R33)-(E33+G33+I33+K33+M33+O33+Q33))</f>
        <v>-27149</v>
      </c>
      <c r="T33" s="18">
        <f>S33-J33</f>
        <v>-27149</v>
      </c>
      <c r="U33" s="78"/>
      <c r="V33" s="18"/>
      <c r="W33" s="18"/>
      <c r="X33" s="245"/>
      <c r="Y33" s="245"/>
      <c r="Z33" s="245"/>
      <c r="AA33" s="245"/>
      <c r="AB33" s="245"/>
      <c r="AC33" s="245"/>
      <c r="AD33" s="245"/>
      <c r="AE33" s="245"/>
      <c r="AF33" s="245"/>
      <c r="AG33" s="245"/>
      <c r="AH33" s="245"/>
      <c r="AI33" s="245"/>
      <c r="AJ33" s="245"/>
      <c r="AK33" s="245"/>
      <c r="AL33" s="245"/>
      <c r="AM33" s="245"/>
      <c r="AN33" s="245"/>
      <c r="AO33" s="245"/>
      <c r="AP33" s="245"/>
      <c r="AQ33" s="245"/>
      <c r="AR33" s="245"/>
      <c r="AS33" s="245"/>
      <c r="AT33" s="18"/>
      <c r="AU33" s="245"/>
      <c r="AV33" s="18"/>
      <c r="AW33" s="18"/>
    </row>
    <row r="34" spans="1:49" x14ac:dyDescent="0.2">
      <c r="A34" s="1" t="s">
        <v>452</v>
      </c>
      <c r="B34" s="2">
        <v>-5734.05</v>
      </c>
      <c r="C34" s="78">
        <v>180.3</v>
      </c>
      <c r="D34" s="7">
        <v>327822</v>
      </c>
      <c r="E34" s="7">
        <v>112729</v>
      </c>
      <c r="F34" s="7"/>
      <c r="G34" s="7"/>
      <c r="H34" s="7"/>
      <c r="I34" s="7"/>
      <c r="J34" s="7"/>
      <c r="K34" s="7"/>
      <c r="L34" s="7">
        <v>77146</v>
      </c>
      <c r="M34" s="7">
        <v>1056779</v>
      </c>
      <c r="N34" s="7"/>
      <c r="O34" s="7"/>
      <c r="P34" s="7"/>
      <c r="Q34" s="7"/>
      <c r="R34" s="7"/>
      <c r="S34" s="60">
        <f t="shared" si="2"/>
        <v>-764540</v>
      </c>
      <c r="T34" s="1">
        <f t="shared" si="3"/>
        <v>-764540</v>
      </c>
    </row>
    <row r="35" spans="1:49" x14ac:dyDescent="0.2">
      <c r="A35" s="1" t="s">
        <v>465</v>
      </c>
      <c r="B35" s="2">
        <v>-1988</v>
      </c>
      <c r="C35" s="78">
        <v>0.78</v>
      </c>
      <c r="D35" s="7">
        <v>1426</v>
      </c>
      <c r="E35" s="7">
        <v>153279</v>
      </c>
      <c r="F35" s="7"/>
      <c r="G35" s="7"/>
      <c r="H35" s="7"/>
      <c r="I35" s="7"/>
      <c r="J35" s="7"/>
      <c r="K35" s="7"/>
      <c r="L35" s="7">
        <v>2622</v>
      </c>
      <c r="M35" s="7">
        <v>115835</v>
      </c>
      <c r="N35" s="7"/>
      <c r="O35" s="7"/>
      <c r="P35" s="7"/>
      <c r="Q35" s="7"/>
      <c r="R35" s="7"/>
      <c r="S35" s="60">
        <f t="shared" ref="S35:S40" si="4">SUM((D35+F35+H35+J35+L35+N35+P35+R35)-(E35+G35+I35+K35+M35+O35+Q35))</f>
        <v>-265066</v>
      </c>
      <c r="T35" s="1">
        <f t="shared" ref="T35:T40" si="5">S35-J35</f>
        <v>-265066</v>
      </c>
    </row>
    <row r="36" spans="1:49" x14ac:dyDescent="0.2">
      <c r="A36" s="1" t="s">
        <v>703</v>
      </c>
      <c r="B36" s="2">
        <v>296.37</v>
      </c>
      <c r="C36" s="78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>
        <v>39516</v>
      </c>
      <c r="S36" s="60">
        <f t="shared" si="4"/>
        <v>39516</v>
      </c>
      <c r="T36" s="1">
        <f t="shared" si="5"/>
        <v>39516</v>
      </c>
      <c r="U36" s="1"/>
      <c r="V36" s="1"/>
    </row>
    <row r="37" spans="1:49" x14ac:dyDescent="0.2">
      <c r="A37" s="1" t="s">
        <v>589</v>
      </c>
      <c r="B37" s="2">
        <v>612.28</v>
      </c>
      <c r="C37" s="78">
        <v>4.8499999999999996</v>
      </c>
      <c r="D37" s="7"/>
      <c r="E37" s="7"/>
      <c r="F37" s="7"/>
      <c r="G37" s="7"/>
      <c r="H37" s="7">
        <v>8811</v>
      </c>
      <c r="I37" s="7"/>
      <c r="J37" s="7"/>
      <c r="K37" s="7"/>
      <c r="L37" s="7">
        <v>72827</v>
      </c>
      <c r="M37" s="7"/>
      <c r="N37" s="7"/>
      <c r="O37" s="7"/>
      <c r="P37" s="7"/>
      <c r="Q37" s="7"/>
      <c r="R37" s="7"/>
      <c r="S37" s="60">
        <f t="shared" si="4"/>
        <v>81638</v>
      </c>
      <c r="T37" s="1">
        <f t="shared" si="5"/>
        <v>81638</v>
      </c>
      <c r="U37" s="1"/>
      <c r="V37" s="1"/>
    </row>
    <row r="38" spans="1:49" s="20" customFormat="1" x14ac:dyDescent="0.2">
      <c r="A38" s="18" t="s">
        <v>737</v>
      </c>
      <c r="B38" s="78">
        <v>0.01</v>
      </c>
      <c r="C38" s="78"/>
      <c r="D38" s="245"/>
      <c r="E38" s="245"/>
      <c r="F38" s="245"/>
      <c r="G38" s="245"/>
      <c r="H38" s="245"/>
      <c r="I38" s="245"/>
      <c r="J38" s="245"/>
      <c r="K38" s="245"/>
      <c r="L38" s="245"/>
      <c r="M38" s="245"/>
      <c r="N38" s="245"/>
      <c r="O38" s="245"/>
      <c r="P38" s="245"/>
      <c r="Q38" s="245"/>
      <c r="R38" s="245"/>
      <c r="S38" s="247">
        <f t="shared" si="4"/>
        <v>0</v>
      </c>
      <c r="T38" s="18">
        <f t="shared" si="5"/>
        <v>0</v>
      </c>
      <c r="U38" s="78"/>
      <c r="V38" s="18"/>
      <c r="W38" s="18"/>
      <c r="X38" s="245"/>
      <c r="Y38" s="245"/>
      <c r="Z38" s="245"/>
      <c r="AA38" s="245"/>
      <c r="AB38" s="245"/>
      <c r="AC38" s="245"/>
      <c r="AD38" s="245"/>
      <c r="AE38" s="245"/>
      <c r="AF38" s="245"/>
      <c r="AG38" s="245"/>
      <c r="AH38" s="245"/>
      <c r="AI38" s="245"/>
      <c r="AJ38" s="245"/>
      <c r="AK38" s="245"/>
      <c r="AL38" s="245"/>
      <c r="AM38" s="245"/>
      <c r="AN38" s="245"/>
      <c r="AO38" s="245"/>
      <c r="AP38" s="245"/>
      <c r="AQ38" s="245"/>
      <c r="AR38" s="245"/>
      <c r="AS38" s="245"/>
      <c r="AT38" s="18"/>
      <c r="AU38" s="245"/>
      <c r="AV38" s="18"/>
      <c r="AW38" s="18"/>
    </row>
    <row r="39" spans="1:49" x14ac:dyDescent="0.2">
      <c r="A39" s="1" t="s">
        <v>345</v>
      </c>
      <c r="B39" s="2">
        <v>102475.7</v>
      </c>
      <c r="C39" s="78">
        <v>5350.56</v>
      </c>
      <c r="D39" s="7">
        <v>9728292</v>
      </c>
      <c r="E39" s="7"/>
      <c r="F39" s="7"/>
      <c r="G39" s="7"/>
      <c r="H39" s="7"/>
      <c r="I39" s="7"/>
      <c r="J39" s="7"/>
      <c r="K39" s="7"/>
      <c r="L39" s="7">
        <v>3935135</v>
      </c>
      <c r="M39" s="7"/>
      <c r="N39" s="7"/>
      <c r="O39" s="7"/>
      <c r="P39" s="7"/>
      <c r="Q39" s="7"/>
      <c r="R39" s="7"/>
      <c r="S39" s="247">
        <f t="shared" si="4"/>
        <v>13663427</v>
      </c>
      <c r="T39" s="18">
        <f t="shared" si="5"/>
        <v>13663427</v>
      </c>
    </row>
    <row r="40" spans="1:49" x14ac:dyDescent="0.2">
      <c r="A40" s="1" t="s">
        <v>466</v>
      </c>
      <c r="B40" s="2">
        <v>67405.7</v>
      </c>
      <c r="C40" s="78">
        <v>3829.06</v>
      </c>
      <c r="D40" s="7">
        <v>6961920</v>
      </c>
      <c r="E40" s="7">
        <v>526366</v>
      </c>
      <c r="F40" s="7"/>
      <c r="G40" s="7"/>
      <c r="H40" s="7"/>
      <c r="I40" s="7"/>
      <c r="J40" s="7"/>
      <c r="K40" s="7"/>
      <c r="L40" s="7">
        <v>3124590</v>
      </c>
      <c r="M40" s="7">
        <v>572717</v>
      </c>
      <c r="N40" s="7"/>
      <c r="O40" s="7"/>
      <c r="P40" s="7"/>
      <c r="Q40" s="7"/>
      <c r="R40" s="7"/>
      <c r="S40" s="60">
        <f t="shared" si="4"/>
        <v>8987427</v>
      </c>
      <c r="T40" s="1">
        <f t="shared" si="5"/>
        <v>8987427</v>
      </c>
    </row>
    <row r="41" spans="1:49" s="20" customFormat="1" x14ac:dyDescent="0.2">
      <c r="A41" s="18" t="s">
        <v>504</v>
      </c>
      <c r="B41" s="78">
        <v>1276.55</v>
      </c>
      <c r="C41" s="78">
        <v>0</v>
      </c>
      <c r="D41" s="245"/>
      <c r="E41" s="245"/>
      <c r="F41" s="245"/>
      <c r="G41" s="245"/>
      <c r="H41" s="245"/>
      <c r="I41" s="245"/>
      <c r="J41" s="245"/>
      <c r="K41" s="245"/>
      <c r="L41" s="245">
        <v>170207</v>
      </c>
      <c r="M41" s="245"/>
      <c r="N41" s="245"/>
      <c r="O41" s="245"/>
      <c r="P41" s="245"/>
      <c r="Q41" s="245"/>
      <c r="R41" s="245"/>
      <c r="S41" s="247">
        <f t="shared" ref="S41:S54" si="6">SUM((D41+F41+H41+J41+L41+N41+P41+R41)-(E41+G41+I41+K41+M41+O41+Q41))</f>
        <v>170207</v>
      </c>
      <c r="T41" s="18">
        <f t="shared" ref="T41:T54" si="7">S41-J41</f>
        <v>170207</v>
      </c>
    </row>
    <row r="42" spans="1:49" x14ac:dyDescent="0.2">
      <c r="A42" s="1" t="s">
        <v>94</v>
      </c>
      <c r="B42" s="2">
        <v>19289.68</v>
      </c>
      <c r="C42" s="78">
        <v>821.98</v>
      </c>
      <c r="D42" s="7">
        <v>1494503</v>
      </c>
      <c r="E42" s="7">
        <v>91647</v>
      </c>
      <c r="F42" s="7"/>
      <c r="G42" s="7"/>
      <c r="H42" s="7"/>
      <c r="I42" s="7"/>
      <c r="J42" s="7"/>
      <c r="K42" s="7"/>
      <c r="L42" s="7">
        <v>5043848</v>
      </c>
      <c r="M42" s="7">
        <v>3874747</v>
      </c>
      <c r="N42" s="7"/>
      <c r="O42" s="7"/>
      <c r="P42" s="7"/>
      <c r="Q42" s="7"/>
      <c r="R42" s="7"/>
      <c r="S42" s="60">
        <f t="shared" si="6"/>
        <v>2571957</v>
      </c>
      <c r="T42" s="1">
        <f t="shared" si="7"/>
        <v>2571957</v>
      </c>
      <c r="U42" s="1"/>
      <c r="V42" s="1"/>
    </row>
    <row r="43" spans="1:49" x14ac:dyDescent="0.2">
      <c r="A43" s="1" t="s">
        <v>355</v>
      </c>
      <c r="B43" s="2">
        <v>10500.77</v>
      </c>
      <c r="C43" s="78">
        <v>96.41</v>
      </c>
      <c r="D43" s="7">
        <v>175297</v>
      </c>
      <c r="E43" s="7"/>
      <c r="F43" s="7"/>
      <c r="G43" s="7"/>
      <c r="H43" s="7"/>
      <c r="I43" s="7"/>
      <c r="J43" s="7"/>
      <c r="K43" s="7"/>
      <c r="L43" s="7">
        <v>1223402</v>
      </c>
      <c r="M43" s="7">
        <v>11065</v>
      </c>
      <c r="N43" s="7"/>
      <c r="O43" s="7"/>
      <c r="P43" s="7">
        <v>12468</v>
      </c>
      <c r="Q43" s="7"/>
      <c r="R43" s="7"/>
      <c r="S43" s="60">
        <f t="shared" si="6"/>
        <v>1400102</v>
      </c>
      <c r="T43" s="1">
        <f t="shared" si="7"/>
        <v>1400102</v>
      </c>
      <c r="U43" s="1"/>
      <c r="V43" s="1"/>
    </row>
    <row r="44" spans="1:49" x14ac:dyDescent="0.2">
      <c r="A44" s="1" t="s">
        <v>364</v>
      </c>
      <c r="B44" s="2">
        <v>-3168.09</v>
      </c>
      <c r="C44" s="78"/>
      <c r="D44" s="7"/>
      <c r="E44" s="7">
        <v>32501</v>
      </c>
      <c r="F44" s="7"/>
      <c r="G44" s="7"/>
      <c r="H44" s="7"/>
      <c r="I44" s="7"/>
      <c r="J44" s="7"/>
      <c r="K44" s="7"/>
      <c r="L44" s="7"/>
      <c r="M44" s="7">
        <v>389911</v>
      </c>
      <c r="N44" s="7"/>
      <c r="O44" s="7"/>
      <c r="P44" s="7"/>
      <c r="Q44" s="7"/>
      <c r="R44" s="7"/>
      <c r="S44" s="60">
        <f t="shared" si="6"/>
        <v>-422412</v>
      </c>
      <c r="T44" s="1">
        <f t="shared" si="7"/>
        <v>-422412</v>
      </c>
      <c r="U44" s="1"/>
      <c r="V44" s="1"/>
    </row>
    <row r="45" spans="1:49" x14ac:dyDescent="0.2">
      <c r="A45" s="1" t="s">
        <v>432</v>
      </c>
      <c r="B45" s="2">
        <v>223.52</v>
      </c>
      <c r="C45" s="78">
        <v>12.65</v>
      </c>
      <c r="D45" s="7">
        <v>23002</v>
      </c>
      <c r="E45" s="7"/>
      <c r="F45" s="7"/>
      <c r="G45" s="7"/>
      <c r="H45" s="7"/>
      <c r="I45" s="7"/>
      <c r="J45" s="7"/>
      <c r="K45" s="7"/>
      <c r="L45" s="7">
        <v>6800</v>
      </c>
      <c r="M45" s="7"/>
      <c r="N45" s="7"/>
      <c r="O45" s="7"/>
      <c r="P45" s="7"/>
      <c r="Q45" s="7"/>
      <c r="R45" s="7"/>
      <c r="S45" s="60">
        <f t="shared" si="6"/>
        <v>29802</v>
      </c>
      <c r="T45" s="1">
        <f t="shared" si="7"/>
        <v>29802</v>
      </c>
      <c r="U45" s="1"/>
      <c r="V45" s="1"/>
    </row>
    <row r="46" spans="1:49" s="20" customFormat="1" x14ac:dyDescent="0.2">
      <c r="A46" s="18" t="s">
        <v>743</v>
      </c>
      <c r="B46" s="78">
        <v>-343.39</v>
      </c>
      <c r="C46" s="78"/>
      <c r="D46" s="245"/>
      <c r="E46" s="245"/>
      <c r="F46" s="245"/>
      <c r="G46" s="245"/>
      <c r="H46" s="245"/>
      <c r="I46" s="245"/>
      <c r="J46" s="245"/>
      <c r="K46" s="245"/>
      <c r="L46" s="245"/>
      <c r="M46" s="245">
        <v>45785</v>
      </c>
      <c r="N46" s="245"/>
      <c r="O46" s="245"/>
      <c r="P46" s="245"/>
      <c r="Q46" s="245"/>
      <c r="R46" s="245"/>
      <c r="S46" s="247">
        <f>SUM((D46+F46+H46+J46+L46+N46+P46+R46)-(E46+G46+I46+K46+M46+O46+Q46))</f>
        <v>-45785</v>
      </c>
      <c r="T46" s="18">
        <f>S46-J46</f>
        <v>-45785</v>
      </c>
      <c r="U46" s="78"/>
      <c r="V46" s="18"/>
      <c r="W46" s="18"/>
      <c r="X46" s="245"/>
      <c r="Y46" s="245"/>
      <c r="Z46" s="245"/>
      <c r="AA46" s="245"/>
      <c r="AB46" s="245"/>
      <c r="AC46" s="245"/>
      <c r="AD46" s="245"/>
      <c r="AE46" s="245"/>
      <c r="AF46" s="245"/>
      <c r="AG46" s="245"/>
      <c r="AH46" s="245"/>
      <c r="AI46" s="245"/>
      <c r="AJ46" s="245"/>
      <c r="AK46" s="245"/>
      <c r="AL46" s="245"/>
      <c r="AM46" s="245"/>
      <c r="AN46" s="245"/>
      <c r="AO46" s="245"/>
      <c r="AP46" s="245"/>
      <c r="AQ46" s="245"/>
      <c r="AR46" s="245"/>
      <c r="AS46" s="245"/>
      <c r="AT46" s="18"/>
      <c r="AU46" s="245"/>
      <c r="AV46" s="18"/>
      <c r="AW46" s="18"/>
    </row>
    <row r="47" spans="1:49" x14ac:dyDescent="0.2">
      <c r="A47" s="1" t="s">
        <v>47</v>
      </c>
      <c r="B47" s="2">
        <v>804.4</v>
      </c>
      <c r="C47" s="78">
        <v>42.71</v>
      </c>
      <c r="D47" s="7">
        <v>77662</v>
      </c>
      <c r="E47" s="7"/>
      <c r="F47" s="7"/>
      <c r="G47" s="7"/>
      <c r="H47" s="7"/>
      <c r="I47" s="7"/>
      <c r="J47" s="7"/>
      <c r="K47" s="7"/>
      <c r="L47" s="7">
        <v>29591</v>
      </c>
      <c r="M47" s="7"/>
      <c r="N47" s="7"/>
      <c r="O47" s="7"/>
      <c r="P47" s="7"/>
      <c r="Q47" s="7"/>
      <c r="R47" s="7"/>
      <c r="S47" s="60">
        <f t="shared" si="6"/>
        <v>107253</v>
      </c>
      <c r="T47" s="1">
        <f t="shared" si="7"/>
        <v>107253</v>
      </c>
      <c r="U47" s="1"/>
      <c r="V47" s="1"/>
    </row>
    <row r="48" spans="1:49" s="20" customFormat="1" x14ac:dyDescent="0.2">
      <c r="A48" s="18" t="s">
        <v>95</v>
      </c>
      <c r="B48" s="78">
        <v>49.1</v>
      </c>
      <c r="C48" s="78">
        <v>3.6</v>
      </c>
      <c r="D48" s="245">
        <v>6547</v>
      </c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5"/>
      <c r="P48" s="245"/>
      <c r="Q48" s="245"/>
      <c r="R48" s="245"/>
      <c r="S48" s="247">
        <f t="shared" si="6"/>
        <v>6547</v>
      </c>
      <c r="T48" s="18">
        <f t="shared" si="7"/>
        <v>6547</v>
      </c>
      <c r="U48" s="18"/>
      <c r="V48" s="18"/>
    </row>
    <row r="49" spans="1:22" x14ac:dyDescent="0.2">
      <c r="A49" s="1" t="s">
        <v>96</v>
      </c>
      <c r="B49" s="2">
        <v>-8424.4699999999993</v>
      </c>
      <c r="C49" s="78"/>
      <c r="D49" s="7"/>
      <c r="E49" s="7">
        <v>1053030</v>
      </c>
      <c r="F49" s="7"/>
      <c r="G49" s="7"/>
      <c r="H49" s="7"/>
      <c r="I49" s="7"/>
      <c r="J49" s="7"/>
      <c r="K49" s="7"/>
      <c r="L49" s="7"/>
      <c r="M49" s="7">
        <v>70233</v>
      </c>
      <c r="N49" s="7"/>
      <c r="O49" s="7"/>
      <c r="P49" s="7"/>
      <c r="Q49" s="7"/>
      <c r="R49" s="7"/>
      <c r="S49" s="60">
        <f t="shared" si="6"/>
        <v>-1123263</v>
      </c>
      <c r="T49" s="1">
        <f t="shared" si="7"/>
        <v>-1123263</v>
      </c>
      <c r="U49" s="1"/>
      <c r="V49" s="1"/>
    </row>
    <row r="50" spans="1:22" s="20" customFormat="1" x14ac:dyDescent="0.2">
      <c r="A50" s="18" t="s">
        <v>356</v>
      </c>
      <c r="B50" s="78">
        <v>-3106.48</v>
      </c>
      <c r="C50" s="78">
        <v>32.700000000000003</v>
      </c>
      <c r="D50" s="245">
        <v>59454</v>
      </c>
      <c r="E50" s="245">
        <v>65696</v>
      </c>
      <c r="F50" s="245"/>
      <c r="G50" s="245"/>
      <c r="H50" s="245"/>
      <c r="I50" s="245"/>
      <c r="J50" s="245"/>
      <c r="K50" s="245"/>
      <c r="L50" s="245">
        <v>7948</v>
      </c>
      <c r="M50" s="245">
        <v>415903</v>
      </c>
      <c r="N50" s="245"/>
      <c r="O50" s="245"/>
      <c r="P50" s="245"/>
      <c r="Q50" s="245"/>
      <c r="R50" s="245"/>
      <c r="S50" s="247">
        <f t="shared" si="6"/>
        <v>-414197</v>
      </c>
      <c r="T50" s="18">
        <f t="shared" si="7"/>
        <v>-414197</v>
      </c>
      <c r="U50" s="18"/>
      <c r="V50" s="18"/>
    </row>
    <row r="51" spans="1:22" s="20" customFormat="1" x14ac:dyDescent="0.2">
      <c r="A51" s="18" t="s">
        <v>296</v>
      </c>
      <c r="B51" s="78">
        <v>-56.18</v>
      </c>
      <c r="C51" s="78">
        <v>12.94</v>
      </c>
      <c r="D51" s="245"/>
      <c r="E51" s="245"/>
      <c r="F51" s="245"/>
      <c r="G51" s="245"/>
      <c r="H51" s="245"/>
      <c r="I51" s="245"/>
      <c r="J51" s="245">
        <v>23535</v>
      </c>
      <c r="K51" s="245"/>
      <c r="L51" s="245"/>
      <c r="M51" s="245">
        <v>7490</v>
      </c>
      <c r="N51" s="245"/>
      <c r="O51" s="245"/>
      <c r="P51" s="245"/>
      <c r="Q51" s="245"/>
      <c r="R51" s="18"/>
      <c r="S51" s="247">
        <f t="shared" si="6"/>
        <v>16045</v>
      </c>
      <c r="T51" s="18">
        <f t="shared" si="7"/>
        <v>-7490</v>
      </c>
      <c r="U51" s="245"/>
      <c r="V51" s="245"/>
    </row>
    <row r="52" spans="1:22" s="20" customFormat="1" x14ac:dyDescent="0.2">
      <c r="A52" s="18" t="s">
        <v>704</v>
      </c>
      <c r="B52" s="78"/>
      <c r="C52" s="78">
        <v>14.89</v>
      </c>
      <c r="D52" s="245"/>
      <c r="E52" s="245"/>
      <c r="F52" s="245"/>
      <c r="G52" s="245"/>
      <c r="H52" s="245"/>
      <c r="I52" s="245"/>
      <c r="J52" s="245">
        <v>27223</v>
      </c>
      <c r="K52" s="245"/>
      <c r="L52" s="245"/>
      <c r="M52" s="245"/>
      <c r="N52" s="245"/>
      <c r="O52" s="245"/>
      <c r="P52" s="245"/>
      <c r="Q52" s="245"/>
      <c r="R52" s="18"/>
      <c r="S52" s="247">
        <f>SUM((D52+F52+H52+J52+L52+N52+P52+R52)-(E52+G52+I52+K52+M52+O52+Q52))</f>
        <v>27223</v>
      </c>
      <c r="T52" s="18">
        <f>S52-J52</f>
        <v>0</v>
      </c>
      <c r="U52" s="245"/>
      <c r="V52" s="245"/>
    </row>
    <row r="53" spans="1:22" s="20" customFormat="1" x14ac:dyDescent="0.2">
      <c r="A53" s="1" t="s">
        <v>705</v>
      </c>
      <c r="B53" s="78">
        <v>884.93</v>
      </c>
      <c r="C53" s="78">
        <v>271.61</v>
      </c>
      <c r="D53" s="245">
        <v>493838</v>
      </c>
      <c r="E53" s="245">
        <v>409497</v>
      </c>
      <c r="F53" s="245"/>
      <c r="G53" s="245"/>
      <c r="H53" s="245"/>
      <c r="I53" s="245"/>
      <c r="J53" s="245"/>
      <c r="K53" s="245"/>
      <c r="L53" s="245">
        <v>60345</v>
      </c>
      <c r="M53" s="245">
        <v>26695</v>
      </c>
      <c r="N53" s="245"/>
      <c r="O53" s="245"/>
      <c r="P53" s="245"/>
      <c r="Q53" s="245"/>
      <c r="R53" s="18"/>
      <c r="S53" s="247">
        <f t="shared" si="6"/>
        <v>117991</v>
      </c>
      <c r="T53" s="18">
        <f t="shared" si="7"/>
        <v>117991</v>
      </c>
      <c r="U53" s="245"/>
      <c r="V53" s="245"/>
    </row>
    <row r="54" spans="1:22" x14ac:dyDescent="0.2">
      <c r="A54" s="1" t="s">
        <v>297</v>
      </c>
      <c r="B54" s="2">
        <v>241.38</v>
      </c>
      <c r="C54" s="78">
        <v>282.10000000000002</v>
      </c>
      <c r="D54" s="7">
        <v>512904</v>
      </c>
      <c r="E54" s="7">
        <v>446772</v>
      </c>
      <c r="F54" s="7"/>
      <c r="G54" s="7"/>
      <c r="H54" s="7"/>
      <c r="I54" s="7"/>
      <c r="J54" s="7"/>
      <c r="K54" s="7"/>
      <c r="L54" s="7"/>
      <c r="M54" s="7">
        <v>33948</v>
      </c>
      <c r="N54" s="7"/>
      <c r="O54" s="7"/>
      <c r="P54" s="7"/>
      <c r="Q54" s="7"/>
      <c r="R54" s="1"/>
      <c r="S54" s="60">
        <f t="shared" si="6"/>
        <v>32184</v>
      </c>
      <c r="T54" s="1">
        <f t="shared" si="7"/>
        <v>32184</v>
      </c>
      <c r="U54" s="7"/>
      <c r="V54" s="7"/>
    </row>
    <row r="55" spans="1:22" s="20" customFormat="1" x14ac:dyDescent="0.2">
      <c r="A55" s="18" t="s">
        <v>298</v>
      </c>
      <c r="B55" s="78">
        <v>-4701.91</v>
      </c>
      <c r="C55" s="78">
        <v>26.6</v>
      </c>
      <c r="D55" s="245">
        <v>48367</v>
      </c>
      <c r="E55" s="245">
        <v>34661</v>
      </c>
      <c r="F55" s="245"/>
      <c r="G55" s="245"/>
      <c r="H55" s="245"/>
      <c r="I55" s="245"/>
      <c r="J55" s="245"/>
      <c r="K55" s="245"/>
      <c r="L55" s="245">
        <v>16263</v>
      </c>
      <c r="M55" s="245">
        <v>656890</v>
      </c>
      <c r="N55" s="245"/>
      <c r="O55" s="245"/>
      <c r="P55" s="245"/>
      <c r="Q55" s="245"/>
      <c r="R55" s="245"/>
      <c r="S55" s="247">
        <f t="shared" ref="S55:S79" si="8">SUM((D55+F55+H55+J55+L55+N55+P55+R55)-(E55+G55+I55+K55+M55+O55+Q55))</f>
        <v>-626921</v>
      </c>
      <c r="T55" s="18">
        <f t="shared" ref="T55:T74" si="9">S55-J55</f>
        <v>-626921</v>
      </c>
      <c r="U55" s="18"/>
      <c r="V55" s="18"/>
    </row>
    <row r="56" spans="1:22" s="20" customFormat="1" x14ac:dyDescent="0.2">
      <c r="A56" s="18" t="s">
        <v>475</v>
      </c>
      <c r="B56" s="78">
        <v>-5412.77</v>
      </c>
      <c r="C56" s="78">
        <v>4.12</v>
      </c>
      <c r="D56" s="245">
        <v>7497</v>
      </c>
      <c r="E56" s="245"/>
      <c r="F56" s="245"/>
      <c r="G56" s="245"/>
      <c r="H56" s="245"/>
      <c r="I56" s="245"/>
      <c r="J56" s="245"/>
      <c r="K56" s="245"/>
      <c r="L56" s="245">
        <v>3675</v>
      </c>
      <c r="M56" s="245">
        <v>732874</v>
      </c>
      <c r="N56" s="245"/>
      <c r="O56" s="245"/>
      <c r="P56" s="245"/>
      <c r="Q56" s="245"/>
      <c r="R56" s="245"/>
      <c r="S56" s="247">
        <f t="shared" si="8"/>
        <v>-721702</v>
      </c>
      <c r="T56" s="18">
        <f t="shared" si="9"/>
        <v>-721702</v>
      </c>
      <c r="U56" s="18"/>
      <c r="V56" s="18"/>
    </row>
    <row r="57" spans="1:22" x14ac:dyDescent="0.2">
      <c r="A57" s="1" t="s">
        <v>53</v>
      </c>
      <c r="B57" s="2">
        <v>-1059.26</v>
      </c>
      <c r="C57" s="78">
        <v>318.54000000000002</v>
      </c>
      <c r="D57" s="7">
        <v>579170</v>
      </c>
      <c r="E57" s="7">
        <v>755765</v>
      </c>
      <c r="F57" s="7"/>
      <c r="G57" s="7"/>
      <c r="H57" s="7"/>
      <c r="I57" s="7"/>
      <c r="J57" s="7"/>
      <c r="K57" s="7"/>
      <c r="L57" s="7">
        <v>35360</v>
      </c>
      <c r="M57" s="7"/>
      <c r="N57" s="7"/>
      <c r="O57" s="7"/>
      <c r="P57" s="7"/>
      <c r="Q57" s="7"/>
      <c r="R57" s="7"/>
      <c r="S57" s="60">
        <f t="shared" si="8"/>
        <v>-141235</v>
      </c>
      <c r="T57" s="1">
        <f t="shared" si="9"/>
        <v>-141235</v>
      </c>
      <c r="U57" s="1"/>
      <c r="V57" s="1"/>
    </row>
    <row r="58" spans="1:22" x14ac:dyDescent="0.2">
      <c r="A58" s="1" t="s">
        <v>707</v>
      </c>
      <c r="B58" s="2">
        <v>59.66</v>
      </c>
      <c r="C58" s="78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>
        <v>7954</v>
      </c>
      <c r="S58" s="60">
        <f>SUM((D58+F58+H58+J58+L58+N58+P58+R58)-(E58+G58+I58+K58+M58+O58+Q58))</f>
        <v>7954</v>
      </c>
      <c r="T58" s="1">
        <f>S58-J58</f>
        <v>7954</v>
      </c>
      <c r="U58" s="1"/>
      <c r="V58" s="1"/>
    </row>
    <row r="59" spans="1:22" ht="13.5" customHeight="1" x14ac:dyDescent="0.2">
      <c r="A59" s="1" t="s">
        <v>706</v>
      </c>
      <c r="B59" s="2">
        <v>56.57</v>
      </c>
      <c r="C59" s="78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>
        <v>7542</v>
      </c>
      <c r="S59" s="60">
        <f>SUM((D59+F59+H59+J59+L59+N59+P59+R59)-(E59+G59+I59+K59+M59+O59+Q59))</f>
        <v>7542</v>
      </c>
      <c r="T59" s="1">
        <f>S59-J59</f>
        <v>7542</v>
      </c>
      <c r="U59" s="1"/>
      <c r="V59" s="1"/>
    </row>
    <row r="60" spans="1:22" ht="13.5" customHeight="1" x14ac:dyDescent="0.2">
      <c r="A60" s="1" t="s">
        <v>708</v>
      </c>
      <c r="B60" s="2">
        <v>2247.5300000000002</v>
      </c>
      <c r="C60" s="78"/>
      <c r="D60" s="7"/>
      <c r="E60" s="7"/>
      <c r="F60" s="7"/>
      <c r="G60" s="7"/>
      <c r="H60" s="7"/>
      <c r="I60" s="7"/>
      <c r="J60" s="7"/>
      <c r="K60" s="7"/>
      <c r="L60" s="7">
        <v>299670</v>
      </c>
      <c r="M60" s="7"/>
      <c r="N60" s="7"/>
      <c r="O60" s="7"/>
      <c r="P60" s="7"/>
      <c r="Q60" s="7"/>
      <c r="R60" s="7"/>
      <c r="S60" s="60">
        <f>SUM((D60+F60+H60+J60+L60+N60+P60+R60)-(E60+G60+I60+K60+M60+O60+Q60))</f>
        <v>299670</v>
      </c>
      <c r="T60" s="1">
        <f>S60-J60</f>
        <v>299670</v>
      </c>
      <c r="U60" s="1"/>
      <c r="V60" s="1"/>
    </row>
    <row r="61" spans="1:22" ht="13.5" customHeight="1" x14ac:dyDescent="0.2">
      <c r="A61" s="1" t="s">
        <v>700</v>
      </c>
      <c r="B61" s="2">
        <v>-316.31</v>
      </c>
      <c r="C61" s="78"/>
      <c r="D61" s="7"/>
      <c r="E61" s="7">
        <v>34431</v>
      </c>
      <c r="F61" s="7"/>
      <c r="G61" s="7"/>
      <c r="H61" s="7"/>
      <c r="I61" s="7"/>
      <c r="J61" s="7"/>
      <c r="K61" s="7"/>
      <c r="L61" s="7"/>
      <c r="M61" s="7">
        <v>7744</v>
      </c>
      <c r="N61" s="7"/>
      <c r="O61" s="7"/>
      <c r="P61" s="7"/>
      <c r="Q61" s="7"/>
      <c r="R61" s="7"/>
      <c r="S61" s="60">
        <f>SUM((D61+F61+H61+J61+L61+N61+P61+R61)-(E61+G61+I61+K61+M61+O61+Q61))</f>
        <v>-42175</v>
      </c>
      <c r="T61" s="1">
        <f>S61-J61</f>
        <v>-42175</v>
      </c>
      <c r="U61" s="1"/>
      <c r="V61" s="1"/>
    </row>
    <row r="62" spans="1:22" ht="13.5" customHeight="1" x14ac:dyDescent="0.2">
      <c r="A62" s="1" t="s">
        <v>299</v>
      </c>
      <c r="B62" s="2">
        <v>68.89</v>
      </c>
      <c r="C62" s="78">
        <v>4.53</v>
      </c>
      <c r="D62" s="7">
        <v>8242</v>
      </c>
      <c r="E62" s="7">
        <v>3559</v>
      </c>
      <c r="F62" s="7"/>
      <c r="G62" s="7"/>
      <c r="H62" s="7"/>
      <c r="I62" s="7"/>
      <c r="J62" s="7"/>
      <c r="K62" s="7"/>
      <c r="L62" s="7">
        <v>7156</v>
      </c>
      <c r="M62" s="7">
        <v>2654</v>
      </c>
      <c r="N62" s="7"/>
      <c r="O62" s="7"/>
      <c r="P62" s="7"/>
      <c r="Q62" s="7"/>
      <c r="R62" s="7"/>
      <c r="S62" s="60">
        <f t="shared" si="8"/>
        <v>9185</v>
      </c>
      <c r="T62" s="1">
        <f t="shared" si="9"/>
        <v>9185</v>
      </c>
      <c r="U62" s="1"/>
      <c r="V62" s="1"/>
    </row>
    <row r="63" spans="1:22" s="20" customFormat="1" x14ac:dyDescent="0.2">
      <c r="A63" s="18" t="s">
        <v>55</v>
      </c>
      <c r="B63" s="78">
        <v>72472.289999999994</v>
      </c>
      <c r="C63" s="78">
        <v>2920.13</v>
      </c>
      <c r="D63" s="245">
        <v>5309336</v>
      </c>
      <c r="E63" s="245"/>
      <c r="F63" s="245"/>
      <c r="G63" s="245"/>
      <c r="H63" s="245"/>
      <c r="I63" s="245"/>
      <c r="J63" s="245"/>
      <c r="K63" s="245"/>
      <c r="L63" s="245">
        <v>4353636</v>
      </c>
      <c r="M63" s="245"/>
      <c r="N63" s="245"/>
      <c r="O63" s="245"/>
      <c r="P63" s="245"/>
      <c r="Q63" s="245"/>
      <c r="R63" s="245"/>
      <c r="S63" s="247">
        <f t="shared" si="8"/>
        <v>9662972</v>
      </c>
      <c r="T63" s="18">
        <f t="shared" si="9"/>
        <v>9662972</v>
      </c>
      <c r="U63" s="18"/>
      <c r="V63" s="18"/>
    </row>
    <row r="64" spans="1:22" s="20" customFormat="1" x14ac:dyDescent="0.2">
      <c r="A64" s="18" t="s">
        <v>56</v>
      </c>
      <c r="B64" s="78">
        <v>534.11</v>
      </c>
      <c r="C64" s="78">
        <v>30.57</v>
      </c>
      <c r="D64" s="245">
        <v>55589</v>
      </c>
      <c r="E64" s="245"/>
      <c r="F64" s="245"/>
      <c r="G64" s="245"/>
      <c r="H64" s="245"/>
      <c r="I64" s="245"/>
      <c r="J64" s="245"/>
      <c r="K64" s="245"/>
      <c r="L64" s="245">
        <v>15625</v>
      </c>
      <c r="M64" s="245"/>
      <c r="N64" s="245"/>
      <c r="O64" s="245"/>
      <c r="P64" s="245"/>
      <c r="Q64" s="245"/>
      <c r="R64" s="245"/>
      <c r="S64" s="247">
        <f t="shared" si="8"/>
        <v>71214</v>
      </c>
      <c r="T64" s="18">
        <f t="shared" si="9"/>
        <v>71214</v>
      </c>
      <c r="U64" s="18"/>
      <c r="V64" s="18"/>
    </row>
    <row r="65" spans="1:22" s="20" customFormat="1" x14ac:dyDescent="0.2">
      <c r="A65" s="18" t="s">
        <v>491</v>
      </c>
      <c r="B65" s="78">
        <v>18.93</v>
      </c>
      <c r="C65" s="78">
        <v>1.39</v>
      </c>
      <c r="D65" s="245">
        <v>2524</v>
      </c>
      <c r="E65" s="245"/>
      <c r="F65" s="245"/>
      <c r="G65" s="245"/>
      <c r="H65" s="245"/>
      <c r="I65" s="245"/>
      <c r="J65" s="245"/>
      <c r="K65" s="245"/>
      <c r="L65" s="245"/>
      <c r="M65" s="245"/>
      <c r="N65" s="245"/>
      <c r="O65" s="245"/>
      <c r="P65" s="245"/>
      <c r="Q65" s="245"/>
      <c r="R65" s="245"/>
      <c r="S65" s="247">
        <f t="shared" si="8"/>
        <v>2524</v>
      </c>
      <c r="T65" s="18">
        <f t="shared" si="9"/>
        <v>2524</v>
      </c>
      <c r="U65" s="18"/>
      <c r="V65" s="18"/>
    </row>
    <row r="66" spans="1:22" x14ac:dyDescent="0.2">
      <c r="A66" s="1" t="s">
        <v>458</v>
      </c>
      <c r="B66" s="2">
        <v>0</v>
      </c>
      <c r="C66" s="78">
        <v>43.79</v>
      </c>
      <c r="D66" s="7"/>
      <c r="E66" s="7"/>
      <c r="F66" s="7"/>
      <c r="G66" s="7"/>
      <c r="H66" s="7"/>
      <c r="I66" s="7"/>
      <c r="J66" s="7">
        <v>79626</v>
      </c>
      <c r="K66" s="7"/>
      <c r="L66" s="7"/>
      <c r="M66" s="7"/>
      <c r="N66" s="7"/>
      <c r="O66" s="7"/>
      <c r="P66" s="7"/>
      <c r="Q66" s="7"/>
      <c r="R66" s="7"/>
      <c r="S66" s="60">
        <f t="shared" si="8"/>
        <v>79626</v>
      </c>
      <c r="T66" s="1">
        <f t="shared" si="9"/>
        <v>0</v>
      </c>
      <c r="U66" s="1"/>
      <c r="V66" s="1"/>
    </row>
    <row r="67" spans="1:22" x14ac:dyDescent="0.2">
      <c r="A67" s="1" t="s">
        <v>710</v>
      </c>
      <c r="B67" s="2">
        <v>-4185.03</v>
      </c>
      <c r="C67" s="78">
        <v>81.48</v>
      </c>
      <c r="D67" s="7">
        <v>148147</v>
      </c>
      <c r="E67" s="7">
        <v>264769</v>
      </c>
      <c r="F67" s="7"/>
      <c r="G67" s="7"/>
      <c r="H67" s="7"/>
      <c r="I67" s="7"/>
      <c r="J67" s="7"/>
      <c r="K67" s="7"/>
      <c r="L67" s="7"/>
      <c r="M67" s="7">
        <v>441382</v>
      </c>
      <c r="N67" s="7"/>
      <c r="O67" s="7"/>
      <c r="P67" s="7"/>
      <c r="Q67" s="7"/>
      <c r="R67" s="7"/>
      <c r="S67" s="60">
        <f>SUM((D67+F67+H67+J67+L67+N67+P67+R67)-(E67+G67+I67+K67+M67+O67+Q67))</f>
        <v>-558004</v>
      </c>
      <c r="T67" s="1">
        <f>S67-J67</f>
        <v>-558004</v>
      </c>
      <c r="U67" s="1"/>
      <c r="V67" s="1"/>
    </row>
    <row r="68" spans="1:22" x14ac:dyDescent="0.2">
      <c r="A68" s="1" t="s">
        <v>709</v>
      </c>
      <c r="B68" s="2">
        <v>-2955.08</v>
      </c>
      <c r="C68" s="78"/>
      <c r="D68" s="7"/>
      <c r="E68" s="7">
        <v>149304</v>
      </c>
      <c r="F68" s="7"/>
      <c r="G68" s="7"/>
      <c r="H68" s="7"/>
      <c r="I68" s="7"/>
      <c r="J68" s="7"/>
      <c r="K68" s="7"/>
      <c r="L68" s="7"/>
      <c r="M68" s="7">
        <v>244707</v>
      </c>
      <c r="N68" s="7"/>
      <c r="O68" s="7"/>
      <c r="P68" s="7"/>
      <c r="Q68" s="7"/>
      <c r="R68" s="7"/>
      <c r="S68" s="60">
        <f t="shared" si="8"/>
        <v>-394011</v>
      </c>
      <c r="T68" s="1">
        <f t="shared" si="9"/>
        <v>-394011</v>
      </c>
      <c r="U68" s="1"/>
      <c r="V68" s="1"/>
    </row>
    <row r="69" spans="1:22" x14ac:dyDescent="0.2">
      <c r="A69" s="1" t="s">
        <v>97</v>
      </c>
      <c r="B69" s="2">
        <v>-329.82</v>
      </c>
      <c r="C69" s="78"/>
      <c r="D69" s="7"/>
      <c r="E69" s="7"/>
      <c r="F69" s="7"/>
      <c r="G69" s="7"/>
      <c r="H69" s="7"/>
      <c r="I69" s="7"/>
      <c r="J69" s="7"/>
      <c r="K69" s="7"/>
      <c r="L69" s="7"/>
      <c r="M69" s="7">
        <v>43976</v>
      </c>
      <c r="N69" s="7"/>
      <c r="O69" s="7"/>
      <c r="P69" s="7"/>
      <c r="Q69" s="7"/>
      <c r="R69" s="7"/>
      <c r="S69" s="60">
        <f>SUM((D69+F69+H69+J69+L69+N69+P69+R69)-(E69+G69+I69+K69+M69+O69+Q69))</f>
        <v>-43976</v>
      </c>
      <c r="T69" s="1">
        <f>S69-J69</f>
        <v>-43976</v>
      </c>
      <c r="U69" s="1"/>
      <c r="V69" s="1"/>
    </row>
    <row r="70" spans="1:22" s="20" customFormat="1" x14ac:dyDescent="0.2">
      <c r="A70" s="18" t="s">
        <v>435</v>
      </c>
      <c r="B70" s="78">
        <v>2576.8200000000002</v>
      </c>
      <c r="C70" s="78">
        <v>168.52</v>
      </c>
      <c r="D70" s="245">
        <v>306399</v>
      </c>
      <c r="E70" s="245">
        <v>71989</v>
      </c>
      <c r="F70" s="245"/>
      <c r="G70" s="245"/>
      <c r="H70" s="245"/>
      <c r="I70" s="245"/>
      <c r="J70" s="245"/>
      <c r="K70" s="245"/>
      <c r="L70" s="245">
        <v>650582</v>
      </c>
      <c r="M70" s="245">
        <v>541416</v>
      </c>
      <c r="N70" s="245"/>
      <c r="O70" s="245"/>
      <c r="P70" s="245"/>
      <c r="Q70" s="245"/>
      <c r="R70" s="245"/>
      <c r="S70" s="247">
        <f t="shared" si="8"/>
        <v>343576</v>
      </c>
      <c r="T70" s="18">
        <f t="shared" si="9"/>
        <v>343576</v>
      </c>
    </row>
    <row r="71" spans="1:22" s="20" customFormat="1" x14ac:dyDescent="0.2">
      <c r="A71" s="18" t="s">
        <v>300</v>
      </c>
      <c r="B71" s="78">
        <v>-608.82000000000005</v>
      </c>
      <c r="C71" s="78"/>
      <c r="D71" s="245"/>
      <c r="E71" s="245"/>
      <c r="F71" s="245"/>
      <c r="G71" s="245"/>
      <c r="H71" s="245"/>
      <c r="I71" s="245"/>
      <c r="J71" s="245"/>
      <c r="K71" s="245"/>
      <c r="L71" s="245"/>
      <c r="M71" s="245">
        <v>81176</v>
      </c>
      <c r="N71" s="245"/>
      <c r="O71" s="245"/>
      <c r="P71" s="245"/>
      <c r="Q71" s="245"/>
      <c r="R71" s="245"/>
      <c r="S71" s="247">
        <f t="shared" si="8"/>
        <v>-81176</v>
      </c>
      <c r="T71" s="18">
        <f t="shared" si="9"/>
        <v>-81176</v>
      </c>
    </row>
    <row r="72" spans="1:22" s="20" customFormat="1" x14ac:dyDescent="0.2">
      <c r="A72" s="18" t="s">
        <v>357</v>
      </c>
      <c r="B72" s="78">
        <v>21698.33</v>
      </c>
      <c r="C72" s="78">
        <v>866.46</v>
      </c>
      <c r="D72" s="245">
        <v>1575378</v>
      </c>
      <c r="E72" s="245">
        <v>19143</v>
      </c>
      <c r="F72" s="245"/>
      <c r="G72" s="245"/>
      <c r="H72" s="245"/>
      <c r="I72" s="245"/>
      <c r="J72" s="245"/>
      <c r="K72" s="245"/>
      <c r="L72" s="245">
        <v>1743880</v>
      </c>
      <c r="M72" s="245">
        <v>407004</v>
      </c>
      <c r="N72" s="245"/>
      <c r="O72" s="245"/>
      <c r="P72" s="245"/>
      <c r="Q72" s="245"/>
      <c r="R72" s="245"/>
      <c r="S72" s="247">
        <f t="shared" si="8"/>
        <v>2893111</v>
      </c>
      <c r="T72" s="18">
        <f t="shared" si="9"/>
        <v>2893111</v>
      </c>
    </row>
    <row r="73" spans="1:22" s="20" customFormat="1" x14ac:dyDescent="0.2">
      <c r="A73" s="18" t="s">
        <v>437</v>
      </c>
      <c r="B73" s="78">
        <v>261.77</v>
      </c>
      <c r="C73" s="78">
        <v>19.2</v>
      </c>
      <c r="D73" s="245">
        <v>34902</v>
      </c>
      <c r="E73" s="245"/>
      <c r="F73" s="245"/>
      <c r="G73" s="245"/>
      <c r="H73" s="245"/>
      <c r="I73" s="245"/>
      <c r="J73" s="245"/>
      <c r="K73" s="245"/>
      <c r="L73" s="245"/>
      <c r="M73" s="245"/>
      <c r="N73" s="245"/>
      <c r="O73" s="245"/>
      <c r="P73" s="245"/>
      <c r="Q73" s="245"/>
      <c r="R73" s="245"/>
      <c r="S73" s="247">
        <f>SUM((D73+F73+H73+J73+L73+N73+P73+R73)-(E73+G73+I73+K73+M73+O73+Q73))</f>
        <v>34902</v>
      </c>
      <c r="T73" s="18">
        <f t="shared" si="9"/>
        <v>34902</v>
      </c>
    </row>
    <row r="74" spans="1:22" s="20" customFormat="1" x14ac:dyDescent="0.2">
      <c r="A74" s="18" t="s">
        <v>103</v>
      </c>
      <c r="B74" s="78">
        <v>-4531.22</v>
      </c>
      <c r="C74" s="78">
        <v>70.42</v>
      </c>
      <c r="D74" s="245">
        <v>71054</v>
      </c>
      <c r="E74" s="245">
        <v>67604</v>
      </c>
      <c r="F74" s="245"/>
      <c r="G74" s="245">
        <v>229050</v>
      </c>
      <c r="H74" s="245"/>
      <c r="I74" s="245"/>
      <c r="J74" s="245">
        <v>56982</v>
      </c>
      <c r="K74" s="245"/>
      <c r="L74" s="245">
        <v>7150</v>
      </c>
      <c r="M74" s="245">
        <v>674466</v>
      </c>
      <c r="N74" s="245"/>
      <c r="O74" s="245"/>
      <c r="P74" s="245">
        <v>288754</v>
      </c>
      <c r="Q74" s="245"/>
      <c r="R74" s="245"/>
      <c r="S74" s="247">
        <f t="shared" si="8"/>
        <v>-547180</v>
      </c>
      <c r="T74" s="18">
        <f t="shared" si="9"/>
        <v>-604162</v>
      </c>
    </row>
    <row r="75" spans="1:22" x14ac:dyDescent="0.2">
      <c r="A75" s="1" t="s">
        <v>98</v>
      </c>
      <c r="B75" s="2">
        <v>3492.4</v>
      </c>
      <c r="C75" s="78">
        <v>206.72</v>
      </c>
      <c r="D75" s="7">
        <v>375861</v>
      </c>
      <c r="E75" s="7"/>
      <c r="F75" s="7"/>
      <c r="G75" s="7"/>
      <c r="H75" s="7"/>
      <c r="I75" s="7"/>
      <c r="J75" s="7"/>
      <c r="K75" s="7"/>
      <c r="L75" s="7">
        <v>89792</v>
      </c>
      <c r="M75" s="7"/>
      <c r="N75" s="7"/>
      <c r="O75" s="7"/>
      <c r="P75" s="7"/>
      <c r="Q75" s="7"/>
      <c r="R75" s="7"/>
      <c r="S75" s="60">
        <f t="shared" si="8"/>
        <v>465653</v>
      </c>
      <c r="T75" s="1">
        <f t="shared" ref="T75:T81" si="10">S75-J75</f>
        <v>465653</v>
      </c>
    </row>
    <row r="76" spans="1:22" s="20" customFormat="1" x14ac:dyDescent="0.2">
      <c r="A76" s="18" t="s">
        <v>498</v>
      </c>
      <c r="B76" s="78">
        <v>780.58</v>
      </c>
      <c r="C76" s="78">
        <v>1.98</v>
      </c>
      <c r="D76" s="245"/>
      <c r="E76" s="245"/>
      <c r="F76" s="245"/>
      <c r="G76" s="245"/>
      <c r="H76" s="245"/>
      <c r="I76" s="245"/>
      <c r="J76" s="245">
        <v>3600</v>
      </c>
      <c r="K76" s="245"/>
      <c r="L76" s="245">
        <v>104077</v>
      </c>
      <c r="M76" s="245"/>
      <c r="N76" s="245"/>
      <c r="O76" s="245"/>
      <c r="P76" s="245"/>
      <c r="Q76" s="245"/>
      <c r="R76" s="245"/>
      <c r="S76" s="247">
        <f t="shared" si="8"/>
        <v>107677</v>
      </c>
      <c r="T76" s="18">
        <f t="shared" si="10"/>
        <v>104077</v>
      </c>
    </row>
    <row r="77" spans="1:22" s="20" customFormat="1" x14ac:dyDescent="0.2">
      <c r="A77" s="18" t="s">
        <v>104</v>
      </c>
      <c r="B77" s="78">
        <v>68938.240000000005</v>
      </c>
      <c r="C77" s="78">
        <v>1943.25</v>
      </c>
      <c r="D77" s="245">
        <v>3467792</v>
      </c>
      <c r="E77" s="245">
        <v>20187</v>
      </c>
      <c r="F77" s="245">
        <v>65393</v>
      </c>
      <c r="G77" s="245"/>
      <c r="H77" s="245"/>
      <c r="I77" s="245"/>
      <c r="J77" s="245"/>
      <c r="K77" s="245"/>
      <c r="L77" s="245">
        <v>5743236</v>
      </c>
      <c r="M77" s="245">
        <v>64469</v>
      </c>
      <c r="N77" s="245"/>
      <c r="O77" s="245"/>
      <c r="P77" s="245"/>
      <c r="Q77" s="245"/>
      <c r="R77" s="245"/>
      <c r="S77" s="247">
        <f t="shared" si="8"/>
        <v>9191765</v>
      </c>
      <c r="T77" s="18">
        <f t="shared" si="10"/>
        <v>9191765</v>
      </c>
    </row>
    <row r="78" spans="1:22" x14ac:dyDescent="0.2">
      <c r="A78" s="1" t="s">
        <v>460</v>
      </c>
      <c r="B78" s="2">
        <v>-63.86</v>
      </c>
      <c r="C78" s="78">
        <v>2.1800000000000002</v>
      </c>
      <c r="D78" s="7">
        <v>3971</v>
      </c>
      <c r="E78" s="7">
        <v>3689</v>
      </c>
      <c r="F78" s="7"/>
      <c r="G78" s="7"/>
      <c r="H78" s="7"/>
      <c r="I78" s="7"/>
      <c r="J78" s="7"/>
      <c r="K78" s="7"/>
      <c r="L78" s="7"/>
      <c r="M78" s="7">
        <v>8796</v>
      </c>
      <c r="N78" s="7"/>
      <c r="O78" s="7"/>
      <c r="P78" s="7"/>
      <c r="Q78" s="7"/>
      <c r="R78" s="7"/>
      <c r="S78" s="60">
        <f t="shared" si="8"/>
        <v>-8514</v>
      </c>
      <c r="T78" s="1">
        <f t="shared" si="10"/>
        <v>-8514</v>
      </c>
    </row>
    <row r="79" spans="1:22" x14ac:dyDescent="0.2">
      <c r="A79" s="1" t="s">
        <v>105</v>
      </c>
      <c r="B79" s="2">
        <v>-143.41999999999999</v>
      </c>
      <c r="C79" s="78">
        <v>6.97</v>
      </c>
      <c r="D79" s="7">
        <v>12673</v>
      </c>
      <c r="E79" s="7"/>
      <c r="F79" s="7"/>
      <c r="G79" s="7"/>
      <c r="H79" s="7"/>
      <c r="I79" s="7"/>
      <c r="J79" s="7"/>
      <c r="K79" s="7"/>
      <c r="L79" s="7">
        <v>8637</v>
      </c>
      <c r="M79" s="7">
        <v>40433</v>
      </c>
      <c r="N79" s="7"/>
      <c r="O79" s="7"/>
      <c r="P79" s="7"/>
      <c r="Q79" s="7"/>
      <c r="R79" s="7"/>
      <c r="S79" s="60">
        <f t="shared" si="8"/>
        <v>-19123</v>
      </c>
      <c r="T79" s="1">
        <f t="shared" si="10"/>
        <v>-19123</v>
      </c>
    </row>
    <row r="80" spans="1:22" s="20" customFormat="1" x14ac:dyDescent="0.2">
      <c r="A80" s="18" t="s">
        <v>64</v>
      </c>
      <c r="B80" s="78"/>
      <c r="C80" s="78">
        <v>1.0900000000000001</v>
      </c>
      <c r="D80" s="245"/>
      <c r="E80" s="245"/>
      <c r="F80" s="245"/>
      <c r="G80" s="245"/>
      <c r="H80" s="245"/>
      <c r="I80" s="245"/>
      <c r="J80" s="245">
        <v>1986</v>
      </c>
      <c r="K80" s="245"/>
      <c r="L80" s="245"/>
      <c r="M80" s="245"/>
      <c r="N80" s="245"/>
      <c r="O80" s="245"/>
      <c r="P80" s="245"/>
      <c r="Q80" s="245"/>
      <c r="R80" s="245"/>
      <c r="S80" s="247">
        <f>SUM((D80+F80+H80+J80+L80+N80+P80+R80)-(E80+G80+I80+K80+M80+O80+Q80))</f>
        <v>1986</v>
      </c>
      <c r="T80" s="18">
        <f t="shared" si="10"/>
        <v>0</v>
      </c>
    </row>
    <row r="81" spans="1:49" s="20" customFormat="1" x14ac:dyDescent="0.2">
      <c r="A81" s="18" t="s">
        <v>711</v>
      </c>
      <c r="B81" s="78">
        <v>-1533.39</v>
      </c>
      <c r="C81" s="78"/>
      <c r="D81" s="245"/>
      <c r="E81" s="245"/>
      <c r="F81" s="245"/>
      <c r="G81" s="245"/>
      <c r="H81" s="245"/>
      <c r="I81" s="245"/>
      <c r="J81" s="245"/>
      <c r="K81" s="245"/>
      <c r="L81" s="245"/>
      <c r="M81" s="245">
        <v>204452</v>
      </c>
      <c r="N81" s="245"/>
      <c r="O81" s="245"/>
      <c r="P81" s="245"/>
      <c r="Q81" s="245"/>
      <c r="R81" s="245"/>
      <c r="S81" s="247">
        <f>SUM((D81+F81+H81+J81+L81+N81+P81+R81)-(E81+G81+I81+K81+M81+O81+Q81))</f>
        <v>-204452</v>
      </c>
      <c r="T81" s="18">
        <f t="shared" si="10"/>
        <v>-204452</v>
      </c>
    </row>
    <row r="82" spans="1:49" s="20" customFormat="1" x14ac:dyDescent="0.2">
      <c r="A82" s="18" t="s">
        <v>301</v>
      </c>
      <c r="B82" s="78">
        <v>24462.2</v>
      </c>
      <c r="C82" s="78">
        <v>576.26</v>
      </c>
      <c r="D82" s="245">
        <v>1047748</v>
      </c>
      <c r="E82" s="245"/>
      <c r="F82" s="245"/>
      <c r="G82" s="245"/>
      <c r="H82" s="245"/>
      <c r="I82" s="245"/>
      <c r="J82" s="245"/>
      <c r="K82" s="245"/>
      <c r="L82" s="245">
        <v>2213878</v>
      </c>
      <c r="M82" s="245"/>
      <c r="N82" s="245"/>
      <c r="O82" s="245"/>
      <c r="P82" s="245"/>
      <c r="Q82" s="245"/>
      <c r="R82" s="245"/>
      <c r="S82" s="247">
        <f t="shared" ref="S82:S93" si="11">SUM((D82+F82+H82+J82+L82+N82+P82+R82)-(E82+G82+I82+K82+M82+O82+Q82))</f>
        <v>3261626</v>
      </c>
      <c r="T82" s="18">
        <f t="shared" ref="T82:T93" si="12">S82-J82</f>
        <v>3261626</v>
      </c>
    </row>
    <row r="83" spans="1:49" s="20" customFormat="1" x14ac:dyDescent="0.2">
      <c r="A83" s="18" t="s">
        <v>438</v>
      </c>
      <c r="B83" s="78">
        <v>362.89</v>
      </c>
      <c r="C83" s="78">
        <v>131.33000000000001</v>
      </c>
      <c r="D83" s="245">
        <v>238777</v>
      </c>
      <c r="E83" s="245">
        <v>205793</v>
      </c>
      <c r="F83" s="245"/>
      <c r="G83" s="245"/>
      <c r="H83" s="245"/>
      <c r="I83" s="245"/>
      <c r="J83" s="245"/>
      <c r="K83" s="245"/>
      <c r="L83" s="245">
        <v>32500</v>
      </c>
      <c r="M83" s="245">
        <v>17099</v>
      </c>
      <c r="N83" s="245"/>
      <c r="O83" s="245"/>
      <c r="P83" s="245"/>
      <c r="Q83" s="245"/>
      <c r="R83" s="245"/>
      <c r="S83" s="247">
        <f t="shared" si="11"/>
        <v>48385</v>
      </c>
      <c r="T83" s="18">
        <f t="shared" si="12"/>
        <v>48385</v>
      </c>
    </row>
    <row r="84" spans="1:49" s="20" customFormat="1" x14ac:dyDescent="0.2">
      <c r="A84" s="18" t="s">
        <v>751</v>
      </c>
      <c r="B84" s="78">
        <v>-18.11</v>
      </c>
      <c r="C84" s="78">
        <v>-0.26</v>
      </c>
      <c r="D84" s="245">
        <v>-472</v>
      </c>
      <c r="E84" s="245">
        <v>1881</v>
      </c>
      <c r="F84" s="245"/>
      <c r="G84" s="245"/>
      <c r="H84" s="245"/>
      <c r="I84" s="245"/>
      <c r="J84" s="245"/>
      <c r="K84" s="245"/>
      <c r="L84" s="245">
        <v>16</v>
      </c>
      <c r="M84" s="245">
        <v>77</v>
      </c>
      <c r="N84" s="245"/>
      <c r="O84" s="245"/>
      <c r="P84" s="245"/>
      <c r="Q84" s="245"/>
      <c r="R84" s="245"/>
      <c r="S84" s="247">
        <f>SUM((D84+F84+H84+J84+L84+N84+P84+R84)-(E84+G84+I84+K84+M84+O84+Q84))</f>
        <v>-2414</v>
      </c>
      <c r="T84" s="18">
        <f>S84-J84</f>
        <v>-2414</v>
      </c>
      <c r="U84" s="78"/>
      <c r="V84" s="18"/>
      <c r="W84" s="18"/>
      <c r="X84" s="245"/>
      <c r="Y84" s="245"/>
      <c r="Z84" s="245"/>
      <c r="AA84" s="245"/>
      <c r="AB84" s="245"/>
      <c r="AC84" s="245"/>
      <c r="AD84" s="245"/>
      <c r="AE84" s="245"/>
      <c r="AF84" s="245"/>
      <c r="AG84" s="245"/>
      <c r="AH84" s="245"/>
      <c r="AI84" s="245"/>
      <c r="AJ84" s="245"/>
      <c r="AK84" s="245"/>
      <c r="AL84" s="245"/>
      <c r="AM84" s="245"/>
      <c r="AN84" s="245"/>
      <c r="AO84" s="245"/>
      <c r="AP84" s="245"/>
      <c r="AQ84" s="245"/>
      <c r="AR84" s="245"/>
      <c r="AS84" s="245"/>
      <c r="AT84" s="18"/>
      <c r="AU84" s="245"/>
      <c r="AV84" s="18"/>
      <c r="AW84" s="18"/>
    </row>
    <row r="85" spans="1:49" s="20" customFormat="1" x14ac:dyDescent="0.2">
      <c r="A85" s="18" t="s">
        <v>477</v>
      </c>
      <c r="B85" s="78">
        <v>29649.79</v>
      </c>
      <c r="C85" s="78">
        <v>1579.14</v>
      </c>
      <c r="D85" s="245">
        <v>2687757</v>
      </c>
      <c r="E85" s="245">
        <v>14114</v>
      </c>
      <c r="F85" s="245">
        <v>183413</v>
      </c>
      <c r="G85" s="245"/>
      <c r="H85" s="245"/>
      <c r="I85" s="245"/>
      <c r="J85" s="245"/>
      <c r="K85" s="245"/>
      <c r="L85" s="245">
        <v>1108749</v>
      </c>
      <c r="M85" s="245">
        <v>12500</v>
      </c>
      <c r="N85" s="245"/>
      <c r="O85" s="245"/>
      <c r="P85" s="245"/>
      <c r="Q85" s="245"/>
      <c r="R85" s="245"/>
      <c r="S85" s="247">
        <f t="shared" si="11"/>
        <v>3953305</v>
      </c>
      <c r="T85" s="18">
        <f t="shared" si="12"/>
        <v>3953305</v>
      </c>
    </row>
    <row r="86" spans="1:49" s="20" customFormat="1" x14ac:dyDescent="0.2">
      <c r="A86" s="18" t="s">
        <v>302</v>
      </c>
      <c r="B86" s="78">
        <v>37.49</v>
      </c>
      <c r="C86" s="78">
        <v>13.81</v>
      </c>
      <c r="D86" s="245">
        <v>25107</v>
      </c>
      <c r="E86" s="245"/>
      <c r="F86" s="245"/>
      <c r="G86" s="245"/>
      <c r="H86" s="245"/>
      <c r="I86" s="245"/>
      <c r="J86" s="245"/>
      <c r="K86" s="245"/>
      <c r="L86" s="245"/>
      <c r="M86" s="245">
        <v>20109</v>
      </c>
      <c r="N86" s="245"/>
      <c r="O86" s="245"/>
      <c r="P86" s="245"/>
      <c r="Q86" s="245"/>
      <c r="R86" s="245"/>
      <c r="S86" s="247">
        <f t="shared" si="11"/>
        <v>4998</v>
      </c>
      <c r="T86" s="18">
        <f t="shared" si="12"/>
        <v>4998</v>
      </c>
    </row>
    <row r="87" spans="1:49" s="20" customFormat="1" x14ac:dyDescent="0.2">
      <c r="A87" s="18" t="s">
        <v>697</v>
      </c>
      <c r="B87" s="78">
        <v>61.31</v>
      </c>
      <c r="C87" s="78">
        <v>4.5</v>
      </c>
      <c r="D87" s="245">
        <v>8175</v>
      </c>
      <c r="E87" s="245"/>
      <c r="F87" s="245"/>
      <c r="G87" s="245"/>
      <c r="H87" s="245"/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7">
        <f t="shared" si="11"/>
        <v>8175</v>
      </c>
      <c r="T87" s="18">
        <f t="shared" si="12"/>
        <v>8175</v>
      </c>
    </row>
    <row r="88" spans="1:49" s="20" customFormat="1" x14ac:dyDescent="0.2">
      <c r="A88" s="18" t="s">
        <v>358</v>
      </c>
      <c r="B88" s="78">
        <v>4519.82</v>
      </c>
      <c r="C88" s="78"/>
      <c r="D88" s="245"/>
      <c r="E88" s="245">
        <v>37939</v>
      </c>
      <c r="F88" s="245"/>
      <c r="G88" s="245"/>
      <c r="H88" s="245"/>
      <c r="I88" s="245"/>
      <c r="J88" s="245"/>
      <c r="K88" s="245"/>
      <c r="L88" s="245">
        <v>1433600</v>
      </c>
      <c r="M88" s="245">
        <v>793018</v>
      </c>
      <c r="N88" s="245"/>
      <c r="O88" s="245"/>
      <c r="P88" s="245"/>
      <c r="Q88" s="245"/>
      <c r="R88" s="245"/>
      <c r="S88" s="247">
        <f t="shared" si="11"/>
        <v>602643</v>
      </c>
      <c r="T88" s="18">
        <f t="shared" si="12"/>
        <v>602643</v>
      </c>
    </row>
    <row r="89" spans="1:49" s="20" customFormat="1" x14ac:dyDescent="0.2">
      <c r="A89" s="18" t="s">
        <v>614</v>
      </c>
      <c r="B89" s="78">
        <v>-1094.4000000000001</v>
      </c>
      <c r="C89" s="78"/>
      <c r="D89" s="245"/>
      <c r="E89" s="245"/>
      <c r="F89" s="245"/>
      <c r="G89" s="245"/>
      <c r="H89" s="245"/>
      <c r="I89" s="245"/>
      <c r="J89" s="245"/>
      <c r="K89" s="245"/>
      <c r="L89" s="245"/>
      <c r="M89" s="245">
        <v>145920</v>
      </c>
      <c r="N89" s="245"/>
      <c r="O89" s="245"/>
      <c r="P89" s="245"/>
      <c r="Q89" s="245"/>
      <c r="R89" s="245"/>
      <c r="S89" s="247">
        <f t="shared" si="11"/>
        <v>-145920</v>
      </c>
      <c r="T89" s="18">
        <f t="shared" si="12"/>
        <v>-145920</v>
      </c>
    </row>
    <row r="90" spans="1:49" s="20" customFormat="1" x14ac:dyDescent="0.2">
      <c r="A90" s="18" t="s">
        <v>363</v>
      </c>
      <c r="B90" s="78">
        <v>30755.119999999999</v>
      </c>
      <c r="C90" s="78">
        <v>1151.77</v>
      </c>
      <c r="D90" s="245">
        <v>2094130</v>
      </c>
      <c r="E90" s="245"/>
      <c r="F90" s="245"/>
      <c r="G90" s="245"/>
      <c r="H90" s="245"/>
      <c r="I90" s="245"/>
      <c r="J90" s="245"/>
      <c r="K90" s="245"/>
      <c r="L90" s="245">
        <v>2006553</v>
      </c>
      <c r="M90" s="245"/>
      <c r="N90" s="245"/>
      <c r="O90" s="245"/>
      <c r="P90" s="245"/>
      <c r="Q90" s="245"/>
      <c r="R90" s="245"/>
      <c r="S90" s="247">
        <f t="shared" si="11"/>
        <v>4100683</v>
      </c>
      <c r="T90" s="18">
        <f t="shared" si="12"/>
        <v>4100683</v>
      </c>
    </row>
    <row r="91" spans="1:49" x14ac:dyDescent="0.2">
      <c r="A91" s="1" t="s">
        <v>303</v>
      </c>
      <c r="B91" s="2">
        <v>-5099.54</v>
      </c>
      <c r="C91" s="78">
        <v>8.5</v>
      </c>
      <c r="D91" s="7">
        <v>15452</v>
      </c>
      <c r="E91" s="7">
        <v>135352</v>
      </c>
      <c r="F91" s="7"/>
      <c r="G91" s="7"/>
      <c r="H91" s="7"/>
      <c r="I91" s="7"/>
      <c r="J91" s="7"/>
      <c r="K91" s="7"/>
      <c r="L91" s="7">
        <v>11920</v>
      </c>
      <c r="M91" s="7">
        <v>571959</v>
      </c>
      <c r="N91" s="7"/>
      <c r="O91" s="7"/>
      <c r="P91" s="7"/>
      <c r="Q91" s="7"/>
      <c r="R91" s="7"/>
      <c r="S91" s="60">
        <f t="shared" si="11"/>
        <v>-679939</v>
      </c>
      <c r="T91" s="1">
        <f t="shared" si="12"/>
        <v>-679939</v>
      </c>
    </row>
    <row r="92" spans="1:49" x14ac:dyDescent="0.2">
      <c r="A92" s="1" t="s">
        <v>304</v>
      </c>
      <c r="B92" s="2">
        <v>87748.34</v>
      </c>
      <c r="C92" s="78">
        <v>5065.3900000000003</v>
      </c>
      <c r="D92" s="7">
        <v>9209808</v>
      </c>
      <c r="E92" s="7"/>
      <c r="F92" s="7"/>
      <c r="G92" s="7"/>
      <c r="H92" s="7"/>
      <c r="I92" s="7"/>
      <c r="J92" s="7"/>
      <c r="K92" s="7"/>
      <c r="L92" s="7">
        <v>2489970</v>
      </c>
      <c r="M92" s="7"/>
      <c r="N92" s="7"/>
      <c r="O92" s="7"/>
      <c r="P92" s="7"/>
      <c r="Q92" s="7"/>
      <c r="R92" s="7"/>
      <c r="S92" s="60">
        <f t="shared" si="11"/>
        <v>11699778</v>
      </c>
      <c r="T92" s="1">
        <f t="shared" si="12"/>
        <v>11699778</v>
      </c>
    </row>
    <row r="93" spans="1:49" x14ac:dyDescent="0.2">
      <c r="A93" s="1" t="s">
        <v>712</v>
      </c>
      <c r="B93" s="2">
        <v>475.89</v>
      </c>
      <c r="C93" s="78">
        <v>26.75</v>
      </c>
      <c r="D93" s="7">
        <v>48644</v>
      </c>
      <c r="E93" s="7"/>
      <c r="F93" s="7"/>
      <c r="G93" s="7"/>
      <c r="H93" s="7"/>
      <c r="I93" s="7"/>
      <c r="J93" s="7"/>
      <c r="K93" s="7"/>
      <c r="L93" s="7">
        <v>14808</v>
      </c>
      <c r="M93" s="7"/>
      <c r="N93" s="7"/>
      <c r="O93" s="7"/>
      <c r="P93" s="7"/>
      <c r="Q93" s="7"/>
      <c r="R93" s="7"/>
      <c r="S93" s="60">
        <f t="shared" si="11"/>
        <v>63452</v>
      </c>
      <c r="T93" s="1">
        <f t="shared" si="12"/>
        <v>63452</v>
      </c>
    </row>
    <row r="94" spans="1:49" x14ac:dyDescent="0.2">
      <c r="A94" s="1" t="s">
        <v>716</v>
      </c>
      <c r="B94" s="2">
        <v>-1621.89</v>
      </c>
      <c r="C94" s="78">
        <v>59.81</v>
      </c>
      <c r="D94" s="7">
        <v>108745</v>
      </c>
      <c r="E94" s="7">
        <v>267075</v>
      </c>
      <c r="F94" s="7"/>
      <c r="G94" s="7"/>
      <c r="H94" s="7"/>
      <c r="I94" s="7"/>
      <c r="J94" s="7"/>
      <c r="K94" s="7"/>
      <c r="L94" s="7">
        <v>2021</v>
      </c>
      <c r="M94" s="7">
        <v>59943</v>
      </c>
      <c r="N94" s="7"/>
      <c r="O94" s="7"/>
      <c r="P94" s="7"/>
      <c r="Q94" s="7"/>
      <c r="R94" s="7"/>
      <c r="S94" s="60">
        <f t="shared" ref="S94:S99" si="13">SUM((D94+F94+H94+J94+L94+N94+P94+R94)-(E94+G94+I94+K94+M94+O94+Q94))</f>
        <v>-216252</v>
      </c>
      <c r="T94" s="1">
        <f t="shared" ref="T94:T99" si="14">S94-J94</f>
        <v>-216252</v>
      </c>
    </row>
    <row r="95" spans="1:49" x14ac:dyDescent="0.2">
      <c r="A95" s="1" t="s">
        <v>84</v>
      </c>
      <c r="B95" s="2">
        <v>171.38</v>
      </c>
      <c r="C95" s="78">
        <v>9.32</v>
      </c>
      <c r="D95" s="7">
        <v>1842</v>
      </c>
      <c r="E95" s="7"/>
      <c r="F95" s="7">
        <v>15100</v>
      </c>
      <c r="G95" s="7"/>
      <c r="H95" s="7"/>
      <c r="I95" s="7"/>
      <c r="J95" s="7"/>
      <c r="K95" s="7"/>
      <c r="L95" s="7">
        <v>5909</v>
      </c>
      <c r="M95" s="7"/>
      <c r="N95" s="7"/>
      <c r="O95" s="7"/>
      <c r="P95" s="7"/>
      <c r="Q95" s="7"/>
      <c r="R95" s="7"/>
      <c r="S95" s="60">
        <f t="shared" si="13"/>
        <v>22851</v>
      </c>
      <c r="T95" s="1">
        <f t="shared" si="14"/>
        <v>22851</v>
      </c>
    </row>
    <row r="96" spans="1:49" x14ac:dyDescent="0.2">
      <c r="A96" s="1" t="s">
        <v>305</v>
      </c>
      <c r="B96" s="2">
        <v>4.33</v>
      </c>
      <c r="C96" s="78">
        <v>0.32</v>
      </c>
      <c r="D96" s="7">
        <v>577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60">
        <f t="shared" si="13"/>
        <v>577</v>
      </c>
      <c r="T96" s="1">
        <f t="shared" si="14"/>
        <v>577</v>
      </c>
      <c r="U96" s="1"/>
      <c r="V96" s="1"/>
    </row>
    <row r="97" spans="1:49" x14ac:dyDescent="0.2">
      <c r="A97" s="1" t="s">
        <v>575</v>
      </c>
      <c r="B97" s="2">
        <v>107309.16</v>
      </c>
      <c r="C97" s="78">
        <v>4326.7</v>
      </c>
      <c r="D97" s="7">
        <v>7866726</v>
      </c>
      <c r="E97" s="7"/>
      <c r="F97" s="7"/>
      <c r="G97" s="7"/>
      <c r="H97" s="7"/>
      <c r="I97" s="7"/>
      <c r="J97" s="7"/>
      <c r="K97" s="7"/>
      <c r="L97" s="7">
        <v>6441162</v>
      </c>
      <c r="M97" s="7"/>
      <c r="N97" s="7"/>
      <c r="O97" s="7"/>
      <c r="P97" s="7"/>
      <c r="Q97" s="7"/>
      <c r="R97" s="7"/>
      <c r="S97" s="60">
        <f t="shared" si="13"/>
        <v>14307888</v>
      </c>
      <c r="T97" s="1">
        <f t="shared" si="14"/>
        <v>14307888</v>
      </c>
      <c r="U97" s="1"/>
      <c r="V97" s="1"/>
    </row>
    <row r="98" spans="1:49" s="20" customFormat="1" x14ac:dyDescent="0.2">
      <c r="A98" s="18" t="s">
        <v>306</v>
      </c>
      <c r="B98" s="78">
        <v>4726.58</v>
      </c>
      <c r="C98" s="78">
        <v>5.51</v>
      </c>
      <c r="D98" s="245"/>
      <c r="E98" s="245"/>
      <c r="F98" s="245"/>
      <c r="G98" s="245"/>
      <c r="H98" s="245"/>
      <c r="I98" s="245"/>
      <c r="J98" s="245">
        <v>10027</v>
      </c>
      <c r="K98" s="245"/>
      <c r="L98" s="245">
        <v>630210</v>
      </c>
      <c r="M98" s="245"/>
      <c r="N98" s="245"/>
      <c r="O98" s="245"/>
      <c r="P98" s="245"/>
      <c r="Q98" s="245"/>
      <c r="R98" s="245"/>
      <c r="S98" s="247">
        <f t="shared" si="13"/>
        <v>640237</v>
      </c>
      <c r="T98" s="18">
        <f t="shared" si="14"/>
        <v>630210</v>
      </c>
      <c r="U98" s="78"/>
      <c r="V98" s="18"/>
      <c r="W98" s="18"/>
      <c r="X98" s="245"/>
      <c r="Y98" s="245"/>
      <c r="Z98" s="245"/>
      <c r="AA98" s="245"/>
      <c r="AB98" s="245"/>
      <c r="AC98" s="245"/>
      <c r="AD98" s="245"/>
      <c r="AE98" s="245"/>
      <c r="AF98" s="245"/>
      <c r="AG98" s="245"/>
      <c r="AH98" s="245"/>
      <c r="AI98" s="245"/>
      <c r="AJ98" s="245"/>
      <c r="AK98" s="245"/>
      <c r="AL98" s="245"/>
      <c r="AM98" s="245"/>
      <c r="AN98" s="245"/>
      <c r="AO98" s="245"/>
      <c r="AP98" s="245"/>
      <c r="AQ98" s="245"/>
      <c r="AR98" s="245"/>
      <c r="AS98" s="245"/>
      <c r="AT98" s="18"/>
      <c r="AU98" s="245"/>
      <c r="AV98" s="18"/>
      <c r="AW98" s="18"/>
    </row>
    <row r="99" spans="1:49" s="20" customFormat="1" x14ac:dyDescent="0.2">
      <c r="A99" s="18" t="s">
        <v>496</v>
      </c>
      <c r="B99" s="78">
        <v>-984.98</v>
      </c>
      <c r="C99" s="78">
        <v>16.5</v>
      </c>
      <c r="D99" s="245">
        <v>30009</v>
      </c>
      <c r="E99" s="245">
        <v>143370</v>
      </c>
      <c r="F99" s="245"/>
      <c r="G99" s="245"/>
      <c r="H99" s="245"/>
      <c r="I99" s="245"/>
      <c r="J99" s="245"/>
      <c r="K99" s="245"/>
      <c r="L99" s="245">
        <v>4349</v>
      </c>
      <c r="M99" s="245">
        <v>22319</v>
      </c>
      <c r="N99" s="245"/>
      <c r="O99" s="245"/>
      <c r="P99" s="245"/>
      <c r="Q99" s="245"/>
      <c r="R99" s="245"/>
      <c r="S99" s="247">
        <f t="shared" si="13"/>
        <v>-131331</v>
      </c>
      <c r="T99" s="18">
        <f t="shared" si="14"/>
        <v>-131331</v>
      </c>
      <c r="U99" s="78"/>
      <c r="V99" s="18"/>
      <c r="W99" s="18"/>
      <c r="X99" s="245"/>
      <c r="Y99" s="245"/>
      <c r="Z99" s="245"/>
      <c r="AA99" s="245"/>
      <c r="AB99" s="245"/>
      <c r="AC99" s="245"/>
      <c r="AD99" s="245"/>
      <c r="AE99" s="245"/>
      <c r="AF99" s="245"/>
      <c r="AG99" s="245"/>
      <c r="AH99" s="245"/>
      <c r="AI99" s="245"/>
      <c r="AJ99" s="245"/>
      <c r="AK99" s="245"/>
      <c r="AL99" s="245"/>
      <c r="AM99" s="245"/>
      <c r="AN99" s="245"/>
      <c r="AO99" s="245"/>
      <c r="AP99" s="245"/>
      <c r="AQ99" s="245"/>
      <c r="AR99" s="245"/>
      <c r="AS99" s="245"/>
      <c r="AT99" s="18"/>
      <c r="AU99" s="245"/>
      <c r="AV99" s="18"/>
      <c r="AW99" s="18"/>
    </row>
    <row r="100" spans="1:49" x14ac:dyDescent="0.2">
      <c r="T100" s="1"/>
      <c r="U100" s="1"/>
      <c r="V100" s="1"/>
    </row>
    <row r="101" spans="1:49" ht="21.75" customHeight="1" thickBot="1" x14ac:dyDescent="0.25">
      <c r="A101" s="1" t="s">
        <v>245</v>
      </c>
      <c r="B101" s="131">
        <f t="shared" ref="B101:T101" si="15">SUM(B12:B100)</f>
        <v>1103028.81</v>
      </c>
      <c r="C101" s="131">
        <f t="shared" si="15"/>
        <v>59806.31</v>
      </c>
      <c r="D101" s="34">
        <f t="shared" si="15"/>
        <v>90271898</v>
      </c>
      <c r="E101" s="34">
        <f t="shared" si="15"/>
        <v>6054475</v>
      </c>
      <c r="F101" s="34">
        <f t="shared" si="15"/>
        <v>17855031</v>
      </c>
      <c r="G101" s="34">
        <f t="shared" si="15"/>
        <v>1774178</v>
      </c>
      <c r="H101" s="34">
        <f t="shared" si="15"/>
        <v>203424</v>
      </c>
      <c r="I101" s="34">
        <f t="shared" si="15"/>
        <v>0</v>
      </c>
      <c r="J101" s="34">
        <f t="shared" si="15"/>
        <v>408608</v>
      </c>
      <c r="K101" s="34">
        <f t="shared" si="15"/>
        <v>0</v>
      </c>
      <c r="L101" s="34">
        <f t="shared" si="15"/>
        <v>62063977</v>
      </c>
      <c r="M101" s="34">
        <f t="shared" si="15"/>
        <v>15946143</v>
      </c>
      <c r="N101" s="34">
        <f t="shared" si="15"/>
        <v>0</v>
      </c>
      <c r="O101" s="34">
        <f t="shared" si="15"/>
        <v>0</v>
      </c>
      <c r="P101" s="34">
        <f t="shared" si="15"/>
        <v>395955</v>
      </c>
      <c r="Q101" s="34">
        <f t="shared" si="15"/>
        <v>0</v>
      </c>
      <c r="R101" s="34">
        <f t="shared" si="15"/>
        <v>55012</v>
      </c>
      <c r="S101" s="34">
        <f t="shared" si="15"/>
        <v>147479109</v>
      </c>
      <c r="T101" s="34">
        <f t="shared" si="15"/>
        <v>147070501</v>
      </c>
      <c r="U101" s="7"/>
      <c r="V101" s="7">
        <f>D101-E101+F101-G101+H101-I101+J101-K101+L101-M101+N101-O101+P101-Q101+R101</f>
        <v>147479109</v>
      </c>
    </row>
    <row r="102" spans="1:49" ht="13.5" customHeight="1" x14ac:dyDescent="0.2">
      <c r="A102" s="1"/>
      <c r="B102" s="1"/>
      <c r="C102" s="1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49" ht="23.25" hidden="1" customHeight="1" x14ac:dyDescent="0.2">
      <c r="A103" s="1"/>
      <c r="B103" s="1"/>
      <c r="C103" s="1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 t="s">
        <v>307</v>
      </c>
      <c r="O103" s="7"/>
      <c r="P103" s="7"/>
      <c r="Q103" s="7"/>
      <c r="R103" s="7"/>
      <c r="S103" s="7"/>
      <c r="T103" s="7"/>
      <c r="U103" s="7"/>
      <c r="V103" s="7"/>
    </row>
    <row r="104" spans="1:49" ht="21" hidden="1" customHeight="1" x14ac:dyDescent="0.2">
      <c r="A104" s="1" t="s">
        <v>308</v>
      </c>
      <c r="B104" s="279">
        <v>1108863.1599999999</v>
      </c>
      <c r="C104" s="279">
        <v>59806.31</v>
      </c>
      <c r="D104" s="7"/>
      <c r="E104" s="7"/>
      <c r="F104" s="2"/>
      <c r="G104" s="2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1"/>
      <c r="V104" s="1"/>
    </row>
    <row r="105" spans="1:49" hidden="1" x14ac:dyDescent="0.2">
      <c r="A105" s="1" t="s">
        <v>309</v>
      </c>
      <c r="B105" s="2">
        <f>B104-B101</f>
        <v>5834.35</v>
      </c>
      <c r="C105" s="2">
        <f>C104-C101</f>
        <v>0</v>
      </c>
      <c r="D105" s="387" t="s">
        <v>756</v>
      </c>
      <c r="E105" s="388"/>
      <c r="F105" s="9"/>
      <c r="G105" s="9"/>
      <c r="H105" s="9"/>
      <c r="I105" s="9"/>
      <c r="J105" s="1"/>
      <c r="K105" s="7"/>
      <c r="L105" s="1"/>
      <c r="M105" s="1"/>
      <c r="N105" s="1"/>
      <c r="O105" s="1"/>
      <c r="P105" s="1"/>
      <c r="Q105" s="1"/>
      <c r="R105" s="1"/>
      <c r="S105" s="7"/>
      <c r="T105" s="1"/>
      <c r="U105" s="1"/>
      <c r="V105" s="1"/>
    </row>
    <row r="106" spans="1:49" hidden="1" x14ac:dyDescent="0.2">
      <c r="A106" s="5"/>
      <c r="B106" s="255"/>
      <c r="C106" s="1"/>
      <c r="D106" s="387" t="s">
        <v>757</v>
      </c>
      <c r="E106" s="388"/>
      <c r="F106" s="9"/>
      <c r="G106" s="9"/>
      <c r="H106" s="9"/>
      <c r="I106" s="9"/>
      <c r="J106" s="1"/>
      <c r="K106" s="7"/>
    </row>
    <row r="107" spans="1:49" hidden="1" x14ac:dyDescent="0.2">
      <c r="A107" s="24"/>
      <c r="B107" s="2">
        <f>B105+B106</f>
        <v>5834.35</v>
      </c>
      <c r="C107" s="2">
        <f>C105+C106</f>
        <v>0</v>
      </c>
      <c r="D107" s="1"/>
      <c r="E107" s="1"/>
      <c r="F107" s="1"/>
      <c r="G107" s="1"/>
      <c r="H107" s="1"/>
      <c r="I107" s="1"/>
      <c r="J107" s="1"/>
      <c r="K107" s="7"/>
    </row>
    <row r="108" spans="1:49" hidden="1" x14ac:dyDescent="0.2">
      <c r="B108" t="s">
        <v>633</v>
      </c>
      <c r="C108" s="1" t="s">
        <v>634</v>
      </c>
      <c r="D108" s="1"/>
      <c r="E108" s="1"/>
      <c r="F108" s="1"/>
      <c r="G108" s="1"/>
      <c r="H108" s="1"/>
      <c r="I108" s="1"/>
      <c r="J108" s="1"/>
      <c r="K108" s="7"/>
    </row>
    <row r="109" spans="1:49" hidden="1" x14ac:dyDescent="0.2">
      <c r="A109" t="s">
        <v>632</v>
      </c>
      <c r="B109" s="296">
        <f>(+D101-E101+F101-G101+H101-I101+L101-M101+N101-O101+P101-Q101)*0.0075</f>
        <v>1102616.17</v>
      </c>
      <c r="C109" s="296">
        <f>+B109-CUFEE</f>
        <v>-412.64</v>
      </c>
      <c r="D109" s="1"/>
      <c r="E109" s="1"/>
      <c r="F109" s="1"/>
      <c r="G109" s="1"/>
      <c r="H109" s="1"/>
      <c r="I109" s="1"/>
      <c r="J109" s="1"/>
      <c r="K109" s="7"/>
    </row>
    <row r="110" spans="1:49" hidden="1" x14ac:dyDescent="0.2"/>
    <row r="111" spans="1:49" hidden="1" x14ac:dyDescent="0.2">
      <c r="A111" t="s">
        <v>631</v>
      </c>
      <c r="B111" s="296">
        <f>(+D101+F101+H101+J101)*0.00055</f>
        <v>59806.43</v>
      </c>
      <c r="C111" s="296">
        <f>+B111-INSFEE</f>
        <v>0.12</v>
      </c>
    </row>
    <row r="112" spans="1:49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</sheetData>
  <phoneticPr fontId="0" type="noConversion"/>
  <printOptions horizontalCentered="1"/>
  <pageMargins left="0.2" right="0.2" top="0.42" bottom="0.61" header="0.3" footer="0.31"/>
  <pageSetup scale="55" fitToHeight="2" orientation="landscape" r:id="rId1"/>
  <headerFooter alignWithMargins="0"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62"/>
  <sheetViews>
    <sheetView workbookViewId="0">
      <selection activeCell="A20" sqref="A20"/>
    </sheetView>
  </sheetViews>
  <sheetFormatPr defaultRowHeight="12.75" x14ac:dyDescent="0.2"/>
  <cols>
    <col min="1" max="1" width="46.5703125" customWidth="1"/>
    <col min="2" max="2" width="13.85546875" customWidth="1"/>
    <col min="3" max="3" width="20" customWidth="1"/>
    <col min="4" max="4" width="9.7109375" customWidth="1"/>
    <col min="5" max="5" width="15.5703125" customWidth="1"/>
  </cols>
  <sheetData>
    <row r="1" spans="1:5" ht="26.25" customHeight="1" x14ac:dyDescent="0.2">
      <c r="A1" s="70" t="s">
        <v>310</v>
      </c>
      <c r="B1" s="71"/>
      <c r="C1" s="71"/>
    </row>
    <row r="2" spans="1:5" ht="27.75" customHeight="1" x14ac:dyDescent="0.2">
      <c r="A2" s="70" t="s">
        <v>443</v>
      </c>
      <c r="B2" s="72"/>
      <c r="C2" s="72"/>
    </row>
    <row r="3" spans="1:5" ht="50.25" customHeight="1" x14ac:dyDescent="0.25">
      <c r="A3" s="126" t="str">
        <f>CONCATENATE("MOTOR  FUEL  TAX  COLLECTED  IN  THE  MONTH  OF  ",ReportMonth)</f>
        <v>MOTOR  FUEL  TAX  COLLECTED  IN  THE  MONTH  OF  MAY 2004</v>
      </c>
      <c r="B3" s="73"/>
      <c r="C3" s="74"/>
    </row>
    <row r="4" spans="1:5" ht="57.75" customHeight="1" x14ac:dyDescent="0.2">
      <c r="A4" s="62" t="s">
        <v>311</v>
      </c>
      <c r="B4" s="62" t="s">
        <v>82</v>
      </c>
      <c r="C4" s="75">
        <f>ST12.65</f>
        <v>11606582.17</v>
      </c>
    </row>
    <row r="5" spans="1:5" ht="31.5" customHeight="1" x14ac:dyDescent="0.2">
      <c r="A5" s="62" t="s">
        <v>312</v>
      </c>
      <c r="B5" s="62" t="s">
        <v>82</v>
      </c>
      <c r="C5" s="75">
        <f>_ST5</f>
        <v>4584584.2300000004</v>
      </c>
    </row>
    <row r="6" spans="1:5" ht="31.5" customHeight="1" x14ac:dyDescent="0.2">
      <c r="A6" s="62" t="s">
        <v>313</v>
      </c>
      <c r="B6" s="62" t="s">
        <v>314</v>
      </c>
      <c r="C6" s="75">
        <f>ST5.35</f>
        <v>4902699.91</v>
      </c>
    </row>
    <row r="7" spans="1:5" ht="31.5" customHeight="1" x14ac:dyDescent="0.2">
      <c r="A7" s="62" t="s">
        <v>315</v>
      </c>
      <c r="B7" s="62"/>
      <c r="C7" s="62"/>
    </row>
    <row r="8" spans="1:5" ht="31.5" customHeight="1" x14ac:dyDescent="0.2">
      <c r="A8" s="62" t="s">
        <v>316</v>
      </c>
      <c r="B8" s="62"/>
      <c r="C8" s="75">
        <f>COUNTYOPTION</f>
        <v>7909715.8200000003</v>
      </c>
    </row>
    <row r="9" spans="1:5" ht="31.5" customHeight="1" x14ac:dyDescent="0.2">
      <c r="A9" s="62" t="s">
        <v>317</v>
      </c>
      <c r="B9" s="62"/>
      <c r="C9" s="75"/>
    </row>
    <row r="10" spans="1:5" ht="31.5" customHeight="1" x14ac:dyDescent="0.2">
      <c r="A10" s="62" t="s">
        <v>316</v>
      </c>
      <c r="B10" s="62"/>
      <c r="C10" s="75">
        <f>COUNTY1</f>
        <v>916921.93</v>
      </c>
    </row>
    <row r="11" spans="1:5" ht="31.5" customHeight="1" x14ac:dyDescent="0.2">
      <c r="A11" s="76" t="s">
        <v>318</v>
      </c>
      <c r="B11" s="62"/>
      <c r="C11" s="75">
        <f>AVGAS10.5</f>
        <v>4284.99</v>
      </c>
    </row>
    <row r="12" spans="1:5" ht="31.5" customHeight="1" x14ac:dyDescent="0.2">
      <c r="A12" s="76" t="s">
        <v>342</v>
      </c>
      <c r="B12" s="62"/>
      <c r="C12" s="75">
        <f>AV_OPT</f>
        <v>3831.68</v>
      </c>
    </row>
    <row r="13" spans="1:5" ht="31.5" customHeight="1" x14ac:dyDescent="0.2">
      <c r="A13" s="62" t="s">
        <v>319</v>
      </c>
      <c r="B13" s="62"/>
      <c r="C13" s="75">
        <f>JETTOTAL</f>
        <v>1192428.6599999999</v>
      </c>
    </row>
    <row r="14" spans="1:5" ht="31.5" customHeight="1" x14ac:dyDescent="0.2">
      <c r="A14" s="62" t="s">
        <v>320</v>
      </c>
      <c r="B14" s="62"/>
      <c r="C14" s="75">
        <f>CUFEE</f>
        <v>1103028.81</v>
      </c>
      <c r="E14" s="11"/>
    </row>
    <row r="15" spans="1:5" ht="31.5" customHeight="1" x14ac:dyDescent="0.2">
      <c r="A15" s="62" t="s">
        <v>321</v>
      </c>
      <c r="B15" s="62"/>
      <c r="C15" s="75">
        <f>INSFEE</f>
        <v>59806.31</v>
      </c>
      <c r="E15" s="11"/>
    </row>
    <row r="16" spans="1:5" ht="31.5" customHeight="1" x14ac:dyDescent="0.2">
      <c r="A16" s="62" t="s">
        <v>668</v>
      </c>
      <c r="B16" s="62"/>
      <c r="C16" s="75">
        <f>LICFEE</f>
        <v>65678.12</v>
      </c>
    </row>
    <row r="17" spans="1:5" ht="52.5" customHeight="1" thickBot="1" x14ac:dyDescent="0.3">
      <c r="A17" s="77" t="s">
        <v>322</v>
      </c>
      <c r="B17" s="62"/>
      <c r="C17" s="136">
        <f>SUM(C4:C16)</f>
        <v>32349562.629999999</v>
      </c>
    </row>
    <row r="18" spans="1:5" x14ac:dyDescent="0.2">
      <c r="A18" s="20"/>
      <c r="B18" s="20"/>
      <c r="C18" s="20"/>
    </row>
    <row r="21" spans="1:5" x14ac:dyDescent="0.2">
      <c r="B21" t="s">
        <v>569</v>
      </c>
      <c r="C21" s="254">
        <v>40782229.049999997</v>
      </c>
    </row>
    <row r="22" spans="1:5" x14ac:dyDescent="0.2">
      <c r="B22" t="s">
        <v>570</v>
      </c>
      <c r="C22" s="254">
        <v>7.04</v>
      </c>
    </row>
    <row r="24" spans="1:5" x14ac:dyDescent="0.2">
      <c r="B24" t="s">
        <v>571</v>
      </c>
      <c r="C24" s="254">
        <f>8449980.88-12382.76</f>
        <v>8437598.1199999992</v>
      </c>
      <c r="E24" s="254">
        <f>C23+C24+C25</f>
        <v>8449980.8800000008</v>
      </c>
    </row>
    <row r="25" spans="1:5" x14ac:dyDescent="0.2">
      <c r="B25" t="s">
        <v>755</v>
      </c>
      <c r="C25" s="254">
        <v>12382.76</v>
      </c>
      <c r="E25" s="254"/>
    </row>
    <row r="26" spans="1:5" x14ac:dyDescent="0.2">
      <c r="A26" s="254"/>
    </row>
    <row r="27" spans="1:5" x14ac:dyDescent="0.2">
      <c r="B27" t="s">
        <v>112</v>
      </c>
      <c r="C27" s="254">
        <f>C21-C22-C23-C24-C25</f>
        <v>32332241.129999999</v>
      </c>
      <c r="E27" s="254"/>
    </row>
    <row r="29" spans="1:5" x14ac:dyDescent="0.2">
      <c r="C29" s="254">
        <f>C17-C27</f>
        <v>17321.5</v>
      </c>
    </row>
    <row r="31" spans="1:5" x14ac:dyDescent="0.2">
      <c r="C31" s="254">
        <f>C27+C29</f>
        <v>32349562.629999999</v>
      </c>
    </row>
    <row r="32" spans="1:5" x14ac:dyDescent="0.2">
      <c r="A32" s="141" t="s">
        <v>758</v>
      </c>
      <c r="B32" s="17"/>
      <c r="E32" s="254">
        <f>C29+E29</f>
        <v>17321.5</v>
      </c>
    </row>
    <row r="33" spans="1:2" x14ac:dyDescent="0.2">
      <c r="B33" s="17"/>
    </row>
    <row r="34" spans="1:2" x14ac:dyDescent="0.2">
      <c r="A34" t="s">
        <v>761</v>
      </c>
      <c r="B34" s="17">
        <v>333.55</v>
      </c>
    </row>
    <row r="35" spans="1:2" x14ac:dyDescent="0.2">
      <c r="A35" t="s">
        <v>761</v>
      </c>
      <c r="B35" s="17">
        <v>11449.89</v>
      </c>
    </row>
    <row r="36" spans="1:2" x14ac:dyDescent="0.2">
      <c r="A36" t="s">
        <v>775</v>
      </c>
      <c r="B36" s="17">
        <v>12534.06</v>
      </c>
    </row>
    <row r="37" spans="1:2" x14ac:dyDescent="0.2">
      <c r="B37" s="17"/>
    </row>
    <row r="38" spans="1:2" x14ac:dyDescent="0.2">
      <c r="A38" t="s">
        <v>112</v>
      </c>
      <c r="B38" s="17">
        <f>SUM(B34:B37)</f>
        <v>24317.5</v>
      </c>
    </row>
    <row r="39" spans="1:2" x14ac:dyDescent="0.2">
      <c r="B39" s="17"/>
    </row>
    <row r="40" spans="1:2" x14ac:dyDescent="0.2">
      <c r="A40" s="141" t="s">
        <v>399</v>
      </c>
      <c r="B40" s="17"/>
    </row>
    <row r="41" spans="1:2" x14ac:dyDescent="0.2">
      <c r="B41" s="17"/>
    </row>
    <row r="42" spans="1:2" x14ac:dyDescent="0.2">
      <c r="A42" t="s">
        <v>741</v>
      </c>
      <c r="B42" s="17">
        <v>48.29</v>
      </c>
    </row>
    <row r="43" spans="1:2" x14ac:dyDescent="0.2">
      <c r="A43" t="s">
        <v>454</v>
      </c>
      <c r="B43" s="17">
        <v>203.62</v>
      </c>
    </row>
    <row r="44" spans="1:2" x14ac:dyDescent="0.2">
      <c r="A44" t="s">
        <v>759</v>
      </c>
      <c r="B44" s="17">
        <v>1524.11</v>
      </c>
    </row>
    <row r="45" spans="1:2" x14ac:dyDescent="0.2">
      <c r="A45" t="s">
        <v>760</v>
      </c>
      <c r="B45" s="17">
        <v>343.39</v>
      </c>
    </row>
    <row r="46" spans="1:2" x14ac:dyDescent="0.2">
      <c r="A46" t="s">
        <v>475</v>
      </c>
      <c r="B46" s="17">
        <v>2011.72</v>
      </c>
    </row>
    <row r="47" spans="1:2" x14ac:dyDescent="0.2">
      <c r="A47" t="s">
        <v>625</v>
      </c>
      <c r="B47" s="17">
        <v>608.82000000000005</v>
      </c>
    </row>
    <row r="48" spans="1:2" x14ac:dyDescent="0.2">
      <c r="A48" t="s">
        <v>614</v>
      </c>
      <c r="B48" s="17">
        <v>1094.4000000000001</v>
      </c>
    </row>
    <row r="49" spans="1:2" x14ac:dyDescent="0.2">
      <c r="B49" s="17"/>
    </row>
    <row r="50" spans="1:2" x14ac:dyDescent="0.2">
      <c r="A50" s="141" t="s">
        <v>767</v>
      </c>
      <c r="B50" s="17"/>
    </row>
    <row r="51" spans="1:2" x14ac:dyDescent="0.2">
      <c r="A51" s="141"/>
      <c r="B51" s="17"/>
    </row>
    <row r="52" spans="1:2" x14ac:dyDescent="0.2">
      <c r="A52" s="20" t="s">
        <v>768</v>
      </c>
      <c r="B52" s="17">
        <v>57.33</v>
      </c>
    </row>
    <row r="53" spans="1:2" x14ac:dyDescent="0.2">
      <c r="A53" s="20" t="s">
        <v>769</v>
      </c>
      <c r="B53" s="17">
        <v>322.58999999999997</v>
      </c>
    </row>
    <row r="54" spans="1:2" x14ac:dyDescent="0.2">
      <c r="A54" s="20" t="s">
        <v>770</v>
      </c>
      <c r="B54" s="17">
        <v>330.88</v>
      </c>
    </row>
    <row r="55" spans="1:2" x14ac:dyDescent="0.2">
      <c r="A55" s="20" t="s">
        <v>771</v>
      </c>
      <c r="B55" s="17">
        <v>259.5</v>
      </c>
    </row>
    <row r="56" spans="1:2" x14ac:dyDescent="0.2">
      <c r="A56" s="20" t="s">
        <v>772</v>
      </c>
      <c r="B56" s="17">
        <v>191.35</v>
      </c>
    </row>
    <row r="57" spans="1:2" x14ac:dyDescent="0.2">
      <c r="A57" s="20"/>
      <c r="B57" s="17"/>
    </row>
    <row r="58" spans="1:2" x14ac:dyDescent="0.2">
      <c r="A58" t="s">
        <v>112</v>
      </c>
      <c r="B58" s="17">
        <f>SUM(B42:B57)</f>
        <v>6996</v>
      </c>
    </row>
    <row r="59" spans="1:2" x14ac:dyDescent="0.2">
      <c r="B59" s="17"/>
    </row>
    <row r="60" spans="1:2" x14ac:dyDescent="0.2">
      <c r="B60" s="17">
        <f>B38-B58</f>
        <v>17321.5</v>
      </c>
    </row>
    <row r="61" spans="1:2" x14ac:dyDescent="0.2">
      <c r="B61" s="17"/>
    </row>
    <row r="62" spans="1:2" x14ac:dyDescent="0.2">
      <c r="A62" t="s">
        <v>766</v>
      </c>
      <c r="B62" s="17">
        <f>C29-B60</f>
        <v>0</v>
      </c>
    </row>
  </sheetData>
  <phoneticPr fontId="0" type="noConversion"/>
  <printOptions horizontalCentered="1"/>
  <pageMargins left="0.75" right="0.75" top="0.53" bottom="0.26" header="0.5" footer="0.5"/>
  <pageSetup scale="9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20"/>
  <sheetViews>
    <sheetView workbookViewId="0">
      <selection activeCell="A18" sqref="A18"/>
    </sheetView>
  </sheetViews>
  <sheetFormatPr defaultRowHeight="12.75" x14ac:dyDescent="0.2"/>
  <cols>
    <col min="1" max="1" width="43.140625" customWidth="1"/>
    <col min="2" max="2" width="11" customWidth="1"/>
    <col min="3" max="3" width="23.85546875" customWidth="1"/>
  </cols>
  <sheetData>
    <row r="1" spans="1:3" ht="26.25" customHeight="1" x14ac:dyDescent="0.2">
      <c r="A1" s="70" t="s">
        <v>3</v>
      </c>
      <c r="B1" s="65"/>
      <c r="C1" s="65"/>
    </row>
    <row r="2" spans="1:3" ht="23.25" customHeight="1" x14ac:dyDescent="0.2">
      <c r="A2" s="70" t="s">
        <v>443</v>
      </c>
      <c r="B2" s="65"/>
      <c r="C2" s="65"/>
    </row>
    <row r="3" spans="1:3" ht="43.5" customHeight="1" x14ac:dyDescent="0.25">
      <c r="A3" s="126" t="str">
        <f>CONCATENATE("MOTOR  FUEL  TAX  DISTRIBUTED  IN  THE  MONTH  OF  ",ReportMonth)</f>
        <v>MOTOR  FUEL  TAX  DISTRIBUTED  IN  THE  MONTH  OF  MAY 2004</v>
      </c>
      <c r="B3" s="65"/>
      <c r="C3" s="65"/>
    </row>
    <row r="4" spans="1:3" ht="54" customHeight="1" x14ac:dyDescent="0.2">
      <c r="A4" s="62" t="s">
        <v>323</v>
      </c>
      <c r="B4" s="62"/>
      <c r="C4" s="75">
        <f>COUNTYTOTAL</f>
        <v>13541545.09</v>
      </c>
    </row>
    <row r="5" spans="1:3" ht="31.5" customHeight="1" x14ac:dyDescent="0.2">
      <c r="A5" s="62" t="s">
        <v>324</v>
      </c>
      <c r="B5" s="62"/>
      <c r="C5" s="75" t="e">
        <f>NETAV</f>
        <v>#REF!</v>
      </c>
    </row>
    <row r="6" spans="1:3" ht="31.5" customHeight="1" x14ac:dyDescent="0.2">
      <c r="A6" s="62" t="s">
        <v>325</v>
      </c>
      <c r="B6" s="62"/>
      <c r="C6" s="20"/>
    </row>
    <row r="7" spans="1:3" ht="31.5" customHeight="1" x14ac:dyDescent="0.2">
      <c r="A7" s="69" t="s">
        <v>326</v>
      </c>
      <c r="B7" s="62"/>
      <c r="C7" s="75">
        <f>NET12.65</f>
        <v>11397406.789999999</v>
      </c>
    </row>
    <row r="8" spans="1:3" ht="31.5" customHeight="1" x14ac:dyDescent="0.2">
      <c r="A8" s="62" t="s">
        <v>327</v>
      </c>
      <c r="B8" s="62"/>
      <c r="C8" s="75">
        <f>_NET5</f>
        <v>4501919.8499999996</v>
      </c>
    </row>
    <row r="9" spans="1:3" ht="31.5" customHeight="1" x14ac:dyDescent="0.2">
      <c r="A9" s="62" t="s">
        <v>328</v>
      </c>
      <c r="B9" s="62"/>
      <c r="C9" s="75"/>
    </row>
    <row r="10" spans="1:3" ht="31.5" customHeight="1" x14ac:dyDescent="0.2">
      <c r="A10" s="62" t="s">
        <v>329</v>
      </c>
      <c r="B10" s="62"/>
      <c r="C10" s="75">
        <f>_JET1</f>
        <v>413722.43</v>
      </c>
    </row>
    <row r="11" spans="1:3" ht="31.5" customHeight="1" x14ac:dyDescent="0.2">
      <c r="A11" s="62" t="s">
        <v>330</v>
      </c>
      <c r="B11" s="62"/>
      <c r="C11" s="75">
        <f>_JET2</f>
        <v>778706.23</v>
      </c>
    </row>
    <row r="12" spans="1:3" ht="31.5" customHeight="1" x14ac:dyDescent="0.2">
      <c r="A12" s="62" t="s">
        <v>331</v>
      </c>
      <c r="B12" s="62"/>
      <c r="C12" s="75">
        <f>ADMINFEES</f>
        <v>55354.39</v>
      </c>
    </row>
    <row r="13" spans="1:3" ht="31.5" customHeight="1" x14ac:dyDescent="0.2">
      <c r="A13" s="62" t="s">
        <v>332</v>
      </c>
      <c r="B13" s="62"/>
      <c r="C13" s="75">
        <f>CIVILA</f>
        <v>4284.99</v>
      </c>
    </row>
    <row r="14" spans="1:3" ht="31.5" customHeight="1" x14ac:dyDescent="0.2">
      <c r="A14" s="62" t="s">
        <v>333</v>
      </c>
      <c r="B14" s="62"/>
      <c r="C14" s="75">
        <f>REFUNDS</f>
        <v>165710.5</v>
      </c>
    </row>
    <row r="15" spans="1:3" ht="31.5" customHeight="1" x14ac:dyDescent="0.2">
      <c r="A15" s="62" t="s">
        <v>334</v>
      </c>
      <c r="B15" s="62"/>
      <c r="C15" s="75">
        <f>PARKWILD</f>
        <v>258567.44</v>
      </c>
    </row>
    <row r="16" spans="1:3" ht="31.5" customHeight="1" x14ac:dyDescent="0.2">
      <c r="A16" s="62" t="s">
        <v>320</v>
      </c>
      <c r="B16" s="62"/>
      <c r="C16" s="75">
        <f>CUFEE</f>
        <v>1103028.81</v>
      </c>
    </row>
    <row r="17" spans="1:3" ht="31.5" customHeight="1" x14ac:dyDescent="0.2">
      <c r="A17" s="62" t="s">
        <v>321</v>
      </c>
      <c r="B17" s="62"/>
      <c r="C17" s="75">
        <f>INSFEE</f>
        <v>59806.31</v>
      </c>
    </row>
    <row r="18" spans="1:3" ht="42.75" customHeight="1" x14ac:dyDescent="0.2">
      <c r="A18" s="62" t="s">
        <v>668</v>
      </c>
      <c r="B18" s="62"/>
      <c r="C18" s="75">
        <f>LICFEE</f>
        <v>65678.12</v>
      </c>
    </row>
    <row r="19" spans="1:3" ht="42.75" customHeight="1" thickBot="1" x14ac:dyDescent="0.3">
      <c r="A19" s="97" t="s">
        <v>335</v>
      </c>
      <c r="B19" s="20"/>
      <c r="C19" s="136" t="e">
        <f>SUM(C4:C18)</f>
        <v>#REF!</v>
      </c>
    </row>
    <row r="20" spans="1:3" x14ac:dyDescent="0.2">
      <c r="A20" s="18"/>
      <c r="B20" s="18"/>
      <c r="C20" s="78"/>
    </row>
  </sheetData>
  <phoneticPr fontId="0" type="noConversion"/>
  <printOptions horizontalCentered="1"/>
  <pageMargins left="0.71" right="0.75" top="0.53" bottom="0.25" header="0.5" footer="0.5"/>
  <pageSetup scale="8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topLeftCell="A9" workbookViewId="0">
      <pane xSplit="3300" ySplit="1365" topLeftCell="C127" activePane="bottomRight"/>
      <selection activeCell="A9" sqref="A9"/>
      <selection pane="topRight" activeCell="B9" sqref="B9"/>
      <selection pane="bottomLeft" activeCell="A13" sqref="A13"/>
      <selection pane="bottomRight" activeCell="C128" sqref="C128"/>
    </sheetView>
  </sheetViews>
  <sheetFormatPr defaultRowHeight="12.75" x14ac:dyDescent="0.2"/>
  <cols>
    <col min="1" max="1" width="27.7109375" customWidth="1"/>
    <col min="2" max="2" width="14.7109375" customWidth="1"/>
    <col min="3" max="7" width="14" customWidth="1"/>
    <col min="8" max="9" width="16.85546875" customWidth="1"/>
    <col min="10" max="11" width="16.5703125" customWidth="1"/>
    <col min="12" max="12" width="17" customWidth="1"/>
    <col min="13" max="13" width="10.28515625" hidden="1" customWidth="1"/>
    <col min="14" max="14" width="10.7109375" customWidth="1"/>
    <col min="15" max="15" width="13.42578125" customWidth="1"/>
    <col min="16" max="16" width="11.140625" customWidth="1"/>
    <col min="17" max="17" width="11.7109375" customWidth="1"/>
    <col min="18" max="18" width="10" customWidth="1"/>
    <col min="19" max="19" width="9.7109375" customWidth="1"/>
    <col min="20" max="20" width="12.5703125" customWidth="1"/>
    <col min="21" max="21" width="8.42578125" customWidth="1"/>
    <col min="22" max="22" width="11.140625" customWidth="1"/>
    <col min="23" max="23" width="9" customWidth="1"/>
    <col min="24" max="24" width="8.7109375" customWidth="1"/>
    <col min="25" max="25" width="9.7109375" customWidth="1"/>
    <col min="27" max="27" width="9.7109375" customWidth="1"/>
    <col min="28" max="28" width="10.5703125" customWidth="1"/>
    <col min="29" max="29" width="10" customWidth="1"/>
    <col min="30" max="30" width="10.7109375" customWidth="1"/>
    <col min="31" max="31" width="11.7109375" customWidth="1"/>
    <col min="32" max="33" width="10.7109375" customWidth="1"/>
    <col min="42" max="42" width="12.85546875" customWidth="1"/>
    <col min="43" max="43" width="17.42578125" customWidth="1"/>
    <col min="44" max="44" width="12.42578125" customWidth="1"/>
  </cols>
  <sheetData>
    <row r="1" spans="1:44" ht="15.75" x14ac:dyDescent="0.25">
      <c r="A1" s="63" t="s">
        <v>630</v>
      </c>
      <c r="B1" s="62"/>
      <c r="C1" s="62"/>
      <c r="D1" s="62"/>
      <c r="E1" s="62"/>
      <c r="F1" s="62"/>
      <c r="G1" s="62"/>
      <c r="J1" s="62"/>
      <c r="K1" s="62"/>
      <c r="L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P1" t="s">
        <v>1</v>
      </c>
      <c r="AQ1" s="82" t="s">
        <v>563</v>
      </c>
      <c r="AR1" s="81"/>
    </row>
    <row r="2" spans="1:44" ht="15.75" x14ac:dyDescent="0.25">
      <c r="A2" s="111" t="str">
        <f>ReportMonth</f>
        <v>MAY 2004</v>
      </c>
      <c r="H2" s="62"/>
      <c r="I2" s="62"/>
      <c r="J2" s="62"/>
      <c r="K2" s="6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P2" t="s">
        <v>2</v>
      </c>
      <c r="AQ2" s="82" t="s">
        <v>563</v>
      </c>
    </row>
    <row r="3" spans="1:44" ht="15" x14ac:dyDescent="0.2">
      <c r="A3" s="86" t="s">
        <v>3</v>
      </c>
      <c r="B3" s="86"/>
      <c r="C3" s="43"/>
      <c r="D3" s="43"/>
      <c r="E3" s="43"/>
      <c r="F3" s="43"/>
      <c r="G3" s="43"/>
      <c r="H3" s="86"/>
      <c r="I3" s="86"/>
      <c r="J3" s="86"/>
      <c r="K3" s="86"/>
      <c r="L3" s="4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Q3" s="82"/>
    </row>
    <row r="4" spans="1:44" ht="15" x14ac:dyDescent="0.2">
      <c r="A4" s="86" t="s">
        <v>441</v>
      </c>
      <c r="B4" s="86"/>
      <c r="C4" s="43"/>
      <c r="D4" s="43"/>
      <c r="E4" s="43"/>
      <c r="F4" s="43"/>
      <c r="G4" s="43"/>
      <c r="H4" s="86"/>
      <c r="I4" s="86"/>
      <c r="J4" s="86"/>
      <c r="K4" s="86"/>
      <c r="L4" s="4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Q4" s="82"/>
    </row>
    <row r="5" spans="1:44" ht="15" x14ac:dyDescent="0.2">
      <c r="A5" s="86" t="s">
        <v>4</v>
      </c>
      <c r="B5" s="43"/>
      <c r="C5" s="86"/>
      <c r="D5" s="86"/>
      <c r="E5" s="86"/>
      <c r="F5" s="86"/>
      <c r="G5" s="86"/>
      <c r="H5" s="86"/>
      <c r="I5" s="86"/>
      <c r="J5" s="86"/>
      <c r="K5" s="86"/>
      <c r="L5" s="42"/>
      <c r="M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7" spans="1:44" ht="15.75" x14ac:dyDescent="0.25">
      <c r="A7" s="112" t="str">
        <f>CONCATENATE("EXCISE TAX COLLECTED IN ",ReportMonth," FOR ",ActivityMonth," FUEL TRANSACTIONS")</f>
        <v>EXCISE TAX COLLECTED IN MAY 2004 FOR MAY 2004 FUEL TRANSACTIONS</v>
      </c>
      <c r="B7" s="43"/>
      <c r="C7" s="42"/>
      <c r="D7" s="42"/>
      <c r="E7" s="42"/>
      <c r="F7" s="42"/>
      <c r="G7" s="42"/>
      <c r="H7" s="42"/>
      <c r="I7" s="42"/>
      <c r="J7" s="42"/>
      <c r="K7" s="42"/>
      <c r="L7" s="42"/>
      <c r="M7" s="1"/>
    </row>
    <row r="8" spans="1:44" ht="18" customHeight="1" x14ac:dyDescent="0.2"/>
    <row r="9" spans="1:44" x14ac:dyDescent="0.2">
      <c r="A9" s="1"/>
      <c r="B9" s="5" t="s">
        <v>6</v>
      </c>
      <c r="C9" s="5" t="s">
        <v>6</v>
      </c>
      <c r="D9" s="5" t="s">
        <v>6</v>
      </c>
      <c r="E9" s="5" t="s">
        <v>6</v>
      </c>
      <c r="F9" s="5" t="s">
        <v>603</v>
      </c>
      <c r="G9" s="5" t="s">
        <v>604</v>
      </c>
      <c r="H9" s="5" t="s">
        <v>7</v>
      </c>
      <c r="I9" s="5" t="s">
        <v>7</v>
      </c>
      <c r="J9" s="5" t="s">
        <v>7</v>
      </c>
      <c r="K9" s="5" t="s">
        <v>7</v>
      </c>
      <c r="M9" s="1"/>
    </row>
    <row r="10" spans="1:44" x14ac:dyDescent="0.2">
      <c r="A10" s="1"/>
      <c r="B10" s="5" t="s">
        <v>5</v>
      </c>
      <c r="C10" s="5" t="s">
        <v>5</v>
      </c>
      <c r="D10" s="5" t="s">
        <v>5</v>
      </c>
      <c r="E10" s="5" t="s">
        <v>5</v>
      </c>
      <c r="F10" s="5" t="s">
        <v>5</v>
      </c>
      <c r="G10" s="5" t="s">
        <v>5</v>
      </c>
      <c r="H10" s="5" t="s">
        <v>593</v>
      </c>
      <c r="I10" s="5" t="s">
        <v>592</v>
      </c>
      <c r="J10" s="5" t="s">
        <v>591</v>
      </c>
      <c r="K10" s="5" t="s">
        <v>594</v>
      </c>
      <c r="L10" s="5" t="s">
        <v>11</v>
      </c>
      <c r="M10" s="1"/>
    </row>
    <row r="11" spans="1:44" s="20" customFormat="1" ht="15" customHeight="1" thickBot="1" x14ac:dyDescent="0.25">
      <c r="A11" s="80" t="s">
        <v>602</v>
      </c>
      <c r="B11" s="79" t="s">
        <v>593</v>
      </c>
      <c r="C11" s="79" t="s">
        <v>592</v>
      </c>
      <c r="D11" s="79" t="s">
        <v>591</v>
      </c>
      <c r="E11" s="79" t="s">
        <v>594</v>
      </c>
      <c r="F11" s="79" t="s">
        <v>595</v>
      </c>
      <c r="G11" s="79" t="s">
        <v>595</v>
      </c>
      <c r="H11" s="79" t="s">
        <v>596</v>
      </c>
      <c r="I11" s="79" t="s">
        <v>599</v>
      </c>
      <c r="J11" s="79" t="s">
        <v>597</v>
      </c>
      <c r="K11" s="79" t="s">
        <v>598</v>
      </c>
      <c r="L11" s="110" t="s">
        <v>20</v>
      </c>
      <c r="M11" s="18"/>
    </row>
    <row r="12" spans="1:44" s="20" customFormat="1" ht="15" customHeight="1" x14ac:dyDescent="0.2">
      <c r="A12" s="291" t="s">
        <v>601</v>
      </c>
      <c r="B12" s="290"/>
      <c r="C12" s="290"/>
      <c r="D12" s="290"/>
      <c r="E12" s="290"/>
      <c r="F12" s="290"/>
      <c r="G12" s="290"/>
      <c r="H12" s="289">
        <v>0.1862</v>
      </c>
      <c r="I12" s="289">
        <v>0.20580000000000001</v>
      </c>
      <c r="J12" s="289">
        <v>0.2646</v>
      </c>
      <c r="K12" s="289">
        <v>0.21560000000000001</v>
      </c>
      <c r="L12" s="290"/>
      <c r="M12" s="18"/>
    </row>
    <row r="13" spans="1:44" ht="12.75" customHeight="1" x14ac:dyDescent="0.2">
      <c r="A13" s="1" t="s">
        <v>39</v>
      </c>
      <c r="B13" s="7"/>
      <c r="C13" s="7"/>
      <c r="D13" s="7">
        <v>194752</v>
      </c>
      <c r="E13" s="7"/>
      <c r="F13" s="7">
        <v>1447202</v>
      </c>
      <c r="G13" s="7">
        <v>1502889</v>
      </c>
      <c r="H13" s="2">
        <f t="shared" ref="H13:H105" si="0">B13*0.1862</f>
        <v>0</v>
      </c>
      <c r="I13" s="2">
        <f t="shared" ref="I13:I105" si="1">C13*0.2058</f>
        <v>0</v>
      </c>
      <c r="J13" s="2">
        <f>D13*0.2646-8617.05</f>
        <v>42914.33</v>
      </c>
      <c r="K13" s="2">
        <f t="shared" ref="K13:K105" si="2">E13*0.2156</f>
        <v>0</v>
      </c>
      <c r="L13" s="2">
        <f t="shared" ref="L13:L105" si="3">+H13+I13+J13+K13</f>
        <v>42914.33</v>
      </c>
      <c r="M13" s="1"/>
    </row>
    <row r="14" spans="1:44" x14ac:dyDescent="0.2">
      <c r="A14" s="1" t="s">
        <v>343</v>
      </c>
      <c r="B14" s="7"/>
      <c r="C14" s="7"/>
      <c r="D14" s="7">
        <v>188432</v>
      </c>
      <c r="E14" s="7"/>
      <c r="F14" s="7">
        <v>0</v>
      </c>
      <c r="G14" s="7">
        <v>0</v>
      </c>
      <c r="H14" s="2">
        <f t="shared" si="0"/>
        <v>0</v>
      </c>
      <c r="I14" s="2">
        <f t="shared" si="1"/>
        <v>0</v>
      </c>
      <c r="J14" s="2">
        <f>D14*0.2646-1220.98</f>
        <v>48638.13</v>
      </c>
      <c r="K14" s="2">
        <f t="shared" si="2"/>
        <v>0</v>
      </c>
      <c r="L14" s="2">
        <f t="shared" si="3"/>
        <v>48638.13</v>
      </c>
      <c r="M14" s="1"/>
    </row>
    <row r="15" spans="1:44" x14ac:dyDescent="0.2">
      <c r="A15" s="1" t="s">
        <v>615</v>
      </c>
      <c r="B15" s="7"/>
      <c r="C15" s="7"/>
      <c r="D15" s="7">
        <v>0</v>
      </c>
      <c r="E15" s="7"/>
      <c r="F15" s="7">
        <v>29491</v>
      </c>
      <c r="G15" s="7">
        <v>29491</v>
      </c>
      <c r="H15" s="2">
        <f>B15*0.1862</f>
        <v>0</v>
      </c>
      <c r="I15" s="2">
        <f>C15*0.2058</f>
        <v>0</v>
      </c>
      <c r="J15" s="2">
        <f>D15*0.2646</f>
        <v>0</v>
      </c>
      <c r="K15" s="2">
        <f>E15*0.2156</f>
        <v>0</v>
      </c>
      <c r="L15" s="2">
        <f>+H15+I15+J15+K15</f>
        <v>0</v>
      </c>
      <c r="M15" s="1"/>
    </row>
    <row r="16" spans="1:44" x14ac:dyDescent="0.2">
      <c r="A16" s="1" t="s">
        <v>616</v>
      </c>
      <c r="B16" s="7"/>
      <c r="C16" s="7"/>
      <c r="D16" s="7">
        <v>3417</v>
      </c>
      <c r="E16" s="7"/>
      <c r="F16" s="7">
        <v>0</v>
      </c>
      <c r="G16" s="7">
        <v>0</v>
      </c>
      <c r="H16" s="2">
        <f>B16*0.1862</f>
        <v>0</v>
      </c>
      <c r="I16" s="2">
        <f>C16*0.2058</f>
        <v>0</v>
      </c>
      <c r="J16" s="2">
        <f>D16*0.2646-73.93</f>
        <v>830.21</v>
      </c>
      <c r="K16" s="2">
        <f>E16*0.2156</f>
        <v>0</v>
      </c>
      <c r="L16" s="2">
        <f>+H16+I16+J16+K16</f>
        <v>830.21</v>
      </c>
      <c r="M16" s="1"/>
    </row>
    <row r="17" spans="1:13" x14ac:dyDescent="0.2">
      <c r="A17" s="1" t="s">
        <v>728</v>
      </c>
      <c r="B17" s="7"/>
      <c r="C17" s="7"/>
      <c r="D17" s="7"/>
      <c r="E17" s="7"/>
      <c r="F17" s="7"/>
      <c r="G17" s="7"/>
      <c r="H17" s="2">
        <f>B17*0.1862</f>
        <v>0</v>
      </c>
      <c r="I17" s="2">
        <f>C17*0.2058</f>
        <v>0</v>
      </c>
      <c r="J17" s="2">
        <f>D17*0.2646+0.12</f>
        <v>0.12</v>
      </c>
      <c r="K17" s="2">
        <f>E17*0.2156</f>
        <v>0</v>
      </c>
      <c r="L17" s="2">
        <f>+H17+I17+J17+K17</f>
        <v>0.12</v>
      </c>
      <c r="M17" s="1"/>
    </row>
    <row r="18" spans="1:13" x14ac:dyDescent="0.2">
      <c r="A18" s="1" t="s">
        <v>701</v>
      </c>
      <c r="B18" s="7"/>
      <c r="C18" s="7"/>
      <c r="D18" s="7">
        <v>18471</v>
      </c>
      <c r="E18" s="7"/>
      <c r="F18" s="7">
        <v>0</v>
      </c>
      <c r="G18" s="7">
        <v>0</v>
      </c>
      <c r="H18" s="2">
        <f>B18*0.1862</f>
        <v>0</v>
      </c>
      <c r="I18" s="2">
        <f>C18*0.2058</f>
        <v>0</v>
      </c>
      <c r="J18" s="2">
        <f>D18*0.2646-0.01</f>
        <v>4887.42</v>
      </c>
      <c r="K18" s="2">
        <f>E18*0.2156</f>
        <v>0</v>
      </c>
      <c r="L18" s="2">
        <f>+H18+I18+J18+K18</f>
        <v>4887.42</v>
      </c>
      <c r="M18" s="1"/>
    </row>
    <row r="19" spans="1:13" x14ac:dyDescent="0.2">
      <c r="A19" s="1" t="s">
        <v>41</v>
      </c>
      <c r="B19" s="7"/>
      <c r="C19" s="7"/>
      <c r="D19" s="7">
        <v>862</v>
      </c>
      <c r="E19" s="7"/>
      <c r="F19" s="7">
        <v>120</v>
      </c>
      <c r="G19" s="7">
        <v>120</v>
      </c>
      <c r="H19" s="2">
        <f t="shared" si="0"/>
        <v>0</v>
      </c>
      <c r="I19" s="2">
        <f t="shared" si="1"/>
        <v>0</v>
      </c>
      <c r="J19" s="2">
        <f>D19*0.2646-0.01</f>
        <v>228.08</v>
      </c>
      <c r="K19" s="2">
        <f t="shared" si="2"/>
        <v>0</v>
      </c>
      <c r="L19" s="2">
        <f t="shared" si="3"/>
        <v>228.08</v>
      </c>
      <c r="M19" s="1"/>
    </row>
    <row r="20" spans="1:13" x14ac:dyDescent="0.2">
      <c r="A20" s="1" t="s">
        <v>617</v>
      </c>
      <c r="B20" s="7"/>
      <c r="C20" s="7"/>
      <c r="D20" s="7">
        <v>30261</v>
      </c>
      <c r="E20" s="7"/>
      <c r="F20" s="7">
        <v>7601</v>
      </c>
      <c r="G20" s="7">
        <v>7601</v>
      </c>
      <c r="H20" s="2">
        <f>B20*0.1862</f>
        <v>0</v>
      </c>
      <c r="I20" s="2">
        <f>C20*0.2058</f>
        <v>0</v>
      </c>
      <c r="J20" s="2">
        <f>D20*0.2646-0.95</f>
        <v>8006.11</v>
      </c>
      <c r="K20" s="2">
        <f>E20*0.2156</f>
        <v>0</v>
      </c>
      <c r="L20" s="2">
        <f>+H20+I20+J20+K20</f>
        <v>8006.11</v>
      </c>
      <c r="M20" s="1"/>
    </row>
    <row r="21" spans="1:13" x14ac:dyDescent="0.2">
      <c r="A21" s="1" t="s">
        <v>729</v>
      </c>
      <c r="B21" s="7"/>
      <c r="C21" s="7"/>
      <c r="D21" s="7"/>
      <c r="E21" s="7"/>
      <c r="F21" s="7"/>
      <c r="G21" s="7"/>
      <c r="H21" s="2">
        <f>B21*0.1862</f>
        <v>0</v>
      </c>
      <c r="I21" s="2">
        <f>C21*0.2058</f>
        <v>0</v>
      </c>
      <c r="J21" s="2">
        <f>D21*0.2646+0.95</f>
        <v>0.95</v>
      </c>
      <c r="K21" s="2">
        <f>E21*0.2156</f>
        <v>0</v>
      </c>
      <c r="L21" s="2">
        <f>+H21+I21+J21+K21</f>
        <v>0.95</v>
      </c>
      <c r="M21" s="1"/>
    </row>
    <row r="22" spans="1:13" x14ac:dyDescent="0.2">
      <c r="A22" s="1" t="s">
        <v>445</v>
      </c>
      <c r="B22" s="7"/>
      <c r="C22" s="7">
        <v>-107</v>
      </c>
      <c r="D22" s="7">
        <v>3602204</v>
      </c>
      <c r="E22" s="7"/>
      <c r="F22" s="7">
        <v>2284777</v>
      </c>
      <c r="G22" s="7">
        <v>2284777</v>
      </c>
      <c r="H22" s="2">
        <f>B22*0.1862</f>
        <v>0</v>
      </c>
      <c r="I22" s="2">
        <f>C22*0.2058</f>
        <v>-22.02</v>
      </c>
      <c r="J22" s="2">
        <f>D22*0.2646</f>
        <v>953143.18</v>
      </c>
      <c r="K22" s="2">
        <f>E22*0.2156</f>
        <v>0</v>
      </c>
      <c r="L22" s="2">
        <f>+H22+I22+J22+K22</f>
        <v>953121.16</v>
      </c>
      <c r="M22" s="1"/>
    </row>
    <row r="23" spans="1:13" x14ac:dyDescent="0.2">
      <c r="A23" s="1" t="s">
        <v>446</v>
      </c>
      <c r="B23" s="7"/>
      <c r="C23" s="7"/>
      <c r="D23" s="7">
        <v>89446</v>
      </c>
      <c r="E23" s="7"/>
      <c r="F23" s="7">
        <v>2776</v>
      </c>
      <c r="G23" s="7">
        <v>2776</v>
      </c>
      <c r="H23" s="2">
        <f t="shared" si="0"/>
        <v>0</v>
      </c>
      <c r="I23" s="2">
        <f t="shared" si="1"/>
        <v>0</v>
      </c>
      <c r="J23" s="2">
        <f>D23*0.2646</f>
        <v>23667.41</v>
      </c>
      <c r="K23" s="2">
        <f t="shared" si="2"/>
        <v>0</v>
      </c>
      <c r="L23" s="2">
        <f t="shared" si="3"/>
        <v>23667.41</v>
      </c>
      <c r="M23" s="1"/>
    </row>
    <row r="24" spans="1:13" x14ac:dyDescent="0.2">
      <c r="A24" s="1" t="s">
        <v>347</v>
      </c>
      <c r="B24" s="7"/>
      <c r="C24" s="7"/>
      <c r="D24" s="7">
        <v>432929</v>
      </c>
      <c r="E24" s="7"/>
      <c r="F24" s="7">
        <v>908172</v>
      </c>
      <c r="G24" s="7">
        <v>908172</v>
      </c>
      <c r="H24" s="2">
        <f t="shared" si="0"/>
        <v>0</v>
      </c>
      <c r="I24" s="2">
        <f t="shared" si="1"/>
        <v>0</v>
      </c>
      <c r="J24" s="2">
        <f>D24*0.2646</f>
        <v>114553.01</v>
      </c>
      <c r="K24" s="2">
        <f t="shared" si="2"/>
        <v>0</v>
      </c>
      <c r="L24" s="2">
        <f t="shared" si="3"/>
        <v>114553.01</v>
      </c>
      <c r="M24" s="1"/>
    </row>
    <row r="25" spans="1:13" s="20" customFormat="1" x14ac:dyDescent="0.2">
      <c r="A25" s="18" t="s">
        <v>493</v>
      </c>
      <c r="B25" s="245"/>
      <c r="C25" s="245"/>
      <c r="D25" s="245">
        <v>6805</v>
      </c>
      <c r="E25" s="245"/>
      <c r="F25" s="245">
        <v>1865</v>
      </c>
      <c r="G25" s="245">
        <v>1865</v>
      </c>
      <c r="H25" s="2">
        <f t="shared" si="0"/>
        <v>0</v>
      </c>
      <c r="I25" s="2">
        <f t="shared" si="1"/>
        <v>0</v>
      </c>
      <c r="J25" s="2">
        <f>D25*0.2646</f>
        <v>1800.6</v>
      </c>
      <c r="K25" s="2">
        <f t="shared" si="2"/>
        <v>0</v>
      </c>
      <c r="L25" s="2">
        <f t="shared" si="3"/>
        <v>1800.6</v>
      </c>
      <c r="M25" s="18"/>
    </row>
    <row r="26" spans="1:13" s="20" customFormat="1" x14ac:dyDescent="0.2">
      <c r="A26" s="1" t="s">
        <v>293</v>
      </c>
      <c r="B26" s="245"/>
      <c r="C26" s="245"/>
      <c r="D26" s="245">
        <v>558577</v>
      </c>
      <c r="E26" s="245"/>
      <c r="F26" s="245">
        <v>335636</v>
      </c>
      <c r="G26" s="245">
        <v>337363</v>
      </c>
      <c r="H26" s="2">
        <f t="shared" si="0"/>
        <v>0</v>
      </c>
      <c r="I26" s="2">
        <f t="shared" si="1"/>
        <v>0</v>
      </c>
      <c r="J26" s="2">
        <f>D26*0.2646+0.01</f>
        <v>147799.48000000001</v>
      </c>
      <c r="K26" s="2">
        <f t="shared" si="2"/>
        <v>0</v>
      </c>
      <c r="L26" s="2">
        <f t="shared" si="3"/>
        <v>147799.48000000001</v>
      </c>
      <c r="M26" s="18"/>
    </row>
    <row r="27" spans="1:13" x14ac:dyDescent="0.2">
      <c r="A27" s="1" t="s">
        <v>42</v>
      </c>
      <c r="B27" s="7"/>
      <c r="C27" s="7"/>
      <c r="D27" s="7">
        <v>235656</v>
      </c>
      <c r="E27" s="7"/>
      <c r="F27" s="7">
        <v>232798</v>
      </c>
      <c r="G27" s="7">
        <v>234232</v>
      </c>
      <c r="H27" s="2">
        <f t="shared" si="0"/>
        <v>0</v>
      </c>
      <c r="I27" s="2">
        <f t="shared" si="1"/>
        <v>0</v>
      </c>
      <c r="J27" s="2">
        <f>D27*0.2646</f>
        <v>62354.58</v>
      </c>
      <c r="K27" s="2">
        <f t="shared" si="2"/>
        <v>0</v>
      </c>
      <c r="L27" s="2">
        <f t="shared" si="3"/>
        <v>62354.58</v>
      </c>
      <c r="M27" s="1"/>
    </row>
    <row r="28" spans="1:13" x14ac:dyDescent="0.2">
      <c r="A28" s="1" t="s">
        <v>447</v>
      </c>
      <c r="B28" s="7"/>
      <c r="C28" s="7"/>
      <c r="D28" s="7">
        <v>2913872</v>
      </c>
      <c r="E28" s="7">
        <v>90</v>
      </c>
      <c r="F28" s="7">
        <v>0</v>
      </c>
      <c r="G28" s="7">
        <v>0</v>
      </c>
      <c r="H28" s="2">
        <f t="shared" si="0"/>
        <v>0</v>
      </c>
      <c r="I28" s="2">
        <f t="shared" si="1"/>
        <v>0</v>
      </c>
      <c r="J28" s="2">
        <f>D28*0.2646-0.01</f>
        <v>771010.52</v>
      </c>
      <c r="K28" s="2">
        <f t="shared" si="2"/>
        <v>19.399999999999999</v>
      </c>
      <c r="L28" s="2">
        <f t="shared" si="3"/>
        <v>771029.92</v>
      </c>
      <c r="M28" s="1"/>
    </row>
    <row r="29" spans="1:13" x14ac:dyDescent="0.2">
      <c r="A29" s="1" t="s">
        <v>43</v>
      </c>
      <c r="B29" s="7"/>
      <c r="C29" s="7"/>
      <c r="D29" s="7">
        <v>1126666</v>
      </c>
      <c r="E29" s="7"/>
      <c r="F29" s="7">
        <v>696608</v>
      </c>
      <c r="G29" s="7">
        <v>0</v>
      </c>
      <c r="H29" s="2">
        <f t="shared" si="0"/>
        <v>0</v>
      </c>
      <c r="I29" s="2">
        <f t="shared" si="1"/>
        <v>0</v>
      </c>
      <c r="J29" s="2">
        <f>D29*0.2646</f>
        <v>298115.82</v>
      </c>
      <c r="K29" s="2">
        <f t="shared" si="2"/>
        <v>0</v>
      </c>
      <c r="L29" s="2">
        <f t="shared" si="3"/>
        <v>298115.82</v>
      </c>
      <c r="M29" s="1"/>
    </row>
    <row r="30" spans="1:13" x14ac:dyDescent="0.2">
      <c r="A30" s="1" t="s">
        <v>44</v>
      </c>
      <c r="B30" s="7"/>
      <c r="C30" s="7"/>
      <c r="D30" s="7">
        <v>21248</v>
      </c>
      <c r="E30" s="7"/>
      <c r="F30" s="7">
        <v>55347</v>
      </c>
      <c r="G30" s="7">
        <v>53057</v>
      </c>
      <c r="H30" s="2">
        <f t="shared" si="0"/>
        <v>0</v>
      </c>
      <c r="I30" s="2">
        <f t="shared" si="1"/>
        <v>0</v>
      </c>
      <c r="J30" s="2">
        <f>D30*0.2646</f>
        <v>5622.22</v>
      </c>
      <c r="K30" s="2">
        <f t="shared" si="2"/>
        <v>0</v>
      </c>
      <c r="L30" s="2">
        <f t="shared" si="3"/>
        <v>5622.22</v>
      </c>
      <c r="M30" s="1"/>
    </row>
    <row r="31" spans="1:13" x14ac:dyDescent="0.2">
      <c r="A31" s="18" t="s">
        <v>45</v>
      </c>
      <c r="B31" s="7"/>
      <c r="C31" s="7"/>
      <c r="D31" s="7">
        <v>74861</v>
      </c>
      <c r="E31" s="7"/>
      <c r="F31" s="7">
        <v>0</v>
      </c>
      <c r="G31" s="7">
        <v>0</v>
      </c>
      <c r="H31" s="2">
        <f t="shared" si="0"/>
        <v>0</v>
      </c>
      <c r="I31" s="2">
        <f t="shared" si="1"/>
        <v>0</v>
      </c>
      <c r="J31" s="2">
        <f>D31*0.2646</f>
        <v>19808.22</v>
      </c>
      <c r="K31" s="2">
        <f t="shared" si="2"/>
        <v>0</v>
      </c>
      <c r="L31" s="2">
        <f t="shared" si="3"/>
        <v>19808.22</v>
      </c>
      <c r="M31" s="1"/>
    </row>
    <row r="32" spans="1:13" x14ac:dyDescent="0.2">
      <c r="A32" s="1" t="s">
        <v>699</v>
      </c>
      <c r="B32" s="7"/>
      <c r="C32" s="7"/>
      <c r="D32" s="7">
        <v>1000</v>
      </c>
      <c r="E32" s="7"/>
      <c r="F32" s="7">
        <v>0</v>
      </c>
      <c r="G32" s="7">
        <v>0</v>
      </c>
      <c r="H32" s="2">
        <f t="shared" ref="H32:H37" si="4">B32*0.1862</f>
        <v>0</v>
      </c>
      <c r="I32" s="2">
        <f t="shared" ref="I32:I37" si="5">C32*0.2058</f>
        <v>0</v>
      </c>
      <c r="J32" s="2">
        <f>D32*0.2646</f>
        <v>264.60000000000002</v>
      </c>
      <c r="K32" s="2">
        <f t="shared" ref="K32:K37" si="6">E32*0.2156</f>
        <v>0</v>
      </c>
      <c r="L32" s="2">
        <f>+H32+I32+J32+K32</f>
        <v>264.60000000000002</v>
      </c>
      <c r="M32" s="1"/>
    </row>
    <row r="33" spans="1:13" x14ac:dyDescent="0.2">
      <c r="A33" s="1" t="s">
        <v>606</v>
      </c>
      <c r="B33" s="7"/>
      <c r="C33" s="7"/>
      <c r="D33" s="7">
        <v>27744</v>
      </c>
      <c r="E33" s="7"/>
      <c r="F33" s="7">
        <v>0</v>
      </c>
      <c r="G33" s="7">
        <v>123143</v>
      </c>
      <c r="H33" s="2">
        <f t="shared" si="4"/>
        <v>0</v>
      </c>
      <c r="I33" s="2">
        <f t="shared" si="5"/>
        <v>0</v>
      </c>
      <c r="J33" s="2">
        <f>D33*0.2646-0.01</f>
        <v>7341.05</v>
      </c>
      <c r="K33" s="2">
        <f t="shared" si="6"/>
        <v>0</v>
      </c>
      <c r="L33" s="2">
        <f>+H33+I33+J33+K33</f>
        <v>7341.05</v>
      </c>
      <c r="M33" s="1"/>
    </row>
    <row r="34" spans="1:13" x14ac:dyDescent="0.2">
      <c r="A34" s="1" t="s">
        <v>774</v>
      </c>
      <c r="B34" s="7"/>
      <c r="C34" s="7"/>
      <c r="D34" s="7"/>
      <c r="E34" s="7"/>
      <c r="F34" s="7"/>
      <c r="G34" s="7"/>
      <c r="H34" s="2">
        <f t="shared" si="4"/>
        <v>0</v>
      </c>
      <c r="I34" s="2">
        <f t="shared" si="5"/>
        <v>0</v>
      </c>
      <c r="J34" s="2">
        <f>D34*0.2646+0.01</f>
        <v>0.01</v>
      </c>
      <c r="K34" s="2">
        <f t="shared" si="6"/>
        <v>0</v>
      </c>
      <c r="L34" s="2">
        <f>+H34+I34+J34+K34</f>
        <v>0.01</v>
      </c>
      <c r="M34" s="1"/>
    </row>
    <row r="35" spans="1:13" x14ac:dyDescent="0.2">
      <c r="A35" s="1" t="s">
        <v>762</v>
      </c>
      <c r="B35" s="7"/>
      <c r="C35" s="7"/>
      <c r="D35" s="7">
        <v>1103</v>
      </c>
      <c r="E35" s="7"/>
      <c r="F35" s="7">
        <v>0</v>
      </c>
      <c r="G35" s="7">
        <v>0</v>
      </c>
      <c r="H35" s="2">
        <f t="shared" si="4"/>
        <v>0</v>
      </c>
      <c r="I35" s="2">
        <f t="shared" si="5"/>
        <v>0</v>
      </c>
      <c r="J35" s="2">
        <f>D35*0.2646+5.96</f>
        <v>297.81</v>
      </c>
      <c r="K35" s="2">
        <f t="shared" si="6"/>
        <v>0</v>
      </c>
      <c r="L35" s="2">
        <f>+H35+I35+J35+K35</f>
        <v>297.81</v>
      </c>
      <c r="M35" s="1"/>
    </row>
    <row r="36" spans="1:13" x14ac:dyDescent="0.2">
      <c r="A36" s="1" t="s">
        <v>763</v>
      </c>
      <c r="B36" s="7"/>
      <c r="C36" s="7"/>
      <c r="D36" s="7"/>
      <c r="E36" s="7"/>
      <c r="F36" s="7"/>
      <c r="G36" s="7"/>
      <c r="H36" s="2">
        <f t="shared" si="4"/>
        <v>0</v>
      </c>
      <c r="I36" s="2">
        <f t="shared" si="5"/>
        <v>0</v>
      </c>
      <c r="J36" s="2">
        <f>D36*0.2646</f>
        <v>0</v>
      </c>
      <c r="K36" s="2">
        <f t="shared" si="6"/>
        <v>0</v>
      </c>
      <c r="L36" s="2">
        <f>+H36+I36+J36+K36+35.74</f>
        <v>35.74</v>
      </c>
      <c r="M36" s="1"/>
    </row>
    <row r="37" spans="1:13" x14ac:dyDescent="0.2">
      <c r="A37" s="1" t="s">
        <v>764</v>
      </c>
      <c r="B37" s="7"/>
      <c r="C37" s="7"/>
      <c r="D37" s="7"/>
      <c r="E37" s="7"/>
      <c r="F37" s="7"/>
      <c r="G37" s="7"/>
      <c r="H37" s="2">
        <f t="shared" si="4"/>
        <v>0</v>
      </c>
      <c r="I37" s="2">
        <f t="shared" si="5"/>
        <v>0</v>
      </c>
      <c r="J37" s="2">
        <f>D37*0.2646</f>
        <v>0</v>
      </c>
      <c r="K37" s="2">
        <f t="shared" si="6"/>
        <v>0</v>
      </c>
      <c r="L37" s="2">
        <f>+H37+I37+J37+K37+1226.77</f>
        <v>1226.77</v>
      </c>
      <c r="M37" s="1"/>
    </row>
    <row r="38" spans="1:13" x14ac:dyDescent="0.2">
      <c r="A38" s="1" t="s">
        <v>46</v>
      </c>
      <c r="B38" s="7"/>
      <c r="C38" s="7"/>
      <c r="D38" s="7">
        <v>60374</v>
      </c>
      <c r="E38" s="7"/>
      <c r="F38" s="7">
        <v>0</v>
      </c>
      <c r="G38" s="7">
        <v>0</v>
      </c>
      <c r="H38" s="2">
        <f t="shared" si="0"/>
        <v>0</v>
      </c>
      <c r="I38" s="2">
        <f t="shared" si="1"/>
        <v>0</v>
      </c>
      <c r="J38" s="2">
        <f>D38*0.2646</f>
        <v>15974.96</v>
      </c>
      <c r="K38" s="2">
        <f t="shared" si="2"/>
        <v>0</v>
      </c>
      <c r="L38" s="2">
        <f t="shared" si="3"/>
        <v>15974.96</v>
      </c>
      <c r="M38" s="1"/>
    </row>
    <row r="39" spans="1:13" x14ac:dyDescent="0.2">
      <c r="A39" s="1" t="s">
        <v>448</v>
      </c>
      <c r="B39" s="7"/>
      <c r="C39" s="7"/>
      <c r="D39" s="7">
        <v>45481</v>
      </c>
      <c r="E39" s="7"/>
      <c r="F39" s="7">
        <v>3469</v>
      </c>
      <c r="G39" s="7">
        <v>3469</v>
      </c>
      <c r="H39" s="2">
        <f t="shared" si="0"/>
        <v>0</v>
      </c>
      <c r="I39" s="2">
        <f t="shared" si="1"/>
        <v>0</v>
      </c>
      <c r="J39" s="2">
        <f>D39*0.2646+0.01</f>
        <v>12034.28</v>
      </c>
      <c r="K39" s="2">
        <f t="shared" si="2"/>
        <v>0</v>
      </c>
      <c r="L39" s="2">
        <f t="shared" si="3"/>
        <v>12034.28</v>
      </c>
      <c r="M39" s="1"/>
    </row>
    <row r="40" spans="1:13" x14ac:dyDescent="0.2">
      <c r="A40" s="1" t="s">
        <v>430</v>
      </c>
      <c r="B40" s="7"/>
      <c r="C40" s="7"/>
      <c r="D40" s="7">
        <v>94597</v>
      </c>
      <c r="E40" s="7"/>
      <c r="F40" s="7">
        <v>0</v>
      </c>
      <c r="G40" s="7">
        <v>0</v>
      </c>
      <c r="H40" s="2">
        <f t="shared" si="0"/>
        <v>0</v>
      </c>
      <c r="I40" s="2">
        <f t="shared" si="1"/>
        <v>0</v>
      </c>
      <c r="J40" s="2">
        <f>D40*0.2646</f>
        <v>25030.37</v>
      </c>
      <c r="K40" s="2">
        <f t="shared" si="2"/>
        <v>0</v>
      </c>
      <c r="L40" s="2">
        <f t="shared" si="3"/>
        <v>25030.37</v>
      </c>
      <c r="M40" s="1"/>
    </row>
    <row r="41" spans="1:13" x14ac:dyDescent="0.2">
      <c r="A41" s="1" t="s">
        <v>454</v>
      </c>
      <c r="B41" s="7"/>
      <c r="C41" s="7"/>
      <c r="D41" s="7">
        <v>30733</v>
      </c>
      <c r="E41" s="7"/>
      <c r="F41" s="7">
        <v>11254</v>
      </c>
      <c r="G41" s="7">
        <v>11254</v>
      </c>
      <c r="H41" s="2">
        <f t="shared" si="0"/>
        <v>0</v>
      </c>
      <c r="I41" s="2">
        <f t="shared" si="1"/>
        <v>0</v>
      </c>
      <c r="J41" s="2">
        <f>D41*0.2646</f>
        <v>8131.95</v>
      </c>
      <c r="K41" s="2">
        <f t="shared" si="2"/>
        <v>0</v>
      </c>
      <c r="L41" s="2">
        <f t="shared" si="3"/>
        <v>8131.95</v>
      </c>
      <c r="M41" s="1"/>
    </row>
    <row r="42" spans="1:13" x14ac:dyDescent="0.2">
      <c r="A42" s="1" t="s">
        <v>449</v>
      </c>
      <c r="B42" s="7"/>
      <c r="C42" s="7"/>
      <c r="D42" s="7">
        <v>98880</v>
      </c>
      <c r="E42" s="7"/>
      <c r="F42" s="7">
        <v>170853</v>
      </c>
      <c r="G42" s="7">
        <v>170853</v>
      </c>
      <c r="H42" s="2">
        <f t="shared" si="0"/>
        <v>0</v>
      </c>
      <c r="I42" s="2">
        <f t="shared" si="1"/>
        <v>0</v>
      </c>
      <c r="J42" s="2">
        <f>D42*0.2646-0.45</f>
        <v>26163.200000000001</v>
      </c>
      <c r="K42" s="2">
        <f t="shared" si="2"/>
        <v>0</v>
      </c>
      <c r="L42" s="2">
        <f t="shared" si="3"/>
        <v>26163.200000000001</v>
      </c>
      <c r="M42" s="1"/>
    </row>
    <row r="43" spans="1:13" x14ac:dyDescent="0.2">
      <c r="A43" s="1" t="s">
        <v>730</v>
      </c>
      <c r="B43" s="7"/>
      <c r="C43" s="7"/>
      <c r="D43" s="7"/>
      <c r="E43" s="7"/>
      <c r="F43" s="7"/>
      <c r="G43" s="7"/>
      <c r="H43" s="2">
        <f t="shared" si="0"/>
        <v>0</v>
      </c>
      <c r="I43" s="2">
        <f t="shared" si="1"/>
        <v>0</v>
      </c>
      <c r="J43" s="2">
        <f>D43*0.2646+0.45</f>
        <v>0.45</v>
      </c>
      <c r="K43" s="2">
        <f t="shared" si="2"/>
        <v>0</v>
      </c>
      <c r="L43" s="2">
        <f>+H43+I43+J43+K43</f>
        <v>0.45</v>
      </c>
      <c r="M43" s="1"/>
    </row>
    <row r="44" spans="1:13" x14ac:dyDescent="0.2">
      <c r="A44" s="1" t="s">
        <v>722</v>
      </c>
      <c r="B44" s="7"/>
      <c r="C44" s="7"/>
      <c r="D44" s="7">
        <v>705</v>
      </c>
      <c r="E44" s="7"/>
      <c r="F44" s="7">
        <v>0</v>
      </c>
      <c r="G44" s="7">
        <v>0</v>
      </c>
      <c r="H44" s="2">
        <f>B44*0.1862</f>
        <v>0</v>
      </c>
      <c r="I44" s="2">
        <f>C44*0.2058</f>
        <v>0</v>
      </c>
      <c r="J44" s="2">
        <f>D44*0.2646-15.23</f>
        <v>171.31</v>
      </c>
      <c r="K44" s="2">
        <f>E44*0.2156</f>
        <v>0</v>
      </c>
      <c r="L44" s="2">
        <f>+H44+I44+J44+K44</f>
        <v>171.31</v>
      </c>
      <c r="M44" s="1"/>
    </row>
    <row r="45" spans="1:13" x14ac:dyDescent="0.2">
      <c r="A45" s="1" t="s">
        <v>455</v>
      </c>
      <c r="B45" s="7"/>
      <c r="C45" s="7"/>
      <c r="D45" s="7">
        <v>0</v>
      </c>
      <c r="E45" s="7"/>
      <c r="F45" s="7">
        <v>85570</v>
      </c>
      <c r="G45" s="7">
        <v>85570</v>
      </c>
      <c r="H45" s="2">
        <f t="shared" si="0"/>
        <v>0</v>
      </c>
      <c r="I45" s="2">
        <f t="shared" si="1"/>
        <v>0</v>
      </c>
      <c r="J45" s="2">
        <f>D45*0.2646</f>
        <v>0</v>
      </c>
      <c r="K45" s="2">
        <f t="shared" si="2"/>
        <v>0</v>
      </c>
      <c r="L45" s="2">
        <f t="shared" si="3"/>
        <v>0</v>
      </c>
      <c r="M45" s="1"/>
    </row>
    <row r="46" spans="1:13" x14ac:dyDescent="0.2">
      <c r="A46" s="1" t="s">
        <v>589</v>
      </c>
      <c r="B46" s="7"/>
      <c r="C46" s="7"/>
      <c r="D46" s="7">
        <v>0</v>
      </c>
      <c r="E46" s="7"/>
      <c r="F46" s="7">
        <v>38744</v>
      </c>
      <c r="G46" s="7">
        <v>38744</v>
      </c>
      <c r="H46" s="2">
        <f>B46*0.1862</f>
        <v>0</v>
      </c>
      <c r="I46" s="2">
        <f>C46*0.2058</f>
        <v>0</v>
      </c>
      <c r="J46" s="2">
        <f>D46*0.2646</f>
        <v>0</v>
      </c>
      <c r="K46" s="2">
        <f>E46*0.2156</f>
        <v>0</v>
      </c>
      <c r="L46" s="2">
        <f>+H46+I46+J46+K46</f>
        <v>0</v>
      </c>
      <c r="M46" s="1"/>
    </row>
    <row r="47" spans="1:13" s="20" customFormat="1" x14ac:dyDescent="0.2">
      <c r="A47" s="18" t="s">
        <v>499</v>
      </c>
      <c r="B47" s="245"/>
      <c r="C47" s="245"/>
      <c r="D47" s="245">
        <v>307974</v>
      </c>
      <c r="E47" s="245"/>
      <c r="F47" s="245">
        <v>2200535</v>
      </c>
      <c r="G47" s="245">
        <v>2726996</v>
      </c>
      <c r="H47" s="2">
        <f t="shared" si="0"/>
        <v>0</v>
      </c>
      <c r="I47" s="2">
        <f t="shared" si="1"/>
        <v>0</v>
      </c>
      <c r="J47" s="2">
        <f>D47*0.2646-641.02</f>
        <v>80848.899999999994</v>
      </c>
      <c r="K47" s="2">
        <f t="shared" si="2"/>
        <v>0</v>
      </c>
      <c r="L47" s="2">
        <f t="shared" si="3"/>
        <v>80848.899999999994</v>
      </c>
      <c r="M47" s="18"/>
    </row>
    <row r="48" spans="1:13" x14ac:dyDescent="0.2">
      <c r="A48" s="1" t="s">
        <v>431</v>
      </c>
      <c r="B48" s="7"/>
      <c r="C48" s="7"/>
      <c r="D48" s="7">
        <v>89961</v>
      </c>
      <c r="E48" s="7"/>
      <c r="F48" s="7">
        <v>0</v>
      </c>
      <c r="G48" s="7">
        <v>0</v>
      </c>
      <c r="H48" s="2">
        <f t="shared" si="0"/>
        <v>0</v>
      </c>
      <c r="I48" s="2">
        <f t="shared" si="1"/>
        <v>0</v>
      </c>
      <c r="J48" s="2">
        <f>D48*0.2646+0.01</f>
        <v>23803.69</v>
      </c>
      <c r="K48" s="2">
        <f t="shared" si="2"/>
        <v>0</v>
      </c>
      <c r="L48" s="2">
        <f t="shared" si="3"/>
        <v>23803.69</v>
      </c>
      <c r="M48" s="1"/>
    </row>
    <row r="49" spans="1:13" s="20" customFormat="1" x14ac:dyDescent="0.2">
      <c r="A49" s="18" t="s">
        <v>502</v>
      </c>
      <c r="B49" s="245"/>
      <c r="C49" s="245"/>
      <c r="D49" s="245">
        <v>51270</v>
      </c>
      <c r="E49" s="245"/>
      <c r="F49" s="245">
        <v>0</v>
      </c>
      <c r="G49" s="245">
        <v>0</v>
      </c>
      <c r="H49" s="2">
        <f t="shared" si="0"/>
        <v>0</v>
      </c>
      <c r="I49" s="2">
        <f t="shared" si="1"/>
        <v>0</v>
      </c>
      <c r="J49" s="2">
        <f>D49*0.2646+0.01</f>
        <v>13566.05</v>
      </c>
      <c r="K49" s="2">
        <f t="shared" si="2"/>
        <v>0</v>
      </c>
      <c r="L49" s="2">
        <f t="shared" si="3"/>
        <v>13566.05</v>
      </c>
      <c r="M49" s="18"/>
    </row>
    <row r="50" spans="1:13" ht="15" customHeight="1" x14ac:dyDescent="0.2">
      <c r="A50" s="7" t="s">
        <v>618</v>
      </c>
      <c r="B50" s="7"/>
      <c r="C50" s="7"/>
      <c r="D50" s="7">
        <v>817224</v>
      </c>
      <c r="E50" s="7"/>
      <c r="F50" s="7">
        <v>7983</v>
      </c>
      <c r="G50" s="7">
        <v>7983</v>
      </c>
      <c r="H50" s="2">
        <f>B50*0.1862</f>
        <v>0</v>
      </c>
      <c r="I50" s="2">
        <f>C50*0.2058</f>
        <v>0</v>
      </c>
      <c r="J50" s="2">
        <f>D50*0.2646</f>
        <v>216237.47</v>
      </c>
      <c r="K50" s="2">
        <f>E50*0.2156</f>
        <v>0</v>
      </c>
      <c r="L50" s="2">
        <f>+H50+I50+J50+K50</f>
        <v>216237.47</v>
      </c>
      <c r="M50" s="1"/>
    </row>
    <row r="51" spans="1:13" x14ac:dyDescent="0.2">
      <c r="A51" s="1" t="s">
        <v>717</v>
      </c>
      <c r="B51" s="7"/>
      <c r="C51" s="7"/>
      <c r="D51" s="7"/>
      <c r="E51" s="7"/>
      <c r="F51" s="7"/>
      <c r="G51" s="7"/>
      <c r="H51" s="2">
        <f>B51*0.1862</f>
        <v>0</v>
      </c>
      <c r="I51" s="2">
        <f>C51*0.2058</f>
        <v>0</v>
      </c>
      <c r="J51" s="2">
        <f>D51*0.2646</f>
        <v>0</v>
      </c>
      <c r="K51" s="2">
        <f>E51*0.2156</f>
        <v>0</v>
      </c>
      <c r="L51" s="2">
        <v>5.64</v>
      </c>
      <c r="M51" s="1"/>
    </row>
    <row r="52" spans="1:13" x14ac:dyDescent="0.2">
      <c r="A52" s="1" t="s">
        <v>736</v>
      </c>
      <c r="B52" s="7"/>
      <c r="C52" s="7"/>
      <c r="D52" s="7"/>
      <c r="E52" s="7"/>
      <c r="F52" s="7"/>
      <c r="G52" s="7"/>
      <c r="H52" s="2">
        <f>B52*0.1862</f>
        <v>0</v>
      </c>
      <c r="I52" s="2">
        <f>C52*0.2058</f>
        <v>0</v>
      </c>
      <c r="J52" s="2">
        <f>D52*0.2646+37.98</f>
        <v>37.979999999999997</v>
      </c>
      <c r="K52" s="2">
        <f>E52*0.2156</f>
        <v>0</v>
      </c>
      <c r="L52" s="2">
        <f>+H52+I52+J52+K52</f>
        <v>37.979999999999997</v>
      </c>
      <c r="M52" s="1"/>
    </row>
    <row r="53" spans="1:13" x14ac:dyDescent="0.2">
      <c r="A53" s="1" t="s">
        <v>735</v>
      </c>
      <c r="B53" s="7"/>
      <c r="C53" s="7"/>
      <c r="D53" s="7"/>
      <c r="E53" s="7"/>
      <c r="F53" s="7"/>
      <c r="G53" s="7"/>
      <c r="H53" s="2">
        <f>B53*0.1862</f>
        <v>0</v>
      </c>
      <c r="I53" s="2">
        <f>C53*0.2058</f>
        <v>0</v>
      </c>
      <c r="J53" s="2">
        <f>D53*0.2646</f>
        <v>0</v>
      </c>
      <c r="K53" s="2">
        <f>E53*0.2156</f>
        <v>0</v>
      </c>
      <c r="L53" s="2">
        <f>+H53+I53+J53+K53+4.18</f>
        <v>4.18</v>
      </c>
      <c r="M53" s="1"/>
    </row>
    <row r="54" spans="1:13" ht="15" customHeight="1" x14ac:dyDescent="0.2">
      <c r="A54" s="7" t="s">
        <v>346</v>
      </c>
      <c r="B54" s="7"/>
      <c r="C54" s="7"/>
      <c r="D54" s="7">
        <v>80724</v>
      </c>
      <c r="E54" s="7"/>
      <c r="F54" s="7">
        <v>1456455</v>
      </c>
      <c r="G54" s="7">
        <v>1283407</v>
      </c>
      <c r="H54" s="2">
        <f t="shared" si="0"/>
        <v>0</v>
      </c>
      <c r="I54" s="2">
        <f t="shared" si="1"/>
        <v>0</v>
      </c>
      <c r="J54" s="2">
        <f>D54*0.2646</f>
        <v>21359.57</v>
      </c>
      <c r="K54" s="2">
        <f t="shared" si="2"/>
        <v>0</v>
      </c>
      <c r="L54" s="2">
        <f t="shared" si="3"/>
        <v>21359.57</v>
      </c>
      <c r="M54" s="1"/>
    </row>
    <row r="55" spans="1:13" s="20" customFormat="1" x14ac:dyDescent="0.2">
      <c r="A55" s="245" t="s">
        <v>456</v>
      </c>
      <c r="B55" s="245"/>
      <c r="C55" s="245"/>
      <c r="D55" s="245">
        <v>205575</v>
      </c>
      <c r="E55" s="245"/>
      <c r="F55" s="245">
        <v>115697</v>
      </c>
      <c r="G55" s="245">
        <v>115697</v>
      </c>
      <c r="H55" s="2">
        <f t="shared" si="0"/>
        <v>0</v>
      </c>
      <c r="I55" s="2">
        <f t="shared" si="1"/>
        <v>0</v>
      </c>
      <c r="J55" s="2">
        <f>D55*0.2646+0.01</f>
        <v>54395.16</v>
      </c>
      <c r="K55" s="2">
        <f t="shared" si="2"/>
        <v>0</v>
      </c>
      <c r="L55" s="2">
        <f t="shared" si="3"/>
        <v>54395.16</v>
      </c>
      <c r="M55" s="18"/>
    </row>
    <row r="56" spans="1:13" x14ac:dyDescent="0.2">
      <c r="A56" s="7" t="s">
        <v>432</v>
      </c>
      <c r="B56" s="7"/>
      <c r="C56" s="7"/>
      <c r="D56" s="7">
        <v>6800</v>
      </c>
      <c r="E56" s="7"/>
      <c r="F56" s="7">
        <v>0</v>
      </c>
      <c r="G56" s="7">
        <v>0</v>
      </c>
      <c r="H56" s="2">
        <f t="shared" si="0"/>
        <v>0</v>
      </c>
      <c r="I56" s="2">
        <f t="shared" si="1"/>
        <v>0</v>
      </c>
      <c r="J56" s="2">
        <f>D56*0.2646</f>
        <v>1799.28</v>
      </c>
      <c r="K56" s="2">
        <f t="shared" si="2"/>
        <v>0</v>
      </c>
      <c r="L56" s="2">
        <f t="shared" si="3"/>
        <v>1799.28</v>
      </c>
      <c r="M56" s="1"/>
    </row>
    <row r="57" spans="1:13" x14ac:dyDescent="0.2">
      <c r="A57" s="1" t="s">
        <v>47</v>
      </c>
      <c r="B57" s="7"/>
      <c r="C57" s="7"/>
      <c r="D57" s="7">
        <v>29591</v>
      </c>
      <c r="E57" s="7"/>
      <c r="F57" s="7">
        <v>0</v>
      </c>
      <c r="G57" s="7">
        <v>0</v>
      </c>
      <c r="H57" s="2">
        <f t="shared" si="0"/>
        <v>0</v>
      </c>
      <c r="I57" s="2">
        <f t="shared" si="1"/>
        <v>0</v>
      </c>
      <c r="J57" s="2">
        <f>D57*0.2646-0.01</f>
        <v>7829.77</v>
      </c>
      <c r="K57" s="2">
        <f t="shared" si="2"/>
        <v>0</v>
      </c>
      <c r="L57" s="2">
        <f t="shared" si="3"/>
        <v>7829.77</v>
      </c>
      <c r="M57" s="1"/>
    </row>
    <row r="58" spans="1:13" s="20" customFormat="1" x14ac:dyDescent="0.2">
      <c r="A58" s="18" t="s">
        <v>48</v>
      </c>
      <c r="B58" s="245"/>
      <c r="C58" s="245"/>
      <c r="D58" s="245">
        <v>1137492</v>
      </c>
      <c r="E58" s="245"/>
      <c r="F58" s="245">
        <v>2145987</v>
      </c>
      <c r="G58" s="245">
        <v>2077958</v>
      </c>
      <c r="H58" s="2">
        <f t="shared" si="0"/>
        <v>0</v>
      </c>
      <c r="I58" s="2">
        <f t="shared" si="1"/>
        <v>0</v>
      </c>
      <c r="J58" s="2">
        <f>D58*0.2646-1946.55</f>
        <v>299033.83</v>
      </c>
      <c r="K58" s="2">
        <f t="shared" si="2"/>
        <v>0</v>
      </c>
      <c r="L58" s="2">
        <f t="shared" si="3"/>
        <v>299033.83</v>
      </c>
      <c r="M58" s="18"/>
    </row>
    <row r="59" spans="1:13" x14ac:dyDescent="0.2">
      <c r="A59" s="1" t="s">
        <v>49</v>
      </c>
      <c r="B59" s="7"/>
      <c r="C59" s="7"/>
      <c r="D59" s="7">
        <v>142499</v>
      </c>
      <c r="E59" s="7"/>
      <c r="F59" s="7">
        <v>0</v>
      </c>
      <c r="G59" s="7">
        <v>0</v>
      </c>
      <c r="H59" s="2">
        <f t="shared" si="0"/>
        <v>0</v>
      </c>
      <c r="I59" s="2">
        <f t="shared" si="1"/>
        <v>0</v>
      </c>
      <c r="J59" s="2">
        <f>D59*0.2646</f>
        <v>37705.24</v>
      </c>
      <c r="K59" s="2">
        <f t="shared" si="2"/>
        <v>0</v>
      </c>
      <c r="L59" s="2">
        <f t="shared" si="3"/>
        <v>37705.24</v>
      </c>
      <c r="M59" s="1"/>
    </row>
    <row r="60" spans="1:13" x14ac:dyDescent="0.2">
      <c r="A60" s="1" t="s">
        <v>356</v>
      </c>
      <c r="B60" s="7"/>
      <c r="C60" s="7"/>
      <c r="D60" s="7">
        <v>43625</v>
      </c>
      <c r="E60" s="7"/>
      <c r="F60" s="7">
        <v>197520</v>
      </c>
      <c r="G60" s="7">
        <v>197520</v>
      </c>
      <c r="H60" s="2">
        <f t="shared" si="0"/>
        <v>0</v>
      </c>
      <c r="I60" s="2">
        <f t="shared" si="1"/>
        <v>0</v>
      </c>
      <c r="J60" s="2">
        <f>D60*0.2646</f>
        <v>11543.18</v>
      </c>
      <c r="K60" s="2">
        <f t="shared" si="2"/>
        <v>0</v>
      </c>
      <c r="L60" s="2">
        <f t="shared" si="3"/>
        <v>11543.18</v>
      </c>
      <c r="M60" s="1"/>
    </row>
    <row r="61" spans="1:13" x14ac:dyDescent="0.2">
      <c r="A61" s="1" t="s">
        <v>50</v>
      </c>
      <c r="B61" s="7"/>
      <c r="C61" s="7"/>
      <c r="D61" s="7">
        <v>13597</v>
      </c>
      <c r="E61" s="7"/>
      <c r="F61" s="7">
        <v>0</v>
      </c>
      <c r="G61" s="7">
        <v>0</v>
      </c>
      <c r="H61" s="2">
        <f t="shared" si="0"/>
        <v>0</v>
      </c>
      <c r="I61" s="2">
        <f t="shared" si="1"/>
        <v>0</v>
      </c>
      <c r="J61" s="2">
        <f>D61*0.2646</f>
        <v>3597.77</v>
      </c>
      <c r="K61" s="2">
        <f t="shared" si="2"/>
        <v>0</v>
      </c>
      <c r="L61" s="2">
        <f t="shared" si="3"/>
        <v>3597.77</v>
      </c>
      <c r="M61" s="1"/>
    </row>
    <row r="62" spans="1:13" x14ac:dyDescent="0.2">
      <c r="A62" s="1" t="s">
        <v>348</v>
      </c>
      <c r="B62" s="7"/>
      <c r="C62" s="7"/>
      <c r="D62" s="7">
        <v>373505</v>
      </c>
      <c r="E62" s="7"/>
      <c r="F62" s="7">
        <v>115731</v>
      </c>
      <c r="G62" s="7">
        <v>124658</v>
      </c>
      <c r="H62" s="2">
        <f t="shared" si="0"/>
        <v>0</v>
      </c>
      <c r="I62" s="2">
        <f t="shared" si="1"/>
        <v>0</v>
      </c>
      <c r="J62" s="2">
        <f>D62*0.2646-0.18</f>
        <v>98829.24</v>
      </c>
      <c r="K62" s="2">
        <f t="shared" si="2"/>
        <v>0</v>
      </c>
      <c r="L62" s="2">
        <f t="shared" si="3"/>
        <v>98829.24</v>
      </c>
      <c r="M62" s="1"/>
    </row>
    <row r="63" spans="1:13" x14ac:dyDescent="0.2">
      <c r="A63" s="1" t="s">
        <v>732</v>
      </c>
      <c r="B63" s="7"/>
      <c r="C63" s="7"/>
      <c r="D63" s="7"/>
      <c r="E63" s="7"/>
      <c r="F63" s="7"/>
      <c r="G63" s="7"/>
      <c r="H63" s="2">
        <f t="shared" si="0"/>
        <v>0</v>
      </c>
      <c r="I63" s="2">
        <f t="shared" si="1"/>
        <v>0</v>
      </c>
      <c r="J63" s="2">
        <f>D63*0.2646+0.19</f>
        <v>0.19</v>
      </c>
      <c r="K63" s="2">
        <f t="shared" si="2"/>
        <v>0</v>
      </c>
      <c r="L63" s="2">
        <f>+H63+I63+J63+K63</f>
        <v>0.19</v>
      </c>
      <c r="M63" s="1"/>
    </row>
    <row r="64" spans="1:13" x14ac:dyDescent="0.2">
      <c r="A64" s="1" t="s">
        <v>705</v>
      </c>
      <c r="B64" s="7"/>
      <c r="C64" s="7"/>
      <c r="D64" s="7">
        <v>212450</v>
      </c>
      <c r="E64" s="7"/>
      <c r="F64" s="7">
        <v>0</v>
      </c>
      <c r="G64" s="7">
        <v>0</v>
      </c>
      <c r="H64" s="2">
        <f t="shared" si="0"/>
        <v>0</v>
      </c>
      <c r="I64" s="2">
        <f t="shared" si="1"/>
        <v>0</v>
      </c>
      <c r="J64" s="2">
        <f>D64*0.2646</f>
        <v>56214.27</v>
      </c>
      <c r="K64" s="2">
        <f t="shared" si="2"/>
        <v>0</v>
      </c>
      <c r="L64" s="2">
        <f t="shared" si="3"/>
        <v>56214.27</v>
      </c>
      <c r="M64" s="1"/>
    </row>
    <row r="65" spans="1:13" x14ac:dyDescent="0.2">
      <c r="A65" s="1" t="s">
        <v>619</v>
      </c>
      <c r="B65" s="7"/>
      <c r="C65" s="7"/>
      <c r="D65" s="7"/>
      <c r="E65" s="7"/>
      <c r="F65" s="7"/>
      <c r="G65" s="7"/>
      <c r="H65" s="2">
        <f>B65*0.1862</f>
        <v>0</v>
      </c>
      <c r="I65" s="2">
        <f>C65*0.2058</f>
        <v>0</v>
      </c>
      <c r="J65" s="2">
        <f>D65*0.2646</f>
        <v>0</v>
      </c>
      <c r="K65" s="2">
        <f>E65*0.2156</f>
        <v>0</v>
      </c>
      <c r="L65" s="2">
        <f>+H65+I65+J65+K65</f>
        <v>0</v>
      </c>
      <c r="M65" s="1"/>
    </row>
    <row r="66" spans="1:13" x14ac:dyDescent="0.2">
      <c r="A66" s="1" t="s">
        <v>51</v>
      </c>
      <c r="B66" s="7"/>
      <c r="C66" s="7"/>
      <c r="D66" s="7">
        <v>45083</v>
      </c>
      <c r="E66" s="7"/>
      <c r="F66" s="7">
        <v>135686</v>
      </c>
      <c r="G66" s="7">
        <v>135686</v>
      </c>
      <c r="H66" s="2">
        <f t="shared" si="0"/>
        <v>0</v>
      </c>
      <c r="I66" s="2">
        <f t="shared" si="1"/>
        <v>0</v>
      </c>
      <c r="J66" s="2">
        <f>D66*0.2646+0.01</f>
        <v>11928.97</v>
      </c>
      <c r="K66" s="2">
        <f t="shared" si="2"/>
        <v>0</v>
      </c>
      <c r="L66" s="2">
        <f t="shared" si="3"/>
        <v>11928.97</v>
      </c>
      <c r="M66" s="1"/>
    </row>
    <row r="67" spans="1:13" x14ac:dyDescent="0.2">
      <c r="A67" s="1" t="s">
        <v>475</v>
      </c>
      <c r="B67" s="7"/>
      <c r="C67" s="7"/>
      <c r="D67" s="7">
        <v>3675</v>
      </c>
      <c r="E67" s="7"/>
      <c r="F67" s="7">
        <v>128147</v>
      </c>
      <c r="G67" s="7">
        <v>128147</v>
      </c>
      <c r="H67" s="2">
        <f t="shared" si="0"/>
        <v>0</v>
      </c>
      <c r="I67" s="2">
        <f t="shared" si="1"/>
        <v>0</v>
      </c>
      <c r="J67" s="2">
        <f>D67*0.2646</f>
        <v>972.41</v>
      </c>
      <c r="K67" s="2">
        <f t="shared" si="2"/>
        <v>0</v>
      </c>
      <c r="L67" s="2">
        <f t="shared" si="3"/>
        <v>972.41</v>
      </c>
      <c r="M67" s="1"/>
    </row>
    <row r="68" spans="1:13" x14ac:dyDescent="0.2">
      <c r="A68" s="1" t="s">
        <v>52</v>
      </c>
      <c r="B68" s="7"/>
      <c r="C68" s="7"/>
      <c r="D68" s="7">
        <v>140266</v>
      </c>
      <c r="E68" s="7"/>
      <c r="F68" s="7">
        <v>0</v>
      </c>
      <c r="G68" s="7">
        <v>0</v>
      </c>
      <c r="H68" s="2">
        <f t="shared" si="0"/>
        <v>0</v>
      </c>
      <c r="I68" s="2">
        <f t="shared" si="1"/>
        <v>0</v>
      </c>
      <c r="J68" s="2">
        <f>D68*0.2646</f>
        <v>37114.379999999997</v>
      </c>
      <c r="K68" s="2">
        <f t="shared" si="2"/>
        <v>0</v>
      </c>
      <c r="L68" s="2">
        <f t="shared" si="3"/>
        <v>37114.379999999997</v>
      </c>
      <c r="M68" s="1"/>
    </row>
    <row r="69" spans="1:13" x14ac:dyDescent="0.2">
      <c r="A69" s="1" t="s">
        <v>433</v>
      </c>
      <c r="B69" s="7"/>
      <c r="C69" s="7"/>
      <c r="D69" s="7">
        <v>171364</v>
      </c>
      <c r="E69" s="7"/>
      <c r="F69" s="7">
        <v>0</v>
      </c>
      <c r="G69" s="7">
        <v>0</v>
      </c>
      <c r="H69" s="2">
        <f t="shared" si="0"/>
        <v>0</v>
      </c>
      <c r="I69" s="2">
        <f t="shared" si="1"/>
        <v>0</v>
      </c>
      <c r="J69" s="2">
        <f>D69*0.2646-0.45</f>
        <v>45342.46</v>
      </c>
      <c r="K69" s="2">
        <f t="shared" si="2"/>
        <v>0</v>
      </c>
      <c r="L69" s="2">
        <f t="shared" si="3"/>
        <v>45342.46</v>
      </c>
      <c r="M69" s="1"/>
    </row>
    <row r="70" spans="1:13" x14ac:dyDescent="0.2">
      <c r="A70" s="1" t="s">
        <v>731</v>
      </c>
      <c r="B70" s="7"/>
      <c r="C70" s="7"/>
      <c r="D70" s="7"/>
      <c r="E70" s="7"/>
      <c r="F70" s="7"/>
      <c r="G70" s="7"/>
      <c r="H70" s="2">
        <f t="shared" si="0"/>
        <v>0</v>
      </c>
      <c r="I70" s="2">
        <f t="shared" si="1"/>
        <v>0</v>
      </c>
      <c r="J70" s="2">
        <f>D70*0.2646+0.46</f>
        <v>0.46</v>
      </c>
      <c r="K70" s="2">
        <f t="shared" si="2"/>
        <v>0</v>
      </c>
      <c r="L70" s="2">
        <f>+H70+I70+J70+K70</f>
        <v>0.46</v>
      </c>
      <c r="M70" s="1"/>
    </row>
    <row r="71" spans="1:13" x14ac:dyDescent="0.2">
      <c r="A71" s="1" t="s">
        <v>53</v>
      </c>
      <c r="B71" s="7"/>
      <c r="C71" s="7"/>
      <c r="D71" s="7">
        <v>40826</v>
      </c>
      <c r="E71" s="7"/>
      <c r="F71" s="7">
        <v>0</v>
      </c>
      <c r="G71" s="7">
        <v>0</v>
      </c>
      <c r="H71" s="2">
        <f t="shared" si="0"/>
        <v>0</v>
      </c>
      <c r="I71" s="2">
        <f t="shared" si="1"/>
        <v>0</v>
      </c>
      <c r="J71" s="2">
        <f>D71*0.2646</f>
        <v>10802.56</v>
      </c>
      <c r="K71" s="2">
        <f t="shared" si="2"/>
        <v>0</v>
      </c>
      <c r="L71" s="2">
        <f t="shared" si="3"/>
        <v>10802.56</v>
      </c>
      <c r="M71" s="1"/>
    </row>
    <row r="72" spans="1:13" x14ac:dyDescent="0.2">
      <c r="A72" s="1" t="s">
        <v>457</v>
      </c>
      <c r="B72" s="7"/>
      <c r="C72" s="7"/>
      <c r="D72" s="7">
        <v>20602</v>
      </c>
      <c r="E72" s="7"/>
      <c r="F72" s="7">
        <v>0</v>
      </c>
      <c r="G72" s="7">
        <v>0</v>
      </c>
      <c r="H72" s="2">
        <f t="shared" si="0"/>
        <v>0</v>
      </c>
      <c r="I72" s="2">
        <f t="shared" si="1"/>
        <v>0</v>
      </c>
      <c r="J72" s="2">
        <f>D72*0.2646</f>
        <v>5451.29</v>
      </c>
      <c r="K72" s="2">
        <f t="shared" si="2"/>
        <v>0</v>
      </c>
      <c r="L72" s="2">
        <f t="shared" si="3"/>
        <v>5451.29</v>
      </c>
      <c r="M72" s="1"/>
    </row>
    <row r="73" spans="1:13" x14ac:dyDescent="0.2">
      <c r="A73" s="1" t="s">
        <v>700</v>
      </c>
      <c r="B73" s="7"/>
      <c r="C73" s="7"/>
      <c r="D73" s="7">
        <v>1063697</v>
      </c>
      <c r="E73" s="7"/>
      <c r="F73" s="7">
        <v>0</v>
      </c>
      <c r="G73" s="7">
        <v>0</v>
      </c>
      <c r="H73" s="2">
        <f>B73*0.1862</f>
        <v>0</v>
      </c>
      <c r="I73" s="2">
        <f>C73*0.2058</f>
        <v>0</v>
      </c>
      <c r="J73" s="2">
        <f>D73*0.2646-0.01</f>
        <v>281454.21999999997</v>
      </c>
      <c r="K73" s="2">
        <f>E73*0.2156</f>
        <v>0</v>
      </c>
      <c r="L73" s="2">
        <f>+H73+I73+J73+K73</f>
        <v>281454.21999999997</v>
      </c>
      <c r="M73" s="1"/>
    </row>
    <row r="74" spans="1:13" x14ac:dyDescent="0.2">
      <c r="A74" s="1" t="s">
        <v>752</v>
      </c>
      <c r="B74" s="7"/>
      <c r="C74" s="7"/>
      <c r="D74" s="7">
        <v>-3999</v>
      </c>
      <c r="E74" s="7"/>
      <c r="F74" s="7"/>
      <c r="G74" s="7"/>
      <c r="H74" s="2">
        <f>B74*0.1862</f>
        <v>0</v>
      </c>
      <c r="I74" s="2">
        <f>C74*0.2058</f>
        <v>0</v>
      </c>
      <c r="J74" s="2">
        <v>0</v>
      </c>
      <c r="K74" s="2">
        <f>E74*0.2156</f>
        <v>0</v>
      </c>
      <c r="L74" s="2">
        <f>+H74+I74+J74+K74-1058.14</f>
        <v>-1058.1400000000001</v>
      </c>
      <c r="M74" s="1"/>
    </row>
    <row r="75" spans="1:13" x14ac:dyDescent="0.2">
      <c r="A75" s="1" t="s">
        <v>753</v>
      </c>
      <c r="B75" s="7"/>
      <c r="C75" s="7"/>
      <c r="D75" s="7">
        <v>-30597</v>
      </c>
      <c r="E75" s="7"/>
      <c r="F75" s="7"/>
      <c r="G75" s="7"/>
      <c r="H75" s="2">
        <f>B75*0.1862</f>
        <v>0</v>
      </c>
      <c r="I75" s="2">
        <f>C75*0.2058</f>
        <v>0</v>
      </c>
      <c r="J75" s="2">
        <v>0</v>
      </c>
      <c r="K75" s="2">
        <f>E75*0.2156</f>
        <v>0</v>
      </c>
      <c r="L75" s="2">
        <f>+H75+I75+J75+K75-8095.97</f>
        <v>-8095.97</v>
      </c>
      <c r="M75" s="1"/>
    </row>
    <row r="76" spans="1:13" x14ac:dyDescent="0.2">
      <c r="A76" s="1" t="s">
        <v>754</v>
      </c>
      <c r="B76" s="7"/>
      <c r="C76" s="7"/>
      <c r="D76" s="7">
        <v>-12202</v>
      </c>
      <c r="E76" s="7"/>
      <c r="F76" s="7"/>
      <c r="G76" s="7"/>
      <c r="H76" s="2">
        <f>B76*0.1862</f>
        <v>0</v>
      </c>
      <c r="I76" s="2">
        <f>C76*0.2058</f>
        <v>0</v>
      </c>
      <c r="J76" s="2">
        <v>0</v>
      </c>
      <c r="K76" s="2">
        <f>E76*0.2156</f>
        <v>0</v>
      </c>
      <c r="L76" s="2">
        <f>+H76+I76+J76+K76-3228.65</f>
        <v>-3228.65</v>
      </c>
      <c r="M76" s="1"/>
    </row>
    <row r="77" spans="1:13" x14ac:dyDescent="0.2">
      <c r="A77" s="1" t="s">
        <v>54</v>
      </c>
      <c r="B77" s="7"/>
      <c r="C77" s="7"/>
      <c r="D77" s="7">
        <v>42894</v>
      </c>
      <c r="E77" s="7"/>
      <c r="F77" s="7">
        <v>48493</v>
      </c>
      <c r="G77" s="7">
        <v>73553</v>
      </c>
      <c r="H77" s="2">
        <f t="shared" si="0"/>
        <v>0</v>
      </c>
      <c r="I77" s="2">
        <f t="shared" si="1"/>
        <v>0</v>
      </c>
      <c r="J77" s="2">
        <f>D77*0.2646-137.78</f>
        <v>11211.97</v>
      </c>
      <c r="K77" s="2">
        <f t="shared" si="2"/>
        <v>0</v>
      </c>
      <c r="L77" s="2">
        <f t="shared" si="3"/>
        <v>11211.97</v>
      </c>
      <c r="M77" s="1"/>
    </row>
    <row r="78" spans="1:13" x14ac:dyDescent="0.2">
      <c r="A78" s="1" t="s">
        <v>620</v>
      </c>
      <c r="B78" s="7"/>
      <c r="C78" s="7"/>
      <c r="D78" s="7">
        <v>47390</v>
      </c>
      <c r="E78" s="7"/>
      <c r="F78" s="7">
        <v>0</v>
      </c>
      <c r="G78" s="7">
        <v>77188</v>
      </c>
      <c r="H78" s="2">
        <f>B78*0.1862</f>
        <v>0</v>
      </c>
      <c r="I78" s="2">
        <f>C78*0.2058</f>
        <v>0</v>
      </c>
      <c r="J78" s="2">
        <f t="shared" ref="J78:J86" si="7">D78*0.2646</f>
        <v>12539.39</v>
      </c>
      <c r="K78" s="2">
        <f>E78*0.2156</f>
        <v>0</v>
      </c>
      <c r="L78" s="2">
        <f>+H78+I78+J78+K78</f>
        <v>12539.39</v>
      </c>
      <c r="M78" s="1"/>
    </row>
    <row r="79" spans="1:13" x14ac:dyDescent="0.2">
      <c r="A79" s="1" t="s">
        <v>621</v>
      </c>
      <c r="B79" s="7"/>
      <c r="C79" s="7"/>
      <c r="D79" s="7"/>
      <c r="E79" s="7">
        <v>97649</v>
      </c>
      <c r="F79" s="7">
        <v>0</v>
      </c>
      <c r="G79" s="7">
        <v>0</v>
      </c>
      <c r="H79" s="2">
        <f>B79*0.1862</f>
        <v>0</v>
      </c>
      <c r="I79" s="2">
        <f>C79*0.2058</f>
        <v>0</v>
      </c>
      <c r="J79" s="2">
        <f t="shared" si="7"/>
        <v>0</v>
      </c>
      <c r="K79" s="2">
        <f>E79*0.2156</f>
        <v>21053.119999999999</v>
      </c>
      <c r="L79" s="2">
        <f>+H79+I79+J79+K79</f>
        <v>21053.119999999999</v>
      </c>
      <c r="M79" s="1"/>
    </row>
    <row r="80" spans="1:13" x14ac:dyDescent="0.2">
      <c r="A80" s="1" t="s">
        <v>55</v>
      </c>
      <c r="B80" s="7"/>
      <c r="C80" s="7"/>
      <c r="D80" s="7">
        <v>0</v>
      </c>
      <c r="E80" s="7"/>
      <c r="F80" s="7">
        <v>952477</v>
      </c>
      <c r="G80" s="7">
        <v>952477</v>
      </c>
      <c r="H80" s="2">
        <f t="shared" si="0"/>
        <v>0</v>
      </c>
      <c r="I80" s="2">
        <f t="shared" si="1"/>
        <v>0</v>
      </c>
      <c r="J80" s="2">
        <f t="shared" si="7"/>
        <v>0</v>
      </c>
      <c r="K80" s="2">
        <f t="shared" si="2"/>
        <v>0</v>
      </c>
      <c r="L80" s="2">
        <f t="shared" si="3"/>
        <v>0</v>
      </c>
      <c r="M80" s="1"/>
    </row>
    <row r="81" spans="1:13" x14ac:dyDescent="0.2">
      <c r="A81" s="1" t="s">
        <v>56</v>
      </c>
      <c r="B81" s="7"/>
      <c r="C81" s="7"/>
      <c r="D81" s="7">
        <v>5219</v>
      </c>
      <c r="E81" s="7">
        <v>248</v>
      </c>
      <c r="F81" s="7">
        <v>9028</v>
      </c>
      <c r="G81" s="7">
        <v>6559</v>
      </c>
      <c r="H81" s="2">
        <f t="shared" si="0"/>
        <v>0</v>
      </c>
      <c r="I81" s="2">
        <f t="shared" si="1"/>
        <v>0</v>
      </c>
      <c r="J81" s="2">
        <f t="shared" si="7"/>
        <v>1380.95</v>
      </c>
      <c r="K81" s="2">
        <f t="shared" si="2"/>
        <v>53.47</v>
      </c>
      <c r="L81" s="2">
        <f t="shared" si="3"/>
        <v>1434.42</v>
      </c>
      <c r="M81" s="1"/>
    </row>
    <row r="82" spans="1:13" s="20" customFormat="1" x14ac:dyDescent="0.2">
      <c r="A82" s="18" t="s">
        <v>217</v>
      </c>
      <c r="B82" s="245"/>
      <c r="C82" s="245"/>
      <c r="D82" s="245">
        <v>0</v>
      </c>
      <c r="E82" s="245"/>
      <c r="F82" s="245">
        <v>169</v>
      </c>
      <c r="G82" s="245">
        <v>169</v>
      </c>
      <c r="H82" s="2">
        <f>B82*0.1862</f>
        <v>0</v>
      </c>
      <c r="I82" s="2">
        <f>C82*0.2058</f>
        <v>0</v>
      </c>
      <c r="J82" s="2">
        <f t="shared" si="7"/>
        <v>0</v>
      </c>
      <c r="K82" s="2">
        <f>E82*0.2156</f>
        <v>0</v>
      </c>
      <c r="L82" s="2">
        <f>+H82+I82+J82+K82</f>
        <v>0</v>
      </c>
      <c r="M82" s="18"/>
    </row>
    <row r="83" spans="1:13" s="20" customFormat="1" x14ac:dyDescent="0.2">
      <c r="A83" s="18" t="s">
        <v>57</v>
      </c>
      <c r="B83" s="245"/>
      <c r="C83" s="245"/>
      <c r="D83" s="245">
        <v>56911</v>
      </c>
      <c r="E83" s="245"/>
      <c r="F83" s="245">
        <v>136103</v>
      </c>
      <c r="G83" s="245">
        <v>133878</v>
      </c>
      <c r="H83" s="2">
        <f t="shared" si="0"/>
        <v>0</v>
      </c>
      <c r="I83" s="2">
        <f t="shared" si="1"/>
        <v>0</v>
      </c>
      <c r="J83" s="2">
        <f t="shared" si="7"/>
        <v>15058.65</v>
      </c>
      <c r="K83" s="2">
        <f t="shared" si="2"/>
        <v>0</v>
      </c>
      <c r="L83" s="2">
        <f t="shared" si="3"/>
        <v>15058.65</v>
      </c>
      <c r="M83" s="18"/>
    </row>
    <row r="84" spans="1:13" x14ac:dyDescent="0.2">
      <c r="A84" s="1" t="s">
        <v>710</v>
      </c>
      <c r="B84" s="7"/>
      <c r="C84" s="7"/>
      <c r="D84" s="7">
        <v>95566</v>
      </c>
      <c r="E84" s="7"/>
      <c r="F84" s="7">
        <v>78390</v>
      </c>
      <c r="G84" s="7">
        <v>78390</v>
      </c>
      <c r="H84" s="2">
        <f>B84*0.1862</f>
        <v>0</v>
      </c>
      <c r="I84" s="2">
        <f>C84*0.2058</f>
        <v>0</v>
      </c>
      <c r="J84" s="2">
        <f t="shared" si="7"/>
        <v>25286.76</v>
      </c>
      <c r="K84" s="2">
        <f>E84*0.2156</f>
        <v>0</v>
      </c>
      <c r="L84" s="2">
        <f>+H84+I84+J84+K84</f>
        <v>25286.76</v>
      </c>
      <c r="M84" s="1"/>
    </row>
    <row r="85" spans="1:13" x14ac:dyDescent="0.2">
      <c r="A85" s="1" t="s">
        <v>434</v>
      </c>
      <c r="B85" s="7"/>
      <c r="C85" s="7"/>
      <c r="D85" s="7">
        <v>2457266</v>
      </c>
      <c r="E85" s="7"/>
      <c r="F85" s="7">
        <v>0</v>
      </c>
      <c r="G85" s="7">
        <v>0</v>
      </c>
      <c r="H85" s="2">
        <f t="shared" si="0"/>
        <v>0</v>
      </c>
      <c r="I85" s="2">
        <f t="shared" si="1"/>
        <v>0</v>
      </c>
      <c r="J85" s="2">
        <f t="shared" si="7"/>
        <v>650192.57999999996</v>
      </c>
      <c r="K85" s="2">
        <f t="shared" si="2"/>
        <v>0</v>
      </c>
      <c r="L85" s="2">
        <f t="shared" si="3"/>
        <v>650192.57999999996</v>
      </c>
      <c r="M85" s="1"/>
    </row>
    <row r="86" spans="1:13" x14ac:dyDescent="0.2">
      <c r="A86" s="1" t="s">
        <v>58</v>
      </c>
      <c r="B86" s="7"/>
      <c r="C86" s="7"/>
      <c r="D86" s="7">
        <v>134448</v>
      </c>
      <c r="E86" s="7"/>
      <c r="F86" s="7">
        <v>26325</v>
      </c>
      <c r="G86" s="7">
        <v>26325</v>
      </c>
      <c r="H86" s="2">
        <f t="shared" si="0"/>
        <v>0</v>
      </c>
      <c r="I86" s="2">
        <f t="shared" si="1"/>
        <v>0</v>
      </c>
      <c r="J86" s="2">
        <f t="shared" si="7"/>
        <v>35574.94</v>
      </c>
      <c r="K86" s="2">
        <f t="shared" si="2"/>
        <v>0</v>
      </c>
      <c r="L86" s="2">
        <f t="shared" si="3"/>
        <v>35574.94</v>
      </c>
      <c r="M86" s="1"/>
    </row>
    <row r="87" spans="1:13" x14ac:dyDescent="0.2">
      <c r="A87" s="1" t="s">
        <v>435</v>
      </c>
      <c r="B87" s="7"/>
      <c r="C87" s="7"/>
      <c r="D87" s="7">
        <v>2894999</v>
      </c>
      <c r="E87" s="7"/>
      <c r="F87" s="7">
        <v>0</v>
      </c>
      <c r="G87" s="7">
        <v>0</v>
      </c>
      <c r="H87" s="2">
        <f t="shared" si="0"/>
        <v>0</v>
      </c>
      <c r="I87" s="2">
        <f t="shared" si="1"/>
        <v>0</v>
      </c>
      <c r="J87" s="2">
        <f>D87*0.2646-0.01</f>
        <v>766016.73</v>
      </c>
      <c r="K87" s="2">
        <f t="shared" si="2"/>
        <v>0</v>
      </c>
      <c r="L87" s="2">
        <f t="shared" si="3"/>
        <v>766016.73</v>
      </c>
      <c r="M87" s="1"/>
    </row>
    <row r="88" spans="1:13" x14ac:dyDescent="0.2">
      <c r="A88" s="1" t="s">
        <v>436</v>
      </c>
      <c r="B88" s="7"/>
      <c r="C88" s="7"/>
      <c r="D88" s="7">
        <v>1807</v>
      </c>
      <c r="E88" s="7"/>
      <c r="F88" s="7">
        <v>0</v>
      </c>
      <c r="G88" s="7">
        <v>0</v>
      </c>
      <c r="H88" s="2">
        <f t="shared" si="0"/>
        <v>0</v>
      </c>
      <c r="I88" s="2">
        <f t="shared" si="1"/>
        <v>0</v>
      </c>
      <c r="J88" s="2">
        <f t="shared" ref="J88:J94" si="8">D88*0.2646</f>
        <v>478.13</v>
      </c>
      <c r="K88" s="2">
        <f t="shared" si="2"/>
        <v>0</v>
      </c>
      <c r="L88" s="2">
        <f t="shared" si="3"/>
        <v>478.13</v>
      </c>
      <c r="M88" s="1"/>
    </row>
    <row r="89" spans="1:13" x14ac:dyDescent="0.2">
      <c r="A89" s="1" t="s">
        <v>745</v>
      </c>
      <c r="B89" s="7"/>
      <c r="C89" s="7"/>
      <c r="D89" s="7">
        <v>0</v>
      </c>
      <c r="E89" s="7"/>
      <c r="F89" s="7">
        <v>11295</v>
      </c>
      <c r="G89" s="7">
        <v>11295</v>
      </c>
      <c r="H89" s="2">
        <f t="shared" si="0"/>
        <v>0</v>
      </c>
      <c r="I89" s="2">
        <f t="shared" si="1"/>
        <v>0</v>
      </c>
      <c r="J89" s="2">
        <f t="shared" si="8"/>
        <v>0</v>
      </c>
      <c r="K89" s="2">
        <f t="shared" si="2"/>
        <v>0</v>
      </c>
      <c r="L89" s="2">
        <f t="shared" si="3"/>
        <v>0</v>
      </c>
      <c r="M89" s="1"/>
    </row>
    <row r="90" spans="1:13" x14ac:dyDescent="0.2">
      <c r="A90" s="1" t="s">
        <v>349</v>
      </c>
      <c r="B90" s="7"/>
      <c r="C90" s="7"/>
      <c r="D90" s="7">
        <v>151583</v>
      </c>
      <c r="E90" s="7"/>
      <c r="F90" s="7">
        <v>1285</v>
      </c>
      <c r="G90" s="7">
        <v>1285</v>
      </c>
      <c r="H90" s="2">
        <f t="shared" si="0"/>
        <v>0</v>
      </c>
      <c r="I90" s="2">
        <f t="shared" si="1"/>
        <v>0</v>
      </c>
      <c r="J90" s="2">
        <f t="shared" si="8"/>
        <v>40108.86</v>
      </c>
      <c r="K90" s="2">
        <f t="shared" si="2"/>
        <v>0</v>
      </c>
      <c r="L90" s="2">
        <f t="shared" si="3"/>
        <v>40108.86</v>
      </c>
      <c r="M90" s="1"/>
    </row>
    <row r="91" spans="1:13" x14ac:dyDescent="0.2">
      <c r="A91" s="1" t="s">
        <v>608</v>
      </c>
      <c r="B91" s="7"/>
      <c r="C91" s="7"/>
      <c r="D91" s="7">
        <v>3584</v>
      </c>
      <c r="E91" s="7"/>
      <c r="F91" s="7">
        <v>0</v>
      </c>
      <c r="G91" s="7">
        <v>0</v>
      </c>
      <c r="H91" s="2">
        <f t="shared" si="0"/>
        <v>0</v>
      </c>
      <c r="I91" s="2">
        <f t="shared" si="1"/>
        <v>0</v>
      </c>
      <c r="J91" s="2">
        <f>D91*0.2646-223.19</f>
        <v>725.14</v>
      </c>
      <c r="K91" s="2">
        <f t="shared" si="2"/>
        <v>0</v>
      </c>
      <c r="L91" s="2">
        <f t="shared" si="3"/>
        <v>725.14</v>
      </c>
      <c r="M91" s="1"/>
    </row>
    <row r="92" spans="1:13" x14ac:dyDescent="0.2">
      <c r="A92" s="1" t="s">
        <v>773</v>
      </c>
      <c r="B92" s="7"/>
      <c r="C92" s="7"/>
      <c r="D92" s="7"/>
      <c r="E92" s="7"/>
      <c r="F92" s="7"/>
      <c r="G92" s="7"/>
      <c r="H92" s="2">
        <f t="shared" si="0"/>
        <v>0</v>
      </c>
      <c r="I92" s="2">
        <f t="shared" si="1"/>
        <v>0</v>
      </c>
      <c r="J92" s="2">
        <f>D92*0.2646+0.05</f>
        <v>0.05</v>
      </c>
      <c r="K92" s="2">
        <f t="shared" si="2"/>
        <v>0</v>
      </c>
      <c r="L92" s="2">
        <f t="shared" si="3"/>
        <v>0.05</v>
      </c>
      <c r="M92" s="1"/>
    </row>
    <row r="93" spans="1:13" s="20" customFormat="1" x14ac:dyDescent="0.2">
      <c r="A93" s="18" t="s">
        <v>59</v>
      </c>
      <c r="B93" s="245"/>
      <c r="C93" s="245"/>
      <c r="D93" s="245">
        <v>3138034</v>
      </c>
      <c r="E93" s="245">
        <v>33</v>
      </c>
      <c r="F93" s="245">
        <v>2053664</v>
      </c>
      <c r="G93" s="245">
        <v>2048355</v>
      </c>
      <c r="H93" s="2">
        <f t="shared" si="0"/>
        <v>0</v>
      </c>
      <c r="I93" s="2">
        <f t="shared" si="1"/>
        <v>0</v>
      </c>
      <c r="J93" s="2">
        <f t="shared" si="8"/>
        <v>830323.8</v>
      </c>
      <c r="K93" s="2">
        <f t="shared" si="2"/>
        <v>7.11</v>
      </c>
      <c r="L93" s="2">
        <f t="shared" si="3"/>
        <v>830330.91</v>
      </c>
      <c r="M93" s="18"/>
    </row>
    <row r="94" spans="1:13" x14ac:dyDescent="0.2">
      <c r="A94" s="1" t="s">
        <v>60</v>
      </c>
      <c r="B94" s="7"/>
      <c r="C94" s="7"/>
      <c r="D94" s="7">
        <v>208492</v>
      </c>
      <c r="E94" s="7"/>
      <c r="F94" s="7">
        <v>0</v>
      </c>
      <c r="G94" s="7">
        <v>0</v>
      </c>
      <c r="H94" s="2">
        <f t="shared" si="0"/>
        <v>0</v>
      </c>
      <c r="I94" s="2">
        <f t="shared" si="1"/>
        <v>0</v>
      </c>
      <c r="J94" s="2">
        <f t="shared" si="8"/>
        <v>55166.98</v>
      </c>
      <c r="K94" s="2">
        <f t="shared" si="2"/>
        <v>0</v>
      </c>
      <c r="L94" s="2">
        <f t="shared" si="3"/>
        <v>55166.98</v>
      </c>
      <c r="M94" s="1"/>
    </row>
    <row r="95" spans="1:13" x14ac:dyDescent="0.2">
      <c r="A95" s="1" t="s">
        <v>733</v>
      </c>
      <c r="B95" s="7"/>
      <c r="C95" s="7"/>
      <c r="D95" s="7"/>
      <c r="E95" s="7"/>
      <c r="F95" s="7"/>
      <c r="G95" s="7"/>
      <c r="H95" s="2">
        <f t="shared" si="0"/>
        <v>0</v>
      </c>
      <c r="I95" s="2">
        <f t="shared" si="1"/>
        <v>0</v>
      </c>
      <c r="J95" s="2">
        <f>D95*0.2646+0.01</f>
        <v>0.01</v>
      </c>
      <c r="K95" s="2">
        <f t="shared" si="2"/>
        <v>0</v>
      </c>
      <c r="L95" s="2">
        <f>+H95+I95+J95+K95</f>
        <v>0.01</v>
      </c>
      <c r="M95" s="1"/>
    </row>
    <row r="96" spans="1:13" ht="13.5" customHeight="1" x14ac:dyDescent="0.2">
      <c r="A96" s="1" t="s">
        <v>459</v>
      </c>
      <c r="B96" s="7"/>
      <c r="C96" s="7"/>
      <c r="D96" s="7">
        <v>0</v>
      </c>
      <c r="E96" s="7"/>
      <c r="F96" s="7">
        <v>15845</v>
      </c>
      <c r="G96" s="7">
        <v>17435</v>
      </c>
      <c r="H96" s="2">
        <f t="shared" si="0"/>
        <v>0</v>
      </c>
      <c r="I96" s="2">
        <f t="shared" si="1"/>
        <v>0</v>
      </c>
      <c r="J96" s="2">
        <f>D96*0.2646</f>
        <v>0</v>
      </c>
      <c r="K96" s="2">
        <f t="shared" si="2"/>
        <v>0</v>
      </c>
      <c r="L96" s="2">
        <f t="shared" si="3"/>
        <v>0</v>
      </c>
      <c r="M96" s="1"/>
    </row>
    <row r="97" spans="1:13" s="20" customFormat="1" x14ac:dyDescent="0.2">
      <c r="A97" s="18" t="s">
        <v>61</v>
      </c>
      <c r="B97" s="245"/>
      <c r="C97" s="245"/>
      <c r="D97" s="245">
        <v>1662563</v>
      </c>
      <c r="E97" s="245"/>
      <c r="F97" s="245">
        <v>892104</v>
      </c>
      <c r="G97" s="245">
        <v>889654</v>
      </c>
      <c r="H97" s="2">
        <f t="shared" si="0"/>
        <v>0</v>
      </c>
      <c r="I97" s="2">
        <f t="shared" si="1"/>
        <v>0</v>
      </c>
      <c r="J97" s="2">
        <f>D97*0.2646</f>
        <v>439914.17</v>
      </c>
      <c r="K97" s="2">
        <f t="shared" si="2"/>
        <v>0</v>
      </c>
      <c r="L97" s="2">
        <f t="shared" si="3"/>
        <v>439914.17</v>
      </c>
      <c r="M97" s="18"/>
    </row>
    <row r="98" spans="1:13" s="20" customFormat="1" x14ac:dyDescent="0.2">
      <c r="A98" s="1" t="s">
        <v>460</v>
      </c>
      <c r="B98" s="7"/>
      <c r="C98" s="7"/>
      <c r="D98" s="7">
        <v>50176</v>
      </c>
      <c r="E98" s="7"/>
      <c r="F98" s="7">
        <v>96710</v>
      </c>
      <c r="G98" s="7">
        <v>110401</v>
      </c>
      <c r="H98" s="2">
        <f t="shared" si="0"/>
        <v>0</v>
      </c>
      <c r="I98" s="2">
        <f t="shared" si="1"/>
        <v>0</v>
      </c>
      <c r="J98" s="2">
        <f>D98*0.2646-6.4</f>
        <v>13270.17</v>
      </c>
      <c r="K98" s="2">
        <f>E98*0.2156</f>
        <v>0</v>
      </c>
      <c r="L98" s="2">
        <f t="shared" si="3"/>
        <v>13270.17</v>
      </c>
      <c r="M98" s="1"/>
    </row>
    <row r="99" spans="1:13" s="20" customFormat="1" x14ac:dyDescent="0.2">
      <c r="A99" s="18" t="s">
        <v>62</v>
      </c>
      <c r="B99" s="245"/>
      <c r="C99" s="245"/>
      <c r="D99" s="245">
        <v>58523</v>
      </c>
      <c r="E99" s="245"/>
      <c r="F99" s="245">
        <v>98713</v>
      </c>
      <c r="G99" s="245">
        <v>98713</v>
      </c>
      <c r="H99" s="2">
        <f t="shared" si="0"/>
        <v>0</v>
      </c>
      <c r="I99" s="2">
        <f t="shared" si="1"/>
        <v>0</v>
      </c>
      <c r="J99" s="2">
        <f>D99*0.2646-0.01</f>
        <v>15485.18</v>
      </c>
      <c r="K99" s="2">
        <f t="shared" si="2"/>
        <v>0</v>
      </c>
      <c r="L99" s="2">
        <f t="shared" si="3"/>
        <v>15485.18</v>
      </c>
      <c r="M99" s="18"/>
    </row>
    <row r="100" spans="1:13" x14ac:dyDescent="0.2">
      <c r="A100" s="1" t="s">
        <v>63</v>
      </c>
      <c r="B100" s="7"/>
      <c r="C100" s="7"/>
      <c r="D100" s="7">
        <v>7031</v>
      </c>
      <c r="E100" s="7"/>
      <c r="F100" s="7">
        <v>8746</v>
      </c>
      <c r="G100" s="7">
        <v>8746</v>
      </c>
      <c r="H100" s="2">
        <f t="shared" si="0"/>
        <v>0</v>
      </c>
      <c r="I100" s="2">
        <f t="shared" si="1"/>
        <v>0</v>
      </c>
      <c r="J100" s="2">
        <f>D100*0.2646</f>
        <v>1860.4</v>
      </c>
      <c r="K100" s="2">
        <f t="shared" si="2"/>
        <v>0</v>
      </c>
      <c r="L100" s="2">
        <f t="shared" si="3"/>
        <v>1860.4</v>
      </c>
      <c r="M100" s="1"/>
    </row>
    <row r="101" spans="1:13" x14ac:dyDescent="0.2">
      <c r="A101" s="1" t="s">
        <v>64</v>
      </c>
      <c r="B101" s="7"/>
      <c r="C101" s="7"/>
      <c r="D101" s="7">
        <v>15397</v>
      </c>
      <c r="E101" s="7"/>
      <c r="F101" s="7">
        <v>23386</v>
      </c>
      <c r="G101" s="7">
        <v>23386</v>
      </c>
      <c r="H101" s="2">
        <f t="shared" si="0"/>
        <v>0</v>
      </c>
      <c r="I101" s="2">
        <f t="shared" si="1"/>
        <v>0</v>
      </c>
      <c r="J101" s="2">
        <f>D101*0.2646-0.01</f>
        <v>4074.04</v>
      </c>
      <c r="K101" s="2">
        <f t="shared" si="2"/>
        <v>0</v>
      </c>
      <c r="L101" s="2">
        <f t="shared" si="3"/>
        <v>4074.04</v>
      </c>
      <c r="M101" s="1"/>
    </row>
    <row r="102" spans="1:13" x14ac:dyDescent="0.2">
      <c r="A102" s="1" t="s">
        <v>723</v>
      </c>
      <c r="B102" s="7"/>
      <c r="C102" s="7"/>
      <c r="D102" s="7">
        <v>88248</v>
      </c>
      <c r="E102" s="7"/>
      <c r="F102" s="7">
        <v>0</v>
      </c>
      <c r="G102" s="7">
        <v>0</v>
      </c>
      <c r="H102" s="2">
        <f t="shared" si="0"/>
        <v>0</v>
      </c>
      <c r="I102" s="2">
        <f t="shared" si="1"/>
        <v>0</v>
      </c>
      <c r="J102" s="2">
        <f>D102*0.2646-0.01</f>
        <v>23350.41</v>
      </c>
      <c r="K102" s="2">
        <f t="shared" si="2"/>
        <v>0</v>
      </c>
      <c r="L102" s="2">
        <f t="shared" si="3"/>
        <v>23350.41</v>
      </c>
      <c r="M102" s="1"/>
    </row>
    <row r="103" spans="1:13" x14ac:dyDescent="0.2">
      <c r="A103" s="1" t="s">
        <v>734</v>
      </c>
      <c r="B103" s="7"/>
      <c r="C103" s="7"/>
      <c r="D103" s="7"/>
      <c r="E103" s="7"/>
      <c r="F103" s="7"/>
      <c r="G103" s="7"/>
      <c r="H103" s="2">
        <f t="shared" si="0"/>
        <v>0</v>
      </c>
      <c r="I103" s="2">
        <f t="shared" si="1"/>
        <v>0</v>
      </c>
      <c r="J103" s="2">
        <f>D103*0.2646+0.01</f>
        <v>0.01</v>
      </c>
      <c r="K103" s="2">
        <f t="shared" si="2"/>
        <v>0</v>
      </c>
      <c r="L103" s="2">
        <f>+H103+I103+J103+K103</f>
        <v>0.01</v>
      </c>
      <c r="M103" s="1"/>
    </row>
    <row r="104" spans="1:13" s="20" customFormat="1" x14ac:dyDescent="0.2">
      <c r="A104" s="18" t="s">
        <v>637</v>
      </c>
      <c r="B104" s="245"/>
      <c r="C104" s="245"/>
      <c r="D104" s="245">
        <v>320936</v>
      </c>
      <c r="E104" s="245"/>
      <c r="F104" s="245">
        <v>0</v>
      </c>
      <c r="G104" s="245">
        <v>0</v>
      </c>
      <c r="H104" s="2">
        <f t="shared" si="0"/>
        <v>0</v>
      </c>
      <c r="I104" s="2">
        <f t="shared" si="1"/>
        <v>0</v>
      </c>
      <c r="J104" s="2">
        <f>D104*0.2646</f>
        <v>84919.67</v>
      </c>
      <c r="K104" s="2">
        <f t="shared" si="2"/>
        <v>0</v>
      </c>
      <c r="L104" s="2">
        <f t="shared" si="3"/>
        <v>84919.67</v>
      </c>
      <c r="M104" s="18"/>
    </row>
    <row r="105" spans="1:13" s="20" customFormat="1" x14ac:dyDescent="0.2">
      <c r="A105" s="18" t="s">
        <v>573</v>
      </c>
      <c r="B105" s="245"/>
      <c r="C105" s="245"/>
      <c r="D105" s="245">
        <v>0</v>
      </c>
      <c r="E105" s="245"/>
      <c r="F105" s="245">
        <v>1401977</v>
      </c>
      <c r="G105" s="245">
        <v>1887227</v>
      </c>
      <c r="H105" s="2">
        <f t="shared" si="0"/>
        <v>0</v>
      </c>
      <c r="I105" s="2">
        <f t="shared" si="1"/>
        <v>0</v>
      </c>
      <c r="J105" s="2">
        <f>D105*0.2646</f>
        <v>0</v>
      </c>
      <c r="K105" s="2">
        <f t="shared" si="2"/>
        <v>0</v>
      </c>
      <c r="L105" s="2">
        <f t="shared" si="3"/>
        <v>0</v>
      </c>
      <c r="M105" s="18"/>
    </row>
    <row r="106" spans="1:13" s="20" customFormat="1" x14ac:dyDescent="0.2">
      <c r="A106" s="18" t="s">
        <v>438</v>
      </c>
      <c r="B106" s="245"/>
      <c r="C106" s="245"/>
      <c r="D106" s="245">
        <v>128056</v>
      </c>
      <c r="E106" s="245"/>
      <c r="F106" s="245">
        <v>0</v>
      </c>
      <c r="G106" s="245">
        <v>0</v>
      </c>
      <c r="H106" s="2">
        <f t="shared" ref="H106:H124" si="9">B106*0.1862</f>
        <v>0</v>
      </c>
      <c r="I106" s="2">
        <f t="shared" ref="I106:I124" si="10">C106*0.2058</f>
        <v>0</v>
      </c>
      <c r="J106" s="2">
        <f>D106*0.2646-0.01</f>
        <v>33883.61</v>
      </c>
      <c r="K106" s="2">
        <f t="shared" ref="K106:K124" si="11">E106*0.2156</f>
        <v>0</v>
      </c>
      <c r="L106" s="2">
        <f t="shared" ref="L106:L124" si="12">+H106+I106+J106+K106</f>
        <v>33883.61</v>
      </c>
      <c r="M106" s="18"/>
    </row>
    <row r="107" spans="1:13" x14ac:dyDescent="0.2">
      <c r="A107" s="1" t="s">
        <v>751</v>
      </c>
      <c r="B107" s="7"/>
      <c r="C107" s="7"/>
      <c r="D107" s="7">
        <v>274</v>
      </c>
      <c r="E107" s="7"/>
      <c r="F107" s="7">
        <v>0</v>
      </c>
      <c r="G107" s="7">
        <v>0</v>
      </c>
      <c r="H107" s="2">
        <f>B107*0.1862</f>
        <v>0</v>
      </c>
      <c r="I107" s="2">
        <f>C107*0.2058</f>
        <v>0</v>
      </c>
      <c r="J107" s="2">
        <f>D107*0.2646+1.48</f>
        <v>73.98</v>
      </c>
      <c r="K107" s="2">
        <f>E107*0.2156</f>
        <v>0</v>
      </c>
      <c r="L107" s="2">
        <f>+H107+I107+J107+K107</f>
        <v>73.98</v>
      </c>
      <c r="M107" s="1"/>
    </row>
    <row r="108" spans="1:13" x14ac:dyDescent="0.2">
      <c r="A108" s="1" t="s">
        <v>765</v>
      </c>
      <c r="B108" s="7"/>
      <c r="C108" s="7"/>
      <c r="D108" s="7"/>
      <c r="E108" s="7"/>
      <c r="F108" s="7"/>
      <c r="G108" s="7"/>
      <c r="H108" s="2">
        <f>B108*0.1862</f>
        <v>0</v>
      </c>
      <c r="I108" s="2">
        <f>C108*0.2058</f>
        <v>0</v>
      </c>
      <c r="J108" s="2">
        <f>D108*0.2646</f>
        <v>0</v>
      </c>
      <c r="K108" s="2">
        <f>E108*0.2156</f>
        <v>0</v>
      </c>
      <c r="L108" s="2">
        <f>+H108+I108+J108+K108+247.03</f>
        <v>247.03</v>
      </c>
      <c r="M108" s="1"/>
    </row>
    <row r="109" spans="1:13" x14ac:dyDescent="0.2">
      <c r="A109" s="18" t="s">
        <v>66</v>
      </c>
      <c r="B109" s="245"/>
      <c r="C109" s="245"/>
      <c r="D109" s="245">
        <v>56052</v>
      </c>
      <c r="E109" s="245"/>
      <c r="F109" s="245">
        <v>0</v>
      </c>
      <c r="G109" s="245">
        <v>0</v>
      </c>
      <c r="H109" s="2">
        <f t="shared" si="9"/>
        <v>0</v>
      </c>
      <c r="I109" s="2">
        <f t="shared" si="10"/>
        <v>0</v>
      </c>
      <c r="J109" s="2">
        <f t="shared" ref="J109:J124" si="13">D109*0.2646</f>
        <v>14831.36</v>
      </c>
      <c r="K109" s="2">
        <f t="shared" si="11"/>
        <v>0</v>
      </c>
      <c r="L109" s="2">
        <f t="shared" si="12"/>
        <v>14831.36</v>
      </c>
      <c r="M109" s="18"/>
    </row>
    <row r="110" spans="1:13" x14ac:dyDescent="0.2">
      <c r="A110" s="18" t="s">
        <v>477</v>
      </c>
      <c r="B110" s="245"/>
      <c r="C110" s="245"/>
      <c r="D110" s="245">
        <v>1289488</v>
      </c>
      <c r="E110" s="245"/>
      <c r="F110" s="245">
        <v>137615</v>
      </c>
      <c r="G110" s="245">
        <v>137615</v>
      </c>
      <c r="H110" s="2">
        <f t="shared" si="9"/>
        <v>0</v>
      </c>
      <c r="I110" s="2">
        <f t="shared" si="10"/>
        <v>0</v>
      </c>
      <c r="J110" s="2">
        <f t="shared" si="13"/>
        <v>341198.52</v>
      </c>
      <c r="K110" s="2">
        <f t="shared" si="11"/>
        <v>0</v>
      </c>
      <c r="L110" s="2">
        <f t="shared" si="12"/>
        <v>341198.52</v>
      </c>
      <c r="M110" s="18"/>
    </row>
    <row r="111" spans="1:13" x14ac:dyDescent="0.2">
      <c r="A111" s="18" t="s">
        <v>67</v>
      </c>
      <c r="B111" s="245"/>
      <c r="C111" s="245"/>
      <c r="D111" s="245">
        <v>0</v>
      </c>
      <c r="E111" s="245"/>
      <c r="F111" s="245">
        <v>17037</v>
      </c>
      <c r="G111" s="245">
        <v>17037</v>
      </c>
      <c r="H111" s="2">
        <f t="shared" si="9"/>
        <v>0</v>
      </c>
      <c r="I111" s="2">
        <f t="shared" si="10"/>
        <v>0</v>
      </c>
      <c r="J111" s="2">
        <f t="shared" si="13"/>
        <v>0</v>
      </c>
      <c r="K111" s="2">
        <f t="shared" si="11"/>
        <v>0</v>
      </c>
      <c r="L111" s="2">
        <f t="shared" si="12"/>
        <v>0</v>
      </c>
      <c r="M111" s="18"/>
    </row>
    <row r="112" spans="1:13" x14ac:dyDescent="0.2">
      <c r="A112" s="18" t="s">
        <v>83</v>
      </c>
      <c r="B112" s="245"/>
      <c r="C112" s="245"/>
      <c r="D112" s="245">
        <v>223582</v>
      </c>
      <c r="E112" s="245"/>
      <c r="F112" s="245">
        <v>0</v>
      </c>
      <c r="G112" s="245">
        <v>0</v>
      </c>
      <c r="H112" s="2">
        <f t="shared" si="9"/>
        <v>0</v>
      </c>
      <c r="I112" s="2">
        <f t="shared" si="10"/>
        <v>0</v>
      </c>
      <c r="J112" s="2">
        <f t="shared" si="13"/>
        <v>59159.8</v>
      </c>
      <c r="K112" s="2">
        <f t="shared" si="11"/>
        <v>0</v>
      </c>
      <c r="L112" s="2">
        <f t="shared" si="12"/>
        <v>59159.8</v>
      </c>
      <c r="M112" s="18"/>
    </row>
    <row r="113" spans="1:32" x14ac:dyDescent="0.2">
      <c r="A113" s="18" t="s">
        <v>350</v>
      </c>
      <c r="B113" s="245"/>
      <c r="C113" s="245"/>
      <c r="D113" s="245">
        <v>2484990</v>
      </c>
      <c r="E113" s="245"/>
      <c r="F113" s="245">
        <v>17193</v>
      </c>
      <c r="G113" s="245">
        <v>17193</v>
      </c>
      <c r="H113" s="2">
        <f t="shared" si="9"/>
        <v>0</v>
      </c>
      <c r="I113" s="2">
        <f t="shared" si="10"/>
        <v>0</v>
      </c>
      <c r="J113" s="2">
        <f t="shared" si="13"/>
        <v>657528.35</v>
      </c>
      <c r="K113" s="2">
        <f t="shared" si="11"/>
        <v>0</v>
      </c>
      <c r="L113" s="2">
        <f t="shared" si="12"/>
        <v>657528.35</v>
      </c>
      <c r="M113" s="18"/>
    </row>
    <row r="114" spans="1:32" s="20" customFormat="1" x14ac:dyDescent="0.2">
      <c r="A114" s="18" t="s">
        <v>363</v>
      </c>
      <c r="B114" s="245"/>
      <c r="C114" s="245"/>
      <c r="D114" s="245">
        <v>53498</v>
      </c>
      <c r="E114" s="245"/>
      <c r="F114" s="245">
        <v>200133</v>
      </c>
      <c r="G114" s="245">
        <v>200133</v>
      </c>
      <c r="H114" s="2">
        <f t="shared" si="9"/>
        <v>0</v>
      </c>
      <c r="I114" s="2">
        <f t="shared" si="10"/>
        <v>0</v>
      </c>
      <c r="J114" s="2">
        <f t="shared" si="13"/>
        <v>14155.57</v>
      </c>
      <c r="K114" s="2">
        <f t="shared" si="11"/>
        <v>0</v>
      </c>
      <c r="L114" s="2">
        <f t="shared" si="12"/>
        <v>14155.57</v>
      </c>
      <c r="M114" s="18"/>
    </row>
    <row r="115" spans="1:32" x14ac:dyDescent="0.2">
      <c r="A115" s="1" t="s">
        <v>68</v>
      </c>
      <c r="B115" s="7"/>
      <c r="C115" s="7"/>
      <c r="D115" s="7">
        <v>13359</v>
      </c>
      <c r="E115" s="7"/>
      <c r="F115" s="7">
        <v>84912</v>
      </c>
      <c r="G115" s="7">
        <v>84912</v>
      </c>
      <c r="H115" s="2">
        <f t="shared" si="9"/>
        <v>0</v>
      </c>
      <c r="I115" s="2">
        <f t="shared" si="10"/>
        <v>0</v>
      </c>
      <c r="J115" s="2">
        <f t="shared" si="13"/>
        <v>3534.79</v>
      </c>
      <c r="K115" s="2">
        <f t="shared" si="11"/>
        <v>0</v>
      </c>
      <c r="L115" s="2">
        <f t="shared" si="12"/>
        <v>3534.79</v>
      </c>
      <c r="M115" s="1"/>
    </row>
    <row r="116" spans="1:32" x14ac:dyDescent="0.2">
      <c r="A116" s="1" t="s">
        <v>574</v>
      </c>
      <c r="B116" s="7"/>
      <c r="C116" s="7"/>
      <c r="D116" s="7">
        <v>151825</v>
      </c>
      <c r="E116" s="7"/>
      <c r="F116" s="7">
        <v>0</v>
      </c>
      <c r="G116" s="7">
        <v>0</v>
      </c>
      <c r="H116" s="2">
        <f t="shared" si="9"/>
        <v>0</v>
      </c>
      <c r="I116" s="2">
        <f t="shared" si="10"/>
        <v>0</v>
      </c>
      <c r="J116" s="2">
        <f>D116*0.2646+0.01</f>
        <v>40172.910000000003</v>
      </c>
      <c r="K116" s="2">
        <f t="shared" si="11"/>
        <v>0</v>
      </c>
      <c r="L116" s="2">
        <f t="shared" si="12"/>
        <v>40172.910000000003</v>
      </c>
      <c r="M116" s="1"/>
    </row>
    <row r="117" spans="1:32" x14ac:dyDescent="0.2">
      <c r="A117" s="1" t="s">
        <v>439</v>
      </c>
      <c r="B117" s="7"/>
      <c r="C117" s="7"/>
      <c r="D117" s="7">
        <v>5997</v>
      </c>
      <c r="E117" s="7"/>
      <c r="F117" s="7">
        <v>0</v>
      </c>
      <c r="G117" s="7">
        <v>0</v>
      </c>
      <c r="H117" s="2">
        <f t="shared" si="9"/>
        <v>0</v>
      </c>
      <c r="I117" s="2">
        <f t="shared" si="10"/>
        <v>0</v>
      </c>
      <c r="J117" s="2">
        <f t="shared" si="13"/>
        <v>1586.81</v>
      </c>
      <c r="K117" s="2">
        <f t="shared" si="11"/>
        <v>0</v>
      </c>
      <c r="L117" s="2">
        <f t="shared" si="12"/>
        <v>1586.81</v>
      </c>
      <c r="M117" s="1"/>
    </row>
    <row r="118" spans="1:32" ht="12.75" customHeight="1" x14ac:dyDescent="0.2">
      <c r="A118" s="1" t="s">
        <v>712</v>
      </c>
      <c r="B118" s="7"/>
      <c r="C118" s="7"/>
      <c r="D118" s="7">
        <v>14808</v>
      </c>
      <c r="E118" s="7"/>
      <c r="F118" s="7">
        <v>0</v>
      </c>
      <c r="G118" s="7">
        <v>0</v>
      </c>
      <c r="H118" s="2">
        <f>B118*0.1862</f>
        <v>0</v>
      </c>
      <c r="I118" s="2">
        <f>C118*0.2058</f>
        <v>0</v>
      </c>
      <c r="J118" s="2">
        <f>D118*0.2646</f>
        <v>3918.2</v>
      </c>
      <c r="K118" s="2">
        <f>E118*0.2156</f>
        <v>0</v>
      </c>
      <c r="L118" s="2">
        <f>+H118+I118+J118+K118</f>
        <v>3918.2</v>
      </c>
      <c r="M118" s="1"/>
    </row>
    <row r="119" spans="1:32" ht="12.75" customHeight="1" x14ac:dyDescent="0.2">
      <c r="A119" s="1" t="s">
        <v>716</v>
      </c>
      <c r="B119" s="7"/>
      <c r="C119" s="7"/>
      <c r="D119" s="7">
        <v>54367</v>
      </c>
      <c r="E119" s="7"/>
      <c r="F119" s="7">
        <v>60740</v>
      </c>
      <c r="G119" s="7">
        <v>60740</v>
      </c>
      <c r="H119" s="2">
        <f t="shared" si="9"/>
        <v>0</v>
      </c>
      <c r="I119" s="2">
        <f t="shared" si="10"/>
        <v>0</v>
      </c>
      <c r="J119" s="2">
        <f>D119*0.2646-0.02</f>
        <v>14385.49</v>
      </c>
      <c r="K119" s="2">
        <f t="shared" si="11"/>
        <v>0</v>
      </c>
      <c r="L119" s="2">
        <f t="shared" si="12"/>
        <v>14385.49</v>
      </c>
      <c r="M119" s="1"/>
    </row>
    <row r="120" spans="1:32" x14ac:dyDescent="0.2">
      <c r="A120" s="1" t="s">
        <v>440</v>
      </c>
      <c r="B120" s="7"/>
      <c r="C120" s="7"/>
      <c r="D120" s="7">
        <v>4515</v>
      </c>
      <c r="E120" s="7"/>
      <c r="F120" s="7">
        <v>0</v>
      </c>
      <c r="G120" s="7">
        <v>0</v>
      </c>
      <c r="H120" s="2">
        <f t="shared" si="9"/>
        <v>0</v>
      </c>
      <c r="I120" s="2">
        <f t="shared" si="10"/>
        <v>0</v>
      </c>
      <c r="J120" s="2">
        <f t="shared" si="13"/>
        <v>1194.67</v>
      </c>
      <c r="K120" s="2">
        <f t="shared" si="11"/>
        <v>0</v>
      </c>
      <c r="L120" s="2">
        <f t="shared" si="12"/>
        <v>1194.67</v>
      </c>
      <c r="M120" s="1"/>
    </row>
    <row r="121" spans="1:32" x14ac:dyDescent="0.2">
      <c r="A121" s="1" t="s">
        <v>84</v>
      </c>
      <c r="B121" s="7"/>
      <c r="C121" s="7"/>
      <c r="D121" s="7">
        <v>5476</v>
      </c>
      <c r="E121" s="7"/>
      <c r="F121" s="7">
        <v>1033</v>
      </c>
      <c r="G121" s="7">
        <v>1033</v>
      </c>
      <c r="H121" s="2">
        <f t="shared" si="9"/>
        <v>0</v>
      </c>
      <c r="I121" s="2">
        <f t="shared" si="10"/>
        <v>0</v>
      </c>
      <c r="J121" s="2">
        <f t="shared" si="13"/>
        <v>1448.95</v>
      </c>
      <c r="K121" s="2">
        <f t="shared" si="11"/>
        <v>0</v>
      </c>
      <c r="L121" s="2">
        <f t="shared" si="12"/>
        <v>1448.95</v>
      </c>
      <c r="M121" s="1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</row>
    <row r="122" spans="1:32" x14ac:dyDescent="0.2">
      <c r="A122" s="18" t="s">
        <v>575</v>
      </c>
      <c r="B122" s="245"/>
      <c r="C122" s="245"/>
      <c r="D122" s="245">
        <v>0</v>
      </c>
      <c r="E122" s="245"/>
      <c r="F122" s="245">
        <v>139678</v>
      </c>
      <c r="G122" s="245">
        <v>139678</v>
      </c>
      <c r="H122" s="2">
        <f t="shared" si="9"/>
        <v>0</v>
      </c>
      <c r="I122" s="2">
        <f t="shared" si="10"/>
        <v>0</v>
      </c>
      <c r="J122" s="2">
        <f t="shared" si="13"/>
        <v>0</v>
      </c>
      <c r="K122" s="2">
        <f t="shared" si="11"/>
        <v>0</v>
      </c>
      <c r="L122" s="2">
        <f t="shared" si="12"/>
        <v>0</v>
      </c>
      <c r="M122" s="18"/>
      <c r="N122" s="245"/>
      <c r="O122" s="245"/>
      <c r="P122" s="245"/>
      <c r="Q122" s="245"/>
      <c r="R122" s="245"/>
      <c r="S122" s="245"/>
      <c r="T122" s="245"/>
      <c r="U122" s="245"/>
      <c r="V122" s="245"/>
      <c r="W122" s="245"/>
      <c r="X122" s="245"/>
      <c r="Y122" s="245"/>
      <c r="Z122" s="245"/>
      <c r="AA122" s="245"/>
      <c r="AB122" s="245"/>
      <c r="AC122" s="245"/>
      <c r="AD122" s="245"/>
      <c r="AE122" s="245"/>
      <c r="AF122" s="245"/>
    </row>
    <row r="123" spans="1:32" x14ac:dyDescent="0.2">
      <c r="A123" s="18" t="s">
        <v>70</v>
      </c>
      <c r="B123" s="245"/>
      <c r="C123" s="245"/>
      <c r="D123" s="245">
        <v>459125</v>
      </c>
      <c r="E123" s="245">
        <v>2209</v>
      </c>
      <c r="F123" s="245">
        <v>284481</v>
      </c>
      <c r="G123" s="245">
        <v>284481</v>
      </c>
      <c r="H123" s="2">
        <f t="shared" si="9"/>
        <v>0</v>
      </c>
      <c r="I123" s="2">
        <f t="shared" si="10"/>
        <v>0</v>
      </c>
      <c r="J123" s="2">
        <f t="shared" si="13"/>
        <v>121484.48</v>
      </c>
      <c r="K123" s="2">
        <f t="shared" si="11"/>
        <v>476.26</v>
      </c>
      <c r="L123" s="2">
        <f t="shared" si="12"/>
        <v>121960.74</v>
      </c>
      <c r="M123" s="18"/>
      <c r="N123" s="245"/>
      <c r="O123" s="245"/>
      <c r="P123" s="245"/>
      <c r="Q123" s="245"/>
      <c r="R123" s="245"/>
      <c r="S123" s="245"/>
      <c r="T123" s="245"/>
      <c r="U123" s="245"/>
      <c r="V123" s="245"/>
      <c r="W123" s="245"/>
      <c r="X123" s="245"/>
      <c r="Y123" s="245"/>
      <c r="Z123" s="245"/>
      <c r="AA123" s="245"/>
      <c r="AB123" s="245"/>
      <c r="AC123" s="245"/>
      <c r="AD123" s="245"/>
      <c r="AE123" s="245"/>
      <c r="AF123" s="245"/>
    </row>
    <row r="124" spans="1:32" x14ac:dyDescent="0.2">
      <c r="A124" s="1" t="s">
        <v>71</v>
      </c>
      <c r="B124" s="7"/>
      <c r="C124" s="7"/>
      <c r="D124" s="7">
        <v>58475</v>
      </c>
      <c r="E124" s="7"/>
      <c r="F124" s="7">
        <v>65302</v>
      </c>
      <c r="G124" s="7">
        <v>66606</v>
      </c>
      <c r="H124" s="2">
        <f t="shared" si="9"/>
        <v>0</v>
      </c>
      <c r="I124" s="2">
        <f t="shared" si="10"/>
        <v>0</v>
      </c>
      <c r="J124" s="2">
        <f t="shared" si="13"/>
        <v>15472.49</v>
      </c>
      <c r="K124" s="2">
        <f t="shared" si="11"/>
        <v>0</v>
      </c>
      <c r="L124" s="2">
        <f t="shared" si="12"/>
        <v>15472.49</v>
      </c>
      <c r="M124" s="1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</row>
    <row r="125" spans="1:32" x14ac:dyDescent="0.2">
      <c r="A125" s="1" t="s">
        <v>361</v>
      </c>
      <c r="B125" s="7"/>
      <c r="C125" s="7"/>
      <c r="D125" s="7">
        <v>17826</v>
      </c>
      <c r="E125" s="7"/>
      <c r="F125" s="7">
        <v>0</v>
      </c>
      <c r="G125" s="7">
        <v>0</v>
      </c>
      <c r="H125" s="2">
        <f>B125*0.1862</f>
        <v>0</v>
      </c>
      <c r="I125" s="2">
        <f>C125*0.2058</f>
        <v>0</v>
      </c>
      <c r="J125" s="2">
        <f>D125*0.2646</f>
        <v>4716.76</v>
      </c>
      <c r="K125" s="2">
        <f>E125*0.2156</f>
        <v>0</v>
      </c>
      <c r="L125" s="2">
        <f>+H125+I125+J125+K125</f>
        <v>4716.76</v>
      </c>
      <c r="M125" s="1"/>
    </row>
    <row r="126" spans="1:32" x14ac:dyDescent="0.2">
      <c r="A126" s="1" t="s">
        <v>220</v>
      </c>
      <c r="B126" s="7"/>
      <c r="C126" s="7"/>
      <c r="D126" s="7">
        <v>0</v>
      </c>
      <c r="E126" s="7"/>
      <c r="F126" s="7">
        <v>7597</v>
      </c>
      <c r="G126" s="7">
        <v>7597</v>
      </c>
      <c r="H126" s="2">
        <f>B126*0.1862</f>
        <v>0</v>
      </c>
      <c r="I126" s="2">
        <f>C126*0.2058</f>
        <v>0</v>
      </c>
      <c r="J126" s="2">
        <f>D126*0.2646</f>
        <v>0</v>
      </c>
      <c r="K126" s="2">
        <f>E126*0.2156</f>
        <v>0</v>
      </c>
      <c r="L126" s="2">
        <f>+H126+I126+J126+K126</f>
        <v>0</v>
      </c>
      <c r="M126" s="1"/>
    </row>
    <row r="127" spans="1:32" x14ac:dyDescent="0.2">
      <c r="A127" s="10"/>
      <c r="B127" s="32"/>
      <c r="C127" s="32"/>
      <c r="D127" s="32"/>
      <c r="E127" s="32"/>
      <c r="F127" s="32"/>
      <c r="G127" s="32"/>
      <c r="H127" s="33"/>
      <c r="I127" s="33"/>
      <c r="J127" s="33"/>
      <c r="K127" s="33"/>
      <c r="L127" s="33"/>
      <c r="M127" s="89"/>
    </row>
    <row r="128" spans="1:32" s="141" customFormat="1" x14ac:dyDescent="0.2">
      <c r="A128" s="128" t="s">
        <v>72</v>
      </c>
      <c r="B128" s="285">
        <f t="shared" ref="B128:G128" si="14">SUM(B12:B127)</f>
        <v>0</v>
      </c>
      <c r="C128" s="285">
        <f t="shared" si="14"/>
        <v>-107</v>
      </c>
      <c r="D128" s="285">
        <f t="shared" si="14"/>
        <v>31272858</v>
      </c>
      <c r="E128" s="285">
        <f t="shared" si="14"/>
        <v>100229</v>
      </c>
      <c r="F128" s="285">
        <f t="shared" si="14"/>
        <v>19686455</v>
      </c>
      <c r="G128" s="285">
        <f t="shared" si="14"/>
        <v>20055489</v>
      </c>
      <c r="H128" s="286">
        <f>SUM(H13:H127)</f>
        <v>0</v>
      </c>
      <c r="I128" s="286">
        <f>SUM(I13:I127)</f>
        <v>-22.02</v>
      </c>
      <c r="J128" s="286">
        <f>SUM(J13:J127)</f>
        <v>8274344.4500000002</v>
      </c>
      <c r="K128" s="286">
        <f>SUM(K13:K127)</f>
        <v>21609.360000000001</v>
      </c>
      <c r="L128" s="286">
        <f>SUM(L13:L127)</f>
        <v>8285068.3899999997</v>
      </c>
      <c r="M128" s="285"/>
    </row>
    <row r="129" spans="1:13" hidden="1" x14ac:dyDescent="0.2">
      <c r="A129" s="127" t="s">
        <v>600</v>
      </c>
      <c r="B129" s="7">
        <v>0</v>
      </c>
      <c r="C129" s="7"/>
      <c r="D129" s="7"/>
      <c r="E129" s="7"/>
      <c r="F129" s="7"/>
      <c r="G129" s="7"/>
      <c r="H129" s="287"/>
      <c r="I129" s="287">
        <v>-22.02</v>
      </c>
      <c r="J129" s="287">
        <v>8426874.1799999997</v>
      </c>
      <c r="K129" s="287">
        <v>21609.360000000001</v>
      </c>
      <c r="L129" s="287">
        <v>8449980.8800000008</v>
      </c>
      <c r="M129" s="1"/>
    </row>
    <row r="130" spans="1:13" hidden="1" x14ac:dyDescent="0.2">
      <c r="A130" s="127" t="s">
        <v>695</v>
      </c>
      <c r="B130" s="7"/>
      <c r="C130" s="7"/>
      <c r="D130" s="7"/>
      <c r="E130" s="7"/>
      <c r="F130" s="7"/>
      <c r="G130" s="7"/>
      <c r="H130" s="287"/>
      <c r="I130" s="287"/>
      <c r="J130" s="287"/>
      <c r="K130" s="287"/>
      <c r="L130" s="287">
        <v>-12382.76</v>
      </c>
      <c r="M130" s="1"/>
    </row>
    <row r="131" spans="1:13" hidden="1" x14ac:dyDescent="0.2">
      <c r="A131" s="127" t="s">
        <v>718</v>
      </c>
      <c r="B131" s="7"/>
      <c r="C131" s="7"/>
      <c r="D131" s="7"/>
      <c r="E131" s="7"/>
      <c r="F131" s="7"/>
      <c r="G131" s="7"/>
      <c r="H131" s="287"/>
      <c r="I131" s="287"/>
      <c r="J131" s="287"/>
      <c r="K131" s="287"/>
      <c r="L131" s="287">
        <v>1519.36</v>
      </c>
      <c r="M131" s="1"/>
    </row>
    <row r="132" spans="1:13" ht="13.5" hidden="1" thickBot="1" x14ac:dyDescent="0.25">
      <c r="A132" s="128" t="s">
        <v>309</v>
      </c>
      <c r="B132" s="34">
        <f t="shared" ref="B132:K132" si="15">+B128-B129-B130</f>
        <v>0</v>
      </c>
      <c r="C132" s="34">
        <f t="shared" si="15"/>
        <v>-107</v>
      </c>
      <c r="D132" s="34">
        <f t="shared" si="15"/>
        <v>31272858</v>
      </c>
      <c r="E132" s="34">
        <f t="shared" si="15"/>
        <v>100229</v>
      </c>
      <c r="F132" s="34">
        <f t="shared" si="15"/>
        <v>19686455</v>
      </c>
      <c r="G132" s="34">
        <f t="shared" si="15"/>
        <v>20055489</v>
      </c>
      <c r="H132" s="288">
        <f t="shared" si="15"/>
        <v>0</v>
      </c>
      <c r="I132" s="288">
        <f t="shared" si="15"/>
        <v>0</v>
      </c>
      <c r="J132" s="288">
        <f t="shared" si="15"/>
        <v>-152529.73000000001</v>
      </c>
      <c r="K132" s="288">
        <f t="shared" si="15"/>
        <v>0</v>
      </c>
      <c r="L132" s="288">
        <f>+L128-L129-L130</f>
        <v>-152529.73000000001</v>
      </c>
      <c r="M132" s="1"/>
    </row>
    <row r="133" spans="1:13" hidden="1" x14ac:dyDescent="0.2">
      <c r="A133" s="1"/>
      <c r="B133" s="7" t="s">
        <v>82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idden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>
        <f>'s6'!J28</f>
        <v>8116.67</v>
      </c>
      <c r="M134" s="2"/>
    </row>
    <row r="135" spans="1:13" hidden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  <c r="M135" s="1"/>
    </row>
    <row r="136" spans="1:13" hidden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79">
        <v>8116.67</v>
      </c>
      <c r="M136" s="1"/>
    </row>
    <row r="137" spans="1:13" hidden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</row>
    <row r="138" spans="1:13" hidden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>
        <f>ST12.65+_ST5+ST5.35</f>
        <v>21093866.309999999</v>
      </c>
      <c r="K138" s="1"/>
      <c r="L138" s="2">
        <f>+L132+L134-L136</f>
        <v>-152529.73000000001</v>
      </c>
      <c r="M138" s="1"/>
    </row>
    <row r="139" spans="1:13" hidden="1" x14ac:dyDescent="0.2">
      <c r="A139" s="1"/>
      <c r="B139" s="1"/>
      <c r="C139" s="1"/>
      <c r="D139" s="1"/>
      <c r="E139" s="1"/>
      <c r="F139" s="1"/>
      <c r="G139" s="1"/>
      <c r="H139" s="1" t="s">
        <v>500</v>
      </c>
      <c r="I139" s="1"/>
      <c r="J139" s="234">
        <v>21093866.309999999</v>
      </c>
      <c r="K139" s="1"/>
      <c r="L139" s="1"/>
      <c r="M139" s="1"/>
    </row>
    <row r="140" spans="1:13" hidden="1" x14ac:dyDescent="0.2">
      <c r="J140" s="222">
        <f>J138-J139</f>
        <v>0</v>
      </c>
    </row>
    <row r="141" spans="1:13" hidden="1" x14ac:dyDescent="0.2"/>
    <row r="142" spans="1:13" hidden="1" x14ac:dyDescent="0.2"/>
    <row r="143" spans="1:13" hidden="1" x14ac:dyDescent="0.2"/>
    <row r="146" spans="13:13" x14ac:dyDescent="0.2">
      <c r="M146" s="1" t="s">
        <v>80</v>
      </c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zoomScaleNormal="100" workbookViewId="0"/>
  </sheetViews>
  <sheetFormatPr defaultRowHeight="12.75" x14ac:dyDescent="0.2"/>
  <cols>
    <col min="1" max="1" width="16" customWidth="1"/>
    <col min="2" max="2" width="30" bestFit="1" customWidth="1"/>
    <col min="3" max="3" width="11.5703125" bestFit="1" customWidth="1"/>
    <col min="4" max="4" width="16.5703125" style="150" customWidth="1"/>
    <col min="5" max="5" width="12.28515625" customWidth="1"/>
    <col min="6" max="6" width="13.85546875" customWidth="1"/>
    <col min="7" max="7" width="13.140625" customWidth="1"/>
  </cols>
  <sheetData>
    <row r="1" spans="1:7" x14ac:dyDescent="0.2">
      <c r="A1" t="s">
        <v>509</v>
      </c>
    </row>
    <row r="2" spans="1:7" x14ac:dyDescent="0.2">
      <c r="A2" t="s">
        <v>510</v>
      </c>
      <c r="B2" t="str">
        <f>+'s1'!$A$2</f>
        <v>MAY 2004</v>
      </c>
      <c r="C2" t="s">
        <v>561</v>
      </c>
      <c r="G2" t="s">
        <v>12</v>
      </c>
    </row>
    <row r="3" spans="1:7" x14ac:dyDescent="0.2">
      <c r="C3" t="s">
        <v>562</v>
      </c>
      <c r="D3" s="171" t="s">
        <v>557</v>
      </c>
      <c r="E3" t="s">
        <v>558</v>
      </c>
      <c r="F3" t="s">
        <v>560</v>
      </c>
      <c r="G3" t="s">
        <v>559</v>
      </c>
    </row>
    <row r="4" spans="1:7" x14ac:dyDescent="0.2">
      <c r="A4" s="256">
        <v>3921</v>
      </c>
      <c r="B4" s="257" t="s">
        <v>530</v>
      </c>
      <c r="C4" s="161">
        <f>-SUM(C6:C8)/2</f>
        <v>129283.72</v>
      </c>
      <c r="G4" s="11">
        <f>+C4+E4</f>
        <v>129283.72</v>
      </c>
    </row>
    <row r="5" spans="1:7" x14ac:dyDescent="0.2">
      <c r="A5" s="256">
        <v>3922</v>
      </c>
      <c r="B5" s="257" t="s">
        <v>531</v>
      </c>
      <c r="C5" s="161">
        <f>+C4</f>
        <v>129283.72</v>
      </c>
      <c r="G5" s="11">
        <f>+C5+E5</f>
        <v>129283.72</v>
      </c>
    </row>
    <row r="6" spans="1:7" x14ac:dyDescent="0.2">
      <c r="A6" s="256">
        <v>3924</v>
      </c>
      <c r="B6" s="257" t="s">
        <v>554</v>
      </c>
      <c r="C6" s="258">
        <f>-'s4'!C8</f>
        <v>-142246.49</v>
      </c>
      <c r="E6" s="11">
        <f>-'s4'!D8</f>
        <v>-66928.89</v>
      </c>
      <c r="F6" s="11">
        <f>+'s4'!F8</f>
        <v>0</v>
      </c>
      <c r="G6" s="11">
        <f>+C6+E6+F6</f>
        <v>-209175.38</v>
      </c>
    </row>
    <row r="7" spans="1:7" x14ac:dyDescent="0.2">
      <c r="A7" s="256">
        <v>3925</v>
      </c>
      <c r="B7" s="257" t="s">
        <v>555</v>
      </c>
      <c r="C7" s="258">
        <f>-'s4'!C9</f>
        <v>-56210.23</v>
      </c>
      <c r="E7" s="11">
        <f>-'s4'!D9</f>
        <v>-26454.15</v>
      </c>
      <c r="F7" s="11">
        <f>+'s4'!F9</f>
        <v>0</v>
      </c>
      <c r="G7" s="11">
        <f>+C7+E7+F7</f>
        <v>-82664.38</v>
      </c>
    </row>
    <row r="8" spans="1:7" x14ac:dyDescent="0.2">
      <c r="A8" s="256">
        <v>3926</v>
      </c>
      <c r="B8" s="257" t="s">
        <v>556</v>
      </c>
      <c r="C8" s="258">
        <f>-LessWP535</f>
        <v>-60110.720000000001</v>
      </c>
      <c r="E8" s="11">
        <f>-'s4'!D10</f>
        <v>-28305.95</v>
      </c>
      <c r="F8" s="11">
        <f>-LessAF535</f>
        <v>-15805.83</v>
      </c>
      <c r="G8" s="11">
        <f>+C8+E8+F8</f>
        <v>-104222.5</v>
      </c>
    </row>
    <row r="9" spans="1:7" x14ac:dyDescent="0.2">
      <c r="A9" t="s">
        <v>532</v>
      </c>
      <c r="E9" s="11" t="s">
        <v>82</v>
      </c>
      <c r="G9" s="11" t="s">
        <v>82</v>
      </c>
    </row>
    <row r="10" spans="1:7" x14ac:dyDescent="0.2">
      <c r="A10" t="s">
        <v>529</v>
      </c>
      <c r="B10" t="str">
        <f>+'s1'!$A$2</f>
        <v>MAY 2004</v>
      </c>
    </row>
    <row r="11" spans="1:7" x14ac:dyDescent="0.2">
      <c r="D11" s="171"/>
    </row>
    <row r="12" spans="1:7" x14ac:dyDescent="0.2">
      <c r="A12" s="259">
        <v>3904</v>
      </c>
      <c r="B12" s="260" t="s">
        <v>511</v>
      </c>
      <c r="C12" s="260"/>
      <c r="D12" s="150">
        <f>+'s3,s3b,s3d'!E106</f>
        <v>109330</v>
      </c>
      <c r="E12" s="11">
        <f>-'s4'!D15-'s4'!D16</f>
        <v>-249.01</v>
      </c>
      <c r="F12" s="150">
        <f>-SUM('s4'!F15:F16)</f>
        <v>-1381.22</v>
      </c>
      <c r="G12" s="161">
        <f>+D12+E12+F12</f>
        <v>107699.77</v>
      </c>
    </row>
    <row r="13" spans="1:7" x14ac:dyDescent="0.2">
      <c r="A13" s="259">
        <v>3905</v>
      </c>
      <c r="B13" s="260" t="s">
        <v>512</v>
      </c>
      <c r="C13" s="260"/>
      <c r="D13" s="150">
        <f>+'s3,s3b,s3d'!E107</f>
        <v>80754.87</v>
      </c>
      <c r="E13" s="11">
        <f>-'s4'!D17-'s4'!D18</f>
        <v>-468.35</v>
      </c>
      <c r="F13" s="150">
        <f>-SUM('s4'!F17:F18)</f>
        <v>-161</v>
      </c>
      <c r="G13" s="161">
        <f t="shared" ref="G13:G52" si="0">+D13+E13+F13</f>
        <v>80125.52</v>
      </c>
    </row>
    <row r="14" spans="1:7" x14ac:dyDescent="0.2">
      <c r="A14" s="259">
        <v>3906</v>
      </c>
      <c r="B14" s="260" t="s">
        <v>513</v>
      </c>
      <c r="C14" s="260"/>
      <c r="D14" s="150">
        <f>+'s3,s3b,s3d'!E110</f>
        <v>1664739.31</v>
      </c>
      <c r="E14" s="11">
        <f>-'s4'!D19-'s4'!D20</f>
        <v>-4261.74</v>
      </c>
      <c r="F14" s="150">
        <f>-SUM('s4'!F19:F20)</f>
        <v>-27784.32</v>
      </c>
      <c r="G14" s="161">
        <f t="shared" si="0"/>
        <v>1632693.25</v>
      </c>
    </row>
    <row r="15" spans="1:7" x14ac:dyDescent="0.2">
      <c r="A15" s="259">
        <v>3907</v>
      </c>
      <c r="B15" s="260" t="s">
        <v>514</v>
      </c>
      <c r="C15" s="260"/>
      <c r="D15" s="150">
        <f>+'s3,s3b,s3d'!E117</f>
        <v>85548.45</v>
      </c>
      <c r="E15" s="11">
        <f>-'s4'!D21-'s4'!D22</f>
        <v>-99.33</v>
      </c>
      <c r="F15" s="150">
        <f>-SUM('s4'!F21:F22)</f>
        <v>-419.05</v>
      </c>
      <c r="G15" s="161">
        <f t="shared" si="0"/>
        <v>85030.07</v>
      </c>
    </row>
    <row r="16" spans="1:7" x14ac:dyDescent="0.2">
      <c r="A16" s="259">
        <v>3908</v>
      </c>
      <c r="B16" s="260" t="s">
        <v>515</v>
      </c>
      <c r="C16" s="260"/>
      <c r="D16" s="150">
        <f>+'s3,s3b,s3d'!E118</f>
        <v>189890.95</v>
      </c>
      <c r="E16" s="11">
        <f>-'s4'!D23-'s4'!D24</f>
        <v>-584.52</v>
      </c>
      <c r="F16" s="150">
        <f>-SUM('s4'!F23:F24)</f>
        <v>-481.35</v>
      </c>
      <c r="G16" s="161">
        <f t="shared" si="0"/>
        <v>188825.08</v>
      </c>
    </row>
    <row r="17" spans="1:7" x14ac:dyDescent="0.2">
      <c r="A17" s="259">
        <v>3909</v>
      </c>
      <c r="B17" s="260" t="s">
        <v>516</v>
      </c>
      <c r="C17" s="260"/>
      <c r="D17" s="150">
        <f>+'s3,s3b,s3d'!E124</f>
        <v>45941.23</v>
      </c>
      <c r="E17" s="11">
        <f>-'s4'!D25-'s4'!D26</f>
        <v>0</v>
      </c>
      <c r="F17" s="150">
        <f>-SUM('s4'!F25:F26)</f>
        <v>-4.1100000000000003</v>
      </c>
      <c r="G17" s="161">
        <f t="shared" si="0"/>
        <v>45937.120000000003</v>
      </c>
    </row>
    <row r="18" spans="1:7" x14ac:dyDescent="0.2">
      <c r="A18" s="259">
        <v>3910</v>
      </c>
      <c r="B18" s="260" t="s">
        <v>517</v>
      </c>
      <c r="C18" s="260"/>
      <c r="D18" s="150">
        <f>+'s3,s3b,s3d'!E125</f>
        <v>59673.87</v>
      </c>
      <c r="E18" s="11">
        <f>-'s4'!D27-'s4'!D28</f>
        <v>-174.25</v>
      </c>
      <c r="F18" s="150">
        <f>-SUM('s4'!F27:F28)</f>
        <v>-18.010000000000002</v>
      </c>
      <c r="G18" s="161">
        <f t="shared" si="0"/>
        <v>59481.61</v>
      </c>
    </row>
    <row r="19" spans="1:7" x14ac:dyDescent="0.2">
      <c r="A19" s="259">
        <v>3911</v>
      </c>
      <c r="B19" s="260" t="s">
        <v>518</v>
      </c>
      <c r="C19" s="260"/>
      <c r="D19" s="150">
        <f>+'s3,s3b,s3d'!E126</f>
        <v>119174.71</v>
      </c>
      <c r="E19" s="11">
        <f>-'s4'!D29-'s4'!D30</f>
        <v>-1391.9</v>
      </c>
      <c r="F19" s="150">
        <f>-SUM('s4'!F29:F30)</f>
        <v>-475.04</v>
      </c>
      <c r="G19" s="161">
        <f t="shared" si="0"/>
        <v>117307.77</v>
      </c>
    </row>
    <row r="20" spans="1:7" x14ac:dyDescent="0.2">
      <c r="A20" s="259">
        <v>3912</v>
      </c>
      <c r="B20" s="260" t="s">
        <v>519</v>
      </c>
      <c r="C20" s="260"/>
      <c r="D20" s="150">
        <f>+'s3,s3b,s3d'!E129</f>
        <v>80542.98</v>
      </c>
      <c r="E20" s="11">
        <f>-'s4'!D31-'s4'!D32</f>
        <v>-97.36</v>
      </c>
      <c r="F20" s="150">
        <f>-SUM('s4'!F31:F32)</f>
        <v>-154.25</v>
      </c>
      <c r="G20" s="161">
        <f t="shared" si="0"/>
        <v>80291.37</v>
      </c>
    </row>
    <row r="21" spans="1:7" x14ac:dyDescent="0.2">
      <c r="A21" s="259">
        <v>3913</v>
      </c>
      <c r="B21" s="260" t="s">
        <v>520</v>
      </c>
      <c r="C21" s="260"/>
      <c r="D21" s="150">
        <f>+'s3,s3b,s3d'!E132</f>
        <v>126009.37</v>
      </c>
      <c r="E21" s="11">
        <f>-'s4'!D33-'s4'!D34</f>
        <v>-64.97</v>
      </c>
      <c r="F21" s="150">
        <f>-SUM('s4'!F33:F34)</f>
        <v>-34.369999999999997</v>
      </c>
      <c r="G21" s="161">
        <f t="shared" si="0"/>
        <v>125910.03</v>
      </c>
    </row>
    <row r="22" spans="1:7" x14ac:dyDescent="0.2">
      <c r="A22" s="259">
        <v>3914</v>
      </c>
      <c r="B22" s="260" t="s">
        <v>521</v>
      </c>
      <c r="C22" s="260"/>
      <c r="D22" s="150">
        <f>+'s3,s3b,s3d'!E135</f>
        <v>71639.100000000006</v>
      </c>
      <c r="E22" s="11">
        <f>-'s4'!D35-'s4'!D36</f>
        <v>-471.08</v>
      </c>
      <c r="F22" s="150">
        <f>-SUM('s4'!F35:F36)</f>
        <v>-734.9</v>
      </c>
      <c r="G22" s="161">
        <f t="shared" si="0"/>
        <v>70433.119999999995</v>
      </c>
    </row>
    <row r="23" spans="1:7" x14ac:dyDescent="0.2">
      <c r="A23" s="259">
        <v>3915</v>
      </c>
      <c r="B23" s="260" t="s">
        <v>522</v>
      </c>
      <c r="C23" s="260"/>
      <c r="D23" s="150">
        <f>+'s3,s3b,s3d'!E139</f>
        <v>47163.29</v>
      </c>
      <c r="E23" s="11">
        <f>-'s4'!D37-'s4'!D38</f>
        <v>-462.84</v>
      </c>
      <c r="F23" s="150">
        <f>-SUM('s4'!F37:F38)</f>
        <v>-137.36000000000001</v>
      </c>
      <c r="G23" s="161">
        <f t="shared" si="0"/>
        <v>46563.09</v>
      </c>
    </row>
    <row r="24" spans="1:7" x14ac:dyDescent="0.2">
      <c r="A24" s="259">
        <v>3916</v>
      </c>
      <c r="B24" s="260" t="s">
        <v>523</v>
      </c>
      <c r="C24" s="260"/>
      <c r="D24" s="150">
        <f>+'s3,s3b,s3d'!E140</f>
        <v>208056.25</v>
      </c>
      <c r="E24" s="11">
        <f>-'s4'!D39-'s4'!D40</f>
        <v>-7836.5</v>
      </c>
      <c r="F24" s="150">
        <f>-SUM('s4'!F39:F40)</f>
        <v>-402.01</v>
      </c>
      <c r="G24" s="161">
        <f t="shared" si="0"/>
        <v>199817.74</v>
      </c>
    </row>
    <row r="25" spans="1:7" x14ac:dyDescent="0.2">
      <c r="A25" s="259">
        <v>3917</v>
      </c>
      <c r="B25" s="260" t="s">
        <v>524</v>
      </c>
      <c r="C25" s="260"/>
      <c r="D25" s="150">
        <f>+'s3,s3b,s3d'!E145</f>
        <v>90972.44</v>
      </c>
      <c r="E25" s="11">
        <f>-'s4'!D41-'s4'!D42</f>
        <v>-290.18</v>
      </c>
      <c r="F25" s="150">
        <f>-SUM('s4'!F41:F42)</f>
        <v>-104.92</v>
      </c>
      <c r="G25" s="161">
        <f t="shared" si="0"/>
        <v>90577.34</v>
      </c>
    </row>
    <row r="26" spans="1:7" x14ac:dyDescent="0.2">
      <c r="A26" s="259">
        <v>3918</v>
      </c>
      <c r="B26" s="260" t="s">
        <v>525</v>
      </c>
      <c r="C26" s="260"/>
      <c r="D26" s="150">
        <f>+'s3,s3b,s3d'!E148</f>
        <v>7031</v>
      </c>
      <c r="E26" s="11">
        <f>-'s4'!D43-'s4'!D44</f>
        <v>0</v>
      </c>
      <c r="F26" s="150">
        <f>-SUM('s4'!F43:F44)</f>
        <v>-5.03</v>
      </c>
      <c r="G26" s="161">
        <f t="shared" si="0"/>
        <v>7025.97</v>
      </c>
    </row>
    <row r="27" spans="1:7" x14ac:dyDescent="0.2">
      <c r="A27" s="259">
        <v>3919</v>
      </c>
      <c r="B27" s="260" t="s">
        <v>526</v>
      </c>
      <c r="C27" s="260"/>
      <c r="D27" s="150">
        <f>+'s3,s3b,s3d'!E149</f>
        <v>390798.1</v>
      </c>
      <c r="E27" s="11">
        <f>-'s4'!D45-'s4'!D46</f>
        <v>-26435.87</v>
      </c>
      <c r="F27" s="150">
        <f>-SUM('s4'!F45:F46)</f>
        <v>-7032.75</v>
      </c>
      <c r="G27" s="161">
        <f t="shared" si="0"/>
        <v>357329.48</v>
      </c>
    </row>
    <row r="28" spans="1:7" x14ac:dyDescent="0.2">
      <c r="A28" s="259">
        <v>3920</v>
      </c>
      <c r="B28" s="260" t="s">
        <v>527</v>
      </c>
      <c r="C28" s="260"/>
      <c r="D28" s="150">
        <f>+'s3,s3b,s3d'!E153</f>
        <v>116293.08</v>
      </c>
      <c r="E28" s="11">
        <f>-'s4'!D47-'s4'!D48</f>
        <v>-1133.6099999999999</v>
      </c>
      <c r="F28" s="150">
        <f>-SUM('s4'!F47:F48)</f>
        <v>-218.87</v>
      </c>
      <c r="G28" s="161">
        <f t="shared" si="0"/>
        <v>114940.6</v>
      </c>
    </row>
    <row r="29" spans="1:7" x14ac:dyDescent="0.2">
      <c r="A29" s="261">
        <v>3940</v>
      </c>
      <c r="B29" s="257" t="s">
        <v>533</v>
      </c>
      <c r="C29" s="257"/>
      <c r="D29" s="150">
        <f>+'s3,s3b,s3d'!E108</f>
        <v>8400.69</v>
      </c>
      <c r="G29" s="161">
        <f t="shared" si="0"/>
        <v>8400.69</v>
      </c>
    </row>
    <row r="30" spans="1:7" x14ac:dyDescent="0.2">
      <c r="A30" s="261">
        <v>3941</v>
      </c>
      <c r="B30" s="257" t="s">
        <v>534</v>
      </c>
      <c r="C30" s="257"/>
      <c r="D30" s="150">
        <f>+'s3,s3b,s3d'!E111</f>
        <v>24248.560000000001</v>
      </c>
      <c r="G30" s="161">
        <f t="shared" si="0"/>
        <v>24248.560000000001</v>
      </c>
    </row>
    <row r="31" spans="1:7" x14ac:dyDescent="0.2">
      <c r="A31" s="261">
        <v>3942</v>
      </c>
      <c r="B31" s="257" t="s">
        <v>535</v>
      </c>
      <c r="C31" s="257"/>
      <c r="D31" s="150">
        <f>+'s3,s3b,s3d'!E112</f>
        <v>248344.47</v>
      </c>
      <c r="G31" s="161">
        <f t="shared" si="0"/>
        <v>248344.47</v>
      </c>
    </row>
    <row r="32" spans="1:7" x14ac:dyDescent="0.2">
      <c r="A32" s="261">
        <v>3943</v>
      </c>
      <c r="B32" s="257" t="s">
        <v>536</v>
      </c>
      <c r="C32" s="257"/>
      <c r="D32" s="150">
        <f>+'s3,s3b,s3d'!E113</f>
        <v>477654.93</v>
      </c>
      <c r="G32" s="161">
        <f t="shared" si="0"/>
        <v>477654.93</v>
      </c>
    </row>
    <row r="33" spans="1:7" x14ac:dyDescent="0.2">
      <c r="A33" s="261">
        <v>3944</v>
      </c>
      <c r="B33" s="257" t="s">
        <v>537</v>
      </c>
      <c r="C33" s="257"/>
      <c r="D33" s="150">
        <f>+'s3,s3b,s3d'!E114</f>
        <v>13391.53</v>
      </c>
      <c r="G33" s="161">
        <f t="shared" si="0"/>
        <v>13391.53</v>
      </c>
    </row>
    <row r="34" spans="1:7" x14ac:dyDescent="0.2">
      <c r="A34" s="261">
        <v>3945</v>
      </c>
      <c r="B34" s="257" t="s">
        <v>538</v>
      </c>
      <c r="C34" s="257"/>
      <c r="D34" s="150">
        <f>+'s3,s3b,s3d'!E115</f>
        <v>125559.06</v>
      </c>
      <c r="G34" s="161">
        <f t="shared" si="0"/>
        <v>125559.06</v>
      </c>
    </row>
    <row r="35" spans="1:7" x14ac:dyDescent="0.2">
      <c r="A35" s="261">
        <v>3946</v>
      </c>
      <c r="B35" s="257" t="s">
        <v>539</v>
      </c>
      <c r="C35" s="257"/>
      <c r="D35" s="150">
        <f>+'s3,s3b,s3d'!E119</f>
        <v>3213.98</v>
      </c>
      <c r="G35" s="161">
        <f t="shared" si="0"/>
        <v>3213.98</v>
      </c>
    </row>
    <row r="36" spans="1:7" x14ac:dyDescent="0.2">
      <c r="A36" s="261">
        <v>3947</v>
      </c>
      <c r="B36" s="257" t="s">
        <v>540</v>
      </c>
      <c r="C36" s="257"/>
      <c r="D36" s="150">
        <f>+'s3,s3b,s3d'!E120</f>
        <v>33557.42</v>
      </c>
      <c r="G36" s="161">
        <f t="shared" si="0"/>
        <v>33557.42</v>
      </c>
    </row>
    <row r="37" spans="1:7" x14ac:dyDescent="0.2">
      <c r="A37" s="261">
        <v>3948</v>
      </c>
      <c r="B37" s="257" t="s">
        <v>541</v>
      </c>
      <c r="C37" s="257"/>
      <c r="D37" s="150">
        <f>+'s3,s3b,s3d'!E121</f>
        <v>2672.88</v>
      </c>
      <c r="G37" s="161">
        <f t="shared" si="0"/>
        <v>2672.88</v>
      </c>
    </row>
    <row r="38" spans="1:7" x14ac:dyDescent="0.2">
      <c r="A38" s="261">
        <v>3949</v>
      </c>
      <c r="B38" s="257" t="s">
        <v>542</v>
      </c>
      <c r="C38" s="257"/>
      <c r="D38" s="150">
        <f>+'s3,s3b,s3d'!E122</f>
        <v>7748.79</v>
      </c>
      <c r="G38" s="161">
        <f t="shared" si="0"/>
        <v>7748.79</v>
      </c>
    </row>
    <row r="39" spans="1:7" x14ac:dyDescent="0.2">
      <c r="A39" s="261">
        <v>3950</v>
      </c>
      <c r="B39" s="257" t="s">
        <v>543</v>
      </c>
      <c r="C39" s="257"/>
      <c r="D39" s="150">
        <f>+'s3,s3b,s3d'!E127</f>
        <v>16325.26</v>
      </c>
      <c r="G39" s="161">
        <f t="shared" si="0"/>
        <v>16325.26</v>
      </c>
    </row>
    <row r="40" spans="1:7" x14ac:dyDescent="0.2">
      <c r="A40" s="261">
        <v>3951</v>
      </c>
      <c r="B40" s="257" t="s">
        <v>544</v>
      </c>
      <c r="C40" s="257"/>
      <c r="D40" s="150">
        <f>+'s3,s3b,s3d'!E130</f>
        <v>59.71</v>
      </c>
      <c r="G40" s="161">
        <f t="shared" si="0"/>
        <v>59.71</v>
      </c>
    </row>
    <row r="41" spans="1:7" x14ac:dyDescent="0.2">
      <c r="A41" s="261">
        <v>3952</v>
      </c>
      <c r="B41" s="257" t="s">
        <v>545</v>
      </c>
      <c r="C41" s="257"/>
      <c r="D41" s="150">
        <f>+'s3,s3b,s3d'!E133</f>
        <v>6491.4</v>
      </c>
      <c r="G41" s="161">
        <f t="shared" si="0"/>
        <v>6491.4</v>
      </c>
    </row>
    <row r="42" spans="1:7" x14ac:dyDescent="0.2">
      <c r="A42" s="261">
        <v>3953</v>
      </c>
      <c r="B42" s="257" t="s">
        <v>546</v>
      </c>
      <c r="C42" s="257"/>
      <c r="D42" s="150">
        <f>+'s3,s3b,s3d'!E137</f>
        <v>15037.87</v>
      </c>
      <c r="G42" s="161">
        <f t="shared" si="0"/>
        <v>15037.87</v>
      </c>
    </row>
    <row r="43" spans="1:7" x14ac:dyDescent="0.2">
      <c r="A43" s="261">
        <v>3954</v>
      </c>
      <c r="B43" s="257" t="s">
        <v>547</v>
      </c>
      <c r="C43" s="257"/>
      <c r="D43" s="150">
        <f>+'s3,s3b,s3d'!E136</f>
        <v>2794.57</v>
      </c>
      <c r="G43" s="161">
        <f t="shared" si="0"/>
        <v>2794.57</v>
      </c>
    </row>
    <row r="44" spans="1:7" x14ac:dyDescent="0.2">
      <c r="A44" s="261">
        <v>3955</v>
      </c>
      <c r="B44" s="257" t="s">
        <v>548</v>
      </c>
      <c r="C44" s="257"/>
      <c r="D44" s="150">
        <f>+'s3,s3b,s3d'!E141</f>
        <v>22121.5</v>
      </c>
      <c r="G44" s="161">
        <f t="shared" si="0"/>
        <v>22121.5</v>
      </c>
    </row>
    <row r="45" spans="1:7" x14ac:dyDescent="0.2">
      <c r="A45" s="261">
        <v>3956</v>
      </c>
      <c r="B45" s="257" t="s">
        <v>582</v>
      </c>
      <c r="C45" s="257"/>
      <c r="D45" s="150">
        <f>+'s3,s3b,s3d'!E142</f>
        <v>3805.34</v>
      </c>
      <c r="G45" s="161">
        <f t="shared" si="0"/>
        <v>3805.34</v>
      </c>
    </row>
    <row r="46" spans="1:7" x14ac:dyDescent="0.2">
      <c r="A46" s="261">
        <v>3957</v>
      </c>
      <c r="B46" s="257" t="s">
        <v>549</v>
      </c>
      <c r="C46" s="257"/>
      <c r="D46" s="150">
        <f>+'s3,s3b,s3d'!E143</f>
        <v>926.5</v>
      </c>
      <c r="G46" s="161">
        <f t="shared" si="0"/>
        <v>926.5</v>
      </c>
    </row>
    <row r="47" spans="1:7" x14ac:dyDescent="0.2">
      <c r="A47" s="261">
        <v>3958</v>
      </c>
      <c r="B47" s="257" t="s">
        <v>550</v>
      </c>
      <c r="C47" s="257"/>
      <c r="D47" s="150">
        <f>+'s3,s3b,s3d'!E146</f>
        <v>6494.33</v>
      </c>
      <c r="G47" s="161">
        <f t="shared" si="0"/>
        <v>6494.33</v>
      </c>
    </row>
    <row r="48" spans="1:7" x14ac:dyDescent="0.2">
      <c r="A48" s="261">
        <v>3959</v>
      </c>
      <c r="B48" s="257" t="s">
        <v>551</v>
      </c>
      <c r="C48" s="257"/>
      <c r="D48" s="150">
        <f>+'s3,s3b,s3d'!E150</f>
        <v>201337.49</v>
      </c>
      <c r="G48" s="161">
        <f t="shared" si="0"/>
        <v>201337.49</v>
      </c>
    </row>
    <row r="49" spans="1:7" x14ac:dyDescent="0.2">
      <c r="A49" s="261">
        <v>3960</v>
      </c>
      <c r="B49" s="257" t="s">
        <v>552</v>
      </c>
      <c r="C49" s="257"/>
      <c r="D49" s="150">
        <f>+'s3,s3b,s3d'!E151</f>
        <v>71987.22</v>
      </c>
      <c r="G49" s="161">
        <f t="shared" si="0"/>
        <v>71987.22</v>
      </c>
    </row>
    <row r="50" spans="1:7" x14ac:dyDescent="0.2">
      <c r="A50" s="261">
        <v>3961</v>
      </c>
      <c r="B50" s="257" t="s">
        <v>553</v>
      </c>
      <c r="C50" s="257"/>
      <c r="D50" s="150">
        <f>+'s3,s3b,s3d'!E154</f>
        <v>12744.92</v>
      </c>
      <c r="G50" s="161">
        <f t="shared" si="0"/>
        <v>12744.92</v>
      </c>
    </row>
    <row r="51" spans="1:7" x14ac:dyDescent="0.2">
      <c r="A51" s="259">
        <v>3926</v>
      </c>
      <c r="B51" s="260" t="s">
        <v>556</v>
      </c>
      <c r="C51" s="260"/>
      <c r="D51" s="150">
        <f>-SUM(D11:D50)</f>
        <v>-4798477.42</v>
      </c>
      <c r="G51" s="161">
        <f t="shared" si="0"/>
        <v>-4798477.42</v>
      </c>
    </row>
    <row r="52" spans="1:7" x14ac:dyDescent="0.2">
      <c r="A52" s="281">
        <v>3999</v>
      </c>
      <c r="B52" s="281" t="s">
        <v>581</v>
      </c>
      <c r="C52" s="281"/>
      <c r="D52" s="282"/>
      <c r="E52" s="283">
        <f>-SUM(E6:E28)</f>
        <v>165710.5</v>
      </c>
      <c r="F52" s="276"/>
      <c r="G52" s="161">
        <f t="shared" si="0"/>
        <v>165710.5</v>
      </c>
    </row>
    <row r="53" spans="1:7" x14ac:dyDescent="0.2">
      <c r="A53" s="256">
        <v>3923</v>
      </c>
      <c r="B53" s="256" t="s">
        <v>528</v>
      </c>
      <c r="C53" s="256"/>
      <c r="F53" s="150">
        <f>-SUM(F6:F28)</f>
        <v>55354.39</v>
      </c>
      <c r="G53" s="161">
        <f>+F53</f>
        <v>55354.39</v>
      </c>
    </row>
    <row r="54" spans="1:7" x14ac:dyDescent="0.2">
      <c r="C54" s="150">
        <f>SUM(C4:C53)</f>
        <v>0</v>
      </c>
      <c r="D54" s="150">
        <f>SUM(D4:D53)</f>
        <v>0</v>
      </c>
      <c r="E54" s="150">
        <f>SUM(E4:E53)</f>
        <v>0</v>
      </c>
      <c r="F54" s="150">
        <f>SUM(F4:F53)</f>
        <v>0</v>
      </c>
      <c r="G54" s="150">
        <f>+C54+D54+E54+F54</f>
        <v>0</v>
      </c>
    </row>
    <row r="55" spans="1:7" ht="13.5" thickBot="1" x14ac:dyDescent="0.25">
      <c r="F55" t="s">
        <v>583</v>
      </c>
      <c r="G55" s="284">
        <f>SUM(G4:G53)</f>
        <v>0</v>
      </c>
    </row>
    <row r="56" spans="1:7" ht="13.5" thickTop="1" x14ac:dyDescent="0.2"/>
    <row r="57" spans="1:7" x14ac:dyDescent="0.2">
      <c r="A57" s="257"/>
      <c r="B57" s="257"/>
      <c r="C57" s="257"/>
    </row>
    <row r="58" spans="1:7" x14ac:dyDescent="0.2">
      <c r="A58" s="257"/>
      <c r="B58" s="257"/>
      <c r="C58" s="257"/>
    </row>
    <row r="60" spans="1:7" x14ac:dyDescent="0.2">
      <c r="A60" s="256"/>
      <c r="B60" s="256"/>
      <c r="C60" s="256"/>
    </row>
    <row r="61" spans="1:7" x14ac:dyDescent="0.2">
      <c r="A61" s="256"/>
      <c r="B61" s="256"/>
      <c r="C61" s="256"/>
    </row>
    <row r="62" spans="1:7" x14ac:dyDescent="0.2">
      <c r="A62" s="256"/>
      <c r="B62" s="256"/>
      <c r="C62" s="256"/>
    </row>
    <row r="63" spans="1:7" x14ac:dyDescent="0.2">
      <c r="A63" s="256"/>
      <c r="B63" s="256"/>
      <c r="C63" s="256"/>
    </row>
    <row r="64" spans="1:7" x14ac:dyDescent="0.2">
      <c r="A64" s="256"/>
      <c r="B64" s="256"/>
      <c r="C64" s="256"/>
    </row>
    <row r="65" spans="1:3" x14ac:dyDescent="0.2">
      <c r="A65" s="256"/>
      <c r="B65" s="256"/>
      <c r="C65" s="256"/>
    </row>
    <row r="66" spans="1:3" x14ac:dyDescent="0.2">
      <c r="A66" s="256"/>
      <c r="B66" s="256"/>
      <c r="C66" s="256"/>
    </row>
    <row r="67" spans="1:3" x14ac:dyDescent="0.2">
      <c r="A67" s="256"/>
      <c r="B67" s="256"/>
      <c r="C67" s="256"/>
    </row>
    <row r="68" spans="1:3" x14ac:dyDescent="0.2">
      <c r="A68" s="256"/>
      <c r="B68" s="256"/>
      <c r="C68" s="256"/>
    </row>
    <row r="69" spans="1:3" x14ac:dyDescent="0.2">
      <c r="A69" s="256"/>
      <c r="B69" s="256"/>
      <c r="C69" s="256"/>
    </row>
    <row r="70" spans="1:3" x14ac:dyDescent="0.2">
      <c r="A70" s="256"/>
      <c r="B70" s="256"/>
      <c r="C70" s="256"/>
    </row>
    <row r="71" spans="1:3" x14ac:dyDescent="0.2">
      <c r="A71" s="256"/>
      <c r="B71" s="256"/>
      <c r="C71" s="256"/>
    </row>
    <row r="72" spans="1:3" x14ac:dyDescent="0.2">
      <c r="A72" s="256"/>
      <c r="B72" s="256"/>
      <c r="C72" s="256"/>
    </row>
    <row r="73" spans="1:3" x14ac:dyDescent="0.2">
      <c r="A73" s="256"/>
      <c r="B73" s="256"/>
      <c r="C73" s="256"/>
    </row>
    <row r="74" spans="1:3" x14ac:dyDescent="0.2">
      <c r="A74" s="256"/>
      <c r="B74" s="256"/>
      <c r="C74" s="256"/>
    </row>
    <row r="75" spans="1:3" x14ac:dyDescent="0.2">
      <c r="A75" s="256"/>
      <c r="B75" s="256"/>
      <c r="C75" s="256"/>
    </row>
    <row r="76" spans="1:3" x14ac:dyDescent="0.2">
      <c r="A76" s="256"/>
      <c r="B76" s="256"/>
      <c r="C76" s="256"/>
    </row>
    <row r="81" spans="2:3" x14ac:dyDescent="0.2">
      <c r="B81" s="257"/>
      <c r="C81" s="257"/>
    </row>
  </sheetData>
  <phoneticPr fontId="0" type="noConversion"/>
  <pageMargins left="0" right="0" top="0" bottom="0" header="0.25" footer="0.25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65"/>
  <sheetViews>
    <sheetView workbookViewId="0">
      <selection activeCell="A4" sqref="A4"/>
    </sheetView>
  </sheetViews>
  <sheetFormatPr defaultRowHeight="12.75" x14ac:dyDescent="0.2"/>
  <cols>
    <col min="1" max="1" width="3.7109375" customWidth="1"/>
    <col min="2" max="2" width="8.5703125" customWidth="1"/>
    <col min="3" max="3" width="33.28515625" customWidth="1"/>
    <col min="4" max="4" width="15.28515625" hidden="1" customWidth="1"/>
    <col min="5" max="5" width="4" customWidth="1"/>
    <col min="7" max="7" width="35.28515625" customWidth="1"/>
    <col min="8" max="8" width="14" hidden="1" customWidth="1"/>
  </cols>
  <sheetData>
    <row r="1" spans="1:8" ht="15.75" x14ac:dyDescent="0.25">
      <c r="A1" s="63" t="s">
        <v>0</v>
      </c>
      <c r="C1" s="1"/>
      <c r="D1" s="1"/>
      <c r="E1" s="1"/>
    </row>
    <row r="2" spans="1:8" ht="15.75" x14ac:dyDescent="0.25">
      <c r="A2" s="115" t="str">
        <f>ReportMonth</f>
        <v>MAY 2004</v>
      </c>
      <c r="C2" s="1"/>
      <c r="D2" s="1"/>
      <c r="E2" s="1"/>
    </row>
    <row r="3" spans="1:8" ht="15.75" x14ac:dyDescent="0.25">
      <c r="A3" s="94" t="s">
        <v>81</v>
      </c>
      <c r="B3" s="43"/>
      <c r="C3" s="42"/>
      <c r="D3" s="42"/>
      <c r="E3" s="42"/>
      <c r="F3" s="43"/>
      <c r="G3" s="43"/>
    </row>
    <row r="4" spans="1:8" ht="9" customHeight="1" thickBot="1" x14ac:dyDescent="0.25">
      <c r="A4" s="1"/>
      <c r="B4" s="103"/>
      <c r="C4" s="104"/>
      <c r="D4" s="104"/>
      <c r="E4" s="104"/>
      <c r="F4" s="249"/>
      <c r="G4" s="250"/>
    </row>
    <row r="5" spans="1:8" ht="19.5" customHeight="1" x14ac:dyDescent="0.2">
      <c r="A5" s="102"/>
      <c r="B5" s="43"/>
      <c r="C5" s="42" t="s">
        <v>508</v>
      </c>
      <c r="D5" s="42"/>
      <c r="E5" s="42"/>
      <c r="F5" s="43"/>
      <c r="G5" s="43"/>
    </row>
    <row r="6" spans="1:8" ht="9" customHeight="1" x14ac:dyDescent="0.2">
      <c r="A6" s="101"/>
      <c r="B6" s="43"/>
      <c r="C6" s="42"/>
      <c r="D6" s="1"/>
      <c r="E6" s="1"/>
    </row>
    <row r="7" spans="1:8" ht="12.75" customHeight="1" x14ac:dyDescent="0.2"/>
    <row r="8" spans="1:8" ht="12.75" customHeight="1" x14ac:dyDescent="0.2">
      <c r="A8" s="29" t="s">
        <v>505</v>
      </c>
      <c r="B8" s="253">
        <v>14527</v>
      </c>
      <c r="C8" s="20" t="s">
        <v>467</v>
      </c>
      <c r="D8" s="251"/>
      <c r="E8" s="6"/>
      <c r="F8" s="389">
        <v>13474</v>
      </c>
      <c r="G8" s="252" t="s">
        <v>626</v>
      </c>
    </row>
    <row r="9" spans="1:8" x14ac:dyDescent="0.2">
      <c r="A9" s="6" t="s">
        <v>505</v>
      </c>
      <c r="B9" s="253">
        <v>13420</v>
      </c>
      <c r="C9" s="20" t="s">
        <v>469</v>
      </c>
      <c r="D9" s="20"/>
      <c r="E9" s="253"/>
      <c r="F9" s="390">
        <v>14828</v>
      </c>
      <c r="G9" s="248" t="s">
        <v>479</v>
      </c>
    </row>
    <row r="10" spans="1:8" x14ac:dyDescent="0.2">
      <c r="A10" s="6"/>
      <c r="B10" s="253">
        <v>14919</v>
      </c>
      <c r="C10" s="20" t="s">
        <v>585</v>
      </c>
      <c r="D10" s="20"/>
      <c r="E10" s="253"/>
      <c r="F10" s="390">
        <v>14829</v>
      </c>
      <c r="G10" s="248" t="s">
        <v>480</v>
      </c>
    </row>
    <row r="11" spans="1:8" x14ac:dyDescent="0.2">
      <c r="A11" s="6"/>
      <c r="B11" s="253">
        <v>14858</v>
      </c>
      <c r="C11" s="20" t="s">
        <v>470</v>
      </c>
      <c r="D11" s="20"/>
      <c r="E11" s="253"/>
      <c r="F11" s="389">
        <v>14830</v>
      </c>
      <c r="G11" s="252" t="s">
        <v>588</v>
      </c>
      <c r="H11" t="s">
        <v>468</v>
      </c>
    </row>
    <row r="12" spans="1:8" x14ac:dyDescent="0.2">
      <c r="A12" s="6"/>
      <c r="B12" s="253">
        <v>14542</v>
      </c>
      <c r="C12" s="20" t="s">
        <v>471</v>
      </c>
      <c r="D12" s="20"/>
      <c r="E12" s="253"/>
      <c r="F12" s="389">
        <v>14831</v>
      </c>
      <c r="G12" s="252" t="s">
        <v>506</v>
      </c>
    </row>
    <row r="13" spans="1:8" x14ac:dyDescent="0.2">
      <c r="A13" s="6"/>
      <c r="B13" s="253">
        <v>14543</v>
      </c>
      <c r="C13" s="20" t="s">
        <v>586</v>
      </c>
      <c r="D13" s="20"/>
      <c r="E13" s="253"/>
      <c r="F13" s="389">
        <v>14873</v>
      </c>
      <c r="G13" s="252" t="s">
        <v>584</v>
      </c>
    </row>
    <row r="14" spans="1:8" x14ac:dyDescent="0.2">
      <c r="A14" s="6"/>
      <c r="B14" s="253">
        <v>13426</v>
      </c>
      <c r="C14" s="20" t="s">
        <v>781</v>
      </c>
      <c r="D14" s="20"/>
      <c r="E14" s="253" t="s">
        <v>505</v>
      </c>
      <c r="F14" s="390">
        <v>14835</v>
      </c>
      <c r="G14" s="248" t="s">
        <v>481</v>
      </c>
    </row>
    <row r="15" spans="1:8" x14ac:dyDescent="0.2">
      <c r="A15" s="6"/>
      <c r="B15" s="253">
        <v>15103</v>
      </c>
      <c r="C15" s="20" t="s">
        <v>782</v>
      </c>
      <c r="D15" s="20"/>
      <c r="E15" s="253"/>
      <c r="F15" s="390">
        <v>14838</v>
      </c>
      <c r="G15" s="248" t="s">
        <v>482</v>
      </c>
    </row>
    <row r="16" spans="1:8" x14ac:dyDescent="0.2">
      <c r="A16" s="6"/>
      <c r="B16" s="253">
        <v>13885</v>
      </c>
      <c r="C16" s="20" t="s">
        <v>783</v>
      </c>
      <c r="D16" s="20"/>
      <c r="E16" s="253"/>
      <c r="F16" s="390">
        <v>14839</v>
      </c>
      <c r="G16" s="252" t="s">
        <v>483</v>
      </c>
    </row>
    <row r="17" spans="1:7" x14ac:dyDescent="0.2">
      <c r="A17" s="6" t="s">
        <v>505</v>
      </c>
      <c r="B17" s="253">
        <v>14323</v>
      </c>
      <c r="C17" s="20" t="s">
        <v>351</v>
      </c>
      <c r="D17" s="20"/>
      <c r="E17" s="253"/>
      <c r="F17" s="390">
        <v>14882</v>
      </c>
      <c r="G17" s="248" t="s">
        <v>627</v>
      </c>
    </row>
    <row r="18" spans="1:7" x14ac:dyDescent="0.2">
      <c r="A18" s="6"/>
      <c r="B18" s="253">
        <v>14887</v>
      </c>
      <c r="C18" s="20" t="s">
        <v>778</v>
      </c>
      <c r="D18" s="20"/>
      <c r="E18" s="253" t="s">
        <v>505</v>
      </c>
      <c r="F18" s="389">
        <v>13490</v>
      </c>
      <c r="G18" s="252" t="s">
        <v>784</v>
      </c>
    </row>
    <row r="19" spans="1:7" x14ac:dyDescent="0.2">
      <c r="A19" s="6"/>
      <c r="B19" s="253">
        <v>13889</v>
      </c>
      <c r="C19" s="20" t="s">
        <v>587</v>
      </c>
      <c r="D19" s="20"/>
      <c r="E19" s="253" t="s">
        <v>505</v>
      </c>
      <c r="F19" s="390">
        <v>14847</v>
      </c>
      <c r="G19" s="248" t="s">
        <v>484</v>
      </c>
    </row>
    <row r="20" spans="1:7" x14ac:dyDescent="0.2">
      <c r="A20" s="6" t="s">
        <v>505</v>
      </c>
      <c r="B20" s="253">
        <v>13442</v>
      </c>
      <c r="C20" s="20" t="s">
        <v>622</v>
      </c>
      <c r="D20" s="20"/>
      <c r="E20" s="253"/>
      <c r="F20" s="390">
        <v>14849</v>
      </c>
      <c r="G20" s="252" t="s">
        <v>485</v>
      </c>
    </row>
    <row r="21" spans="1:7" x14ac:dyDescent="0.2">
      <c r="A21" s="6" t="s">
        <v>505</v>
      </c>
      <c r="B21" s="253">
        <v>13441</v>
      </c>
      <c r="C21" s="20" t="s">
        <v>623</v>
      </c>
      <c r="D21" s="20"/>
      <c r="E21" s="253"/>
      <c r="F21" s="389">
        <v>14850</v>
      </c>
      <c r="G21" s="252" t="s">
        <v>507</v>
      </c>
    </row>
    <row r="22" spans="1:7" x14ac:dyDescent="0.2">
      <c r="A22" s="6"/>
      <c r="B22" s="253">
        <v>13447</v>
      </c>
      <c r="C22" s="20" t="s">
        <v>624</v>
      </c>
      <c r="D22" s="20"/>
      <c r="E22" s="253" t="s">
        <v>505</v>
      </c>
      <c r="F22" s="390">
        <v>14080</v>
      </c>
      <c r="G22" s="252" t="s">
        <v>486</v>
      </c>
    </row>
    <row r="23" spans="1:7" x14ac:dyDescent="0.2">
      <c r="A23" s="6"/>
      <c r="B23" s="253">
        <v>14884</v>
      </c>
      <c r="C23" s="20" t="s">
        <v>779</v>
      </c>
      <c r="D23" s="20"/>
      <c r="E23" s="253" t="s">
        <v>505</v>
      </c>
      <c r="F23" s="389">
        <v>14865</v>
      </c>
      <c r="G23" s="252" t="s">
        <v>628</v>
      </c>
    </row>
    <row r="24" spans="1:7" x14ac:dyDescent="0.2">
      <c r="A24" s="6"/>
      <c r="B24" s="253">
        <v>14561</v>
      </c>
      <c r="C24" s="20" t="s">
        <v>780</v>
      </c>
      <c r="D24" s="20"/>
      <c r="E24" s="253" t="s">
        <v>505</v>
      </c>
      <c r="F24" s="389">
        <v>13480</v>
      </c>
      <c r="G24" s="252" t="s">
        <v>629</v>
      </c>
    </row>
    <row r="25" spans="1:7" s="20" customFormat="1" x14ac:dyDescent="0.2">
      <c r="A25" s="6"/>
      <c r="B25" s="253">
        <v>14234</v>
      </c>
      <c r="C25" s="20" t="s">
        <v>472</v>
      </c>
      <c r="E25" s="253"/>
      <c r="F25" s="390">
        <v>13503</v>
      </c>
      <c r="G25" s="20" t="s">
        <v>487</v>
      </c>
    </row>
    <row r="26" spans="1:7" x14ac:dyDescent="0.2">
      <c r="A26" s="6"/>
      <c r="B26" s="253">
        <v>14245</v>
      </c>
      <c r="C26" s="20" t="s">
        <v>473</v>
      </c>
      <c r="D26" s="20"/>
      <c r="E26" s="29"/>
      <c r="F26" s="29">
        <v>13504</v>
      </c>
      <c r="G26" s="252" t="s">
        <v>488</v>
      </c>
    </row>
    <row r="27" spans="1:7" x14ac:dyDescent="0.2">
      <c r="A27" s="6"/>
      <c r="B27" s="253">
        <v>14321</v>
      </c>
      <c r="C27" s="20" t="s">
        <v>474</v>
      </c>
      <c r="D27" s="20"/>
      <c r="E27" s="29"/>
      <c r="F27" s="29">
        <v>14314</v>
      </c>
      <c r="G27" s="252" t="s">
        <v>489</v>
      </c>
    </row>
    <row r="28" spans="1:7" x14ac:dyDescent="0.2">
      <c r="A28" s="6"/>
      <c r="B28" s="390">
        <v>14814</v>
      </c>
      <c r="C28" s="248" t="s">
        <v>490</v>
      </c>
      <c r="E28" s="29"/>
      <c r="F28" s="29"/>
    </row>
    <row r="29" spans="1:7" x14ac:dyDescent="0.2">
      <c r="A29" s="29"/>
      <c r="B29" s="29"/>
      <c r="E29" s="29"/>
      <c r="F29" s="29"/>
    </row>
    <row r="30" spans="1:7" x14ac:dyDescent="0.2">
      <c r="A30" s="29"/>
      <c r="B30" s="29"/>
      <c r="E30" s="29"/>
      <c r="F30" s="29"/>
    </row>
    <row r="31" spans="1:7" x14ac:dyDescent="0.2">
      <c r="A31" s="29"/>
      <c r="B31" s="29"/>
      <c r="E31" s="29"/>
      <c r="F31" s="29"/>
    </row>
    <row r="32" spans="1:7" x14ac:dyDescent="0.2">
      <c r="A32" s="29"/>
      <c r="B32" s="29"/>
      <c r="E32" s="29"/>
      <c r="F32" s="29"/>
    </row>
    <row r="33" spans="1:6" x14ac:dyDescent="0.2">
      <c r="A33" s="29"/>
      <c r="B33" s="29"/>
      <c r="E33" s="29"/>
      <c r="F33" s="29"/>
    </row>
    <row r="34" spans="1:6" x14ac:dyDescent="0.2">
      <c r="A34" s="29"/>
      <c r="B34" s="29"/>
      <c r="E34" s="29"/>
      <c r="F34" s="29"/>
    </row>
    <row r="35" spans="1:6" x14ac:dyDescent="0.2">
      <c r="A35" s="29"/>
      <c r="B35" s="29"/>
      <c r="E35" s="29"/>
      <c r="F35" s="29"/>
    </row>
    <row r="36" spans="1:6" x14ac:dyDescent="0.2">
      <c r="A36" s="29"/>
      <c r="B36" s="29"/>
      <c r="E36" s="29"/>
      <c r="F36" s="29"/>
    </row>
    <row r="37" spans="1:6" x14ac:dyDescent="0.2">
      <c r="A37" s="29"/>
      <c r="B37" s="29"/>
      <c r="E37" s="29"/>
      <c r="F37" s="29"/>
    </row>
    <row r="38" spans="1:6" x14ac:dyDescent="0.2">
      <c r="A38" s="29"/>
      <c r="B38" s="29"/>
      <c r="E38" s="29"/>
      <c r="F38" s="29"/>
    </row>
    <row r="39" spans="1:6" x14ac:dyDescent="0.2">
      <c r="B39" s="29"/>
      <c r="E39" s="29"/>
      <c r="F39" s="29"/>
    </row>
    <row r="40" spans="1:6" x14ac:dyDescent="0.2">
      <c r="B40" s="29"/>
      <c r="E40" s="29"/>
      <c r="F40" s="29"/>
    </row>
    <row r="41" spans="1:6" x14ac:dyDescent="0.2">
      <c r="B41" s="29"/>
      <c r="E41" s="29"/>
      <c r="F41" s="29"/>
    </row>
    <row r="42" spans="1:6" x14ac:dyDescent="0.2">
      <c r="B42" s="29"/>
      <c r="E42" s="29"/>
      <c r="F42" s="29"/>
    </row>
    <row r="43" spans="1:6" x14ac:dyDescent="0.2">
      <c r="B43" s="29"/>
      <c r="E43" s="29"/>
      <c r="F43" s="29"/>
    </row>
    <row r="44" spans="1:6" x14ac:dyDescent="0.2">
      <c r="B44" s="29"/>
      <c r="E44" s="29"/>
      <c r="F44" s="29"/>
    </row>
    <row r="45" spans="1:6" x14ac:dyDescent="0.2">
      <c r="B45" s="29"/>
      <c r="E45" s="29"/>
      <c r="F45" s="29"/>
    </row>
    <row r="46" spans="1:6" x14ac:dyDescent="0.2">
      <c r="B46" s="29"/>
      <c r="E46" s="29"/>
      <c r="F46" s="29"/>
    </row>
    <row r="47" spans="1:6" x14ac:dyDescent="0.2">
      <c r="B47" s="29"/>
      <c r="E47" s="29"/>
      <c r="F47" s="29"/>
    </row>
    <row r="48" spans="1:6" x14ac:dyDescent="0.2">
      <c r="B48" s="29"/>
      <c r="E48" s="29"/>
      <c r="F48" s="29"/>
    </row>
    <row r="49" spans="2:6" x14ac:dyDescent="0.2">
      <c r="B49" s="29"/>
      <c r="E49" s="29"/>
      <c r="F49" s="29"/>
    </row>
    <row r="50" spans="2:6" x14ac:dyDescent="0.2">
      <c r="B50" s="29"/>
      <c r="E50" s="29"/>
      <c r="F50" s="29"/>
    </row>
    <row r="51" spans="2:6" x14ac:dyDescent="0.2">
      <c r="B51" s="29"/>
      <c r="E51" s="29"/>
      <c r="F51" s="29"/>
    </row>
    <row r="52" spans="2:6" x14ac:dyDescent="0.2">
      <c r="B52" s="29"/>
      <c r="E52" s="29"/>
      <c r="F52" s="29"/>
    </row>
    <row r="53" spans="2:6" x14ac:dyDescent="0.2">
      <c r="B53" s="29"/>
      <c r="E53" s="29"/>
      <c r="F53" s="29"/>
    </row>
    <row r="54" spans="2:6" x14ac:dyDescent="0.2">
      <c r="B54" s="29"/>
      <c r="E54" s="29"/>
      <c r="F54" s="29"/>
    </row>
    <row r="55" spans="2:6" x14ac:dyDescent="0.2">
      <c r="B55" s="29"/>
      <c r="E55" s="29"/>
      <c r="F55" s="29"/>
    </row>
    <row r="56" spans="2:6" x14ac:dyDescent="0.2">
      <c r="B56" s="29"/>
      <c r="E56" s="29"/>
      <c r="F56" s="29"/>
    </row>
    <row r="57" spans="2:6" x14ac:dyDescent="0.2">
      <c r="B57" s="29"/>
      <c r="E57" s="29"/>
      <c r="F57" s="29"/>
    </row>
    <row r="58" spans="2:6" x14ac:dyDescent="0.2">
      <c r="B58" s="29"/>
      <c r="E58" s="29"/>
      <c r="F58" s="29"/>
    </row>
    <row r="59" spans="2:6" x14ac:dyDescent="0.2">
      <c r="B59" s="29"/>
      <c r="E59" s="29"/>
      <c r="F59" s="29"/>
    </row>
    <row r="60" spans="2:6" x14ac:dyDescent="0.2">
      <c r="B60" s="29"/>
      <c r="E60" s="29"/>
      <c r="F60" s="29"/>
    </row>
    <row r="61" spans="2:6" x14ac:dyDescent="0.2">
      <c r="B61" s="29"/>
      <c r="E61" s="29"/>
      <c r="F61" s="29"/>
    </row>
    <row r="62" spans="2:6" x14ac:dyDescent="0.2">
      <c r="B62" s="29"/>
      <c r="E62" s="29"/>
      <c r="F62" s="29"/>
    </row>
    <row r="63" spans="2:6" x14ac:dyDescent="0.2">
      <c r="B63" s="29"/>
      <c r="E63" s="29"/>
      <c r="F63" s="29"/>
    </row>
    <row r="64" spans="2:6" x14ac:dyDescent="0.2">
      <c r="B64" s="29"/>
      <c r="E64" s="29"/>
      <c r="F64" s="29"/>
    </row>
    <row r="65" spans="2:6" x14ac:dyDescent="0.2">
      <c r="B65" s="29"/>
      <c r="E65" s="29"/>
      <c r="F65" s="29"/>
    </row>
    <row r="66" spans="2:6" x14ac:dyDescent="0.2">
      <c r="B66" s="29"/>
      <c r="E66" s="29"/>
      <c r="F66" s="29"/>
    </row>
    <row r="67" spans="2:6" x14ac:dyDescent="0.2">
      <c r="B67" s="29"/>
      <c r="F67" s="29"/>
    </row>
    <row r="68" spans="2:6" x14ac:dyDescent="0.2">
      <c r="B68" s="29"/>
      <c r="F68" s="29"/>
    </row>
    <row r="69" spans="2:6" x14ac:dyDescent="0.2">
      <c r="B69" s="29"/>
      <c r="F69" s="29"/>
    </row>
    <row r="70" spans="2:6" x14ac:dyDescent="0.2">
      <c r="B70" s="29"/>
      <c r="F70" s="29"/>
    </row>
    <row r="71" spans="2:6" x14ac:dyDescent="0.2">
      <c r="B71" s="29"/>
      <c r="F71" s="29"/>
    </row>
    <row r="72" spans="2:6" x14ac:dyDescent="0.2">
      <c r="B72" s="29"/>
      <c r="F72" s="29"/>
    </row>
    <row r="73" spans="2:6" x14ac:dyDescent="0.2">
      <c r="B73" s="29"/>
      <c r="F73" s="29"/>
    </row>
    <row r="74" spans="2:6" x14ac:dyDescent="0.2">
      <c r="B74" s="29"/>
      <c r="F74" s="29"/>
    </row>
    <row r="75" spans="2:6" x14ac:dyDescent="0.2">
      <c r="B75" s="29"/>
      <c r="F75" s="29"/>
    </row>
    <row r="76" spans="2:6" x14ac:dyDescent="0.2">
      <c r="B76" s="29"/>
      <c r="F76" s="29"/>
    </row>
    <row r="77" spans="2:6" x14ac:dyDescent="0.2">
      <c r="B77" s="29"/>
      <c r="F77" s="29"/>
    </row>
    <row r="78" spans="2:6" x14ac:dyDescent="0.2">
      <c r="B78" s="29"/>
      <c r="F78" s="29"/>
    </row>
    <row r="79" spans="2:6" x14ac:dyDescent="0.2">
      <c r="B79" s="29"/>
      <c r="F79" s="29"/>
    </row>
    <row r="80" spans="2:6" x14ac:dyDescent="0.2">
      <c r="B80" s="29"/>
      <c r="F80" s="29"/>
    </row>
    <row r="81" spans="2:6" x14ac:dyDescent="0.2">
      <c r="B81" s="29"/>
      <c r="F81" s="29"/>
    </row>
    <row r="82" spans="2:6" x14ac:dyDescent="0.2">
      <c r="B82" s="29"/>
      <c r="F82" s="29"/>
    </row>
    <row r="83" spans="2:6" x14ac:dyDescent="0.2">
      <c r="B83" s="29"/>
      <c r="F83" s="29"/>
    </row>
    <row r="84" spans="2:6" x14ac:dyDescent="0.2">
      <c r="B84" s="29"/>
      <c r="F84" s="29"/>
    </row>
    <row r="85" spans="2:6" x14ac:dyDescent="0.2">
      <c r="B85" s="29"/>
      <c r="F85" s="29"/>
    </row>
    <row r="86" spans="2:6" x14ac:dyDescent="0.2">
      <c r="B86" s="29"/>
      <c r="F86" s="29"/>
    </row>
    <row r="87" spans="2:6" x14ac:dyDescent="0.2">
      <c r="B87" s="29"/>
      <c r="F87" s="29"/>
    </row>
    <row r="88" spans="2:6" x14ac:dyDescent="0.2">
      <c r="B88" s="29"/>
      <c r="F88" s="29"/>
    </row>
    <row r="89" spans="2:6" x14ac:dyDescent="0.2">
      <c r="B89" s="29"/>
      <c r="F89" s="29"/>
    </row>
    <row r="90" spans="2:6" x14ac:dyDescent="0.2">
      <c r="B90" s="29"/>
      <c r="F90" s="29"/>
    </row>
    <row r="91" spans="2:6" x14ac:dyDescent="0.2">
      <c r="B91" s="29"/>
      <c r="F91" s="29"/>
    </row>
    <row r="92" spans="2:6" x14ac:dyDescent="0.2">
      <c r="B92" s="29"/>
      <c r="F92" s="29"/>
    </row>
    <row r="93" spans="2:6" x14ac:dyDescent="0.2">
      <c r="B93" s="29"/>
      <c r="F93" s="29"/>
    </row>
    <row r="94" spans="2:6" x14ac:dyDescent="0.2">
      <c r="B94" s="29"/>
      <c r="F94" s="29"/>
    </row>
    <row r="95" spans="2:6" x14ac:dyDescent="0.2">
      <c r="B95" s="29"/>
      <c r="F95" s="29"/>
    </row>
    <row r="96" spans="2:6" x14ac:dyDescent="0.2">
      <c r="B96" s="29"/>
      <c r="F96" s="29"/>
    </row>
    <row r="97" spans="2:6" x14ac:dyDescent="0.2">
      <c r="B97" s="29"/>
      <c r="F97" s="29"/>
    </row>
    <row r="98" spans="2:6" x14ac:dyDescent="0.2">
      <c r="B98" s="29"/>
      <c r="F98" s="29"/>
    </row>
    <row r="99" spans="2:6" x14ac:dyDescent="0.2">
      <c r="B99" s="29"/>
      <c r="F99" s="29"/>
    </row>
    <row r="100" spans="2:6" x14ac:dyDescent="0.2">
      <c r="B100" s="29"/>
      <c r="F100" s="29"/>
    </row>
    <row r="101" spans="2:6" x14ac:dyDescent="0.2">
      <c r="B101" s="29"/>
      <c r="F101" s="29"/>
    </row>
    <row r="102" spans="2:6" x14ac:dyDescent="0.2">
      <c r="B102" s="29"/>
      <c r="F102" s="29"/>
    </row>
    <row r="103" spans="2:6" x14ac:dyDescent="0.2">
      <c r="B103" s="29"/>
      <c r="F103" s="29"/>
    </row>
    <row r="104" spans="2:6" x14ac:dyDescent="0.2">
      <c r="B104" s="29"/>
      <c r="F104" s="29"/>
    </row>
    <row r="105" spans="2:6" x14ac:dyDescent="0.2">
      <c r="B105" s="29"/>
      <c r="F105" s="29"/>
    </row>
    <row r="106" spans="2:6" x14ac:dyDescent="0.2">
      <c r="B106" s="29"/>
      <c r="F106" s="29"/>
    </row>
    <row r="107" spans="2:6" x14ac:dyDescent="0.2">
      <c r="B107" s="29"/>
      <c r="F107" s="29"/>
    </row>
    <row r="108" spans="2:6" x14ac:dyDescent="0.2">
      <c r="B108" s="29"/>
      <c r="F108" s="29"/>
    </row>
    <row r="109" spans="2:6" x14ac:dyDescent="0.2">
      <c r="B109" s="29"/>
      <c r="F109" s="29"/>
    </row>
    <row r="110" spans="2:6" x14ac:dyDescent="0.2">
      <c r="B110" s="29"/>
      <c r="F110" s="29"/>
    </row>
    <row r="111" spans="2:6" x14ac:dyDescent="0.2">
      <c r="B111" s="29"/>
      <c r="F111" s="29"/>
    </row>
    <row r="112" spans="2:6" x14ac:dyDescent="0.2">
      <c r="B112" s="29"/>
      <c r="F112" s="29"/>
    </row>
    <row r="113" spans="2:6" x14ac:dyDescent="0.2">
      <c r="B113" s="29"/>
      <c r="F113" s="29"/>
    </row>
    <row r="114" spans="2:6" x14ac:dyDescent="0.2">
      <c r="B114" s="29"/>
      <c r="F114" s="29"/>
    </row>
    <row r="115" spans="2:6" x14ac:dyDescent="0.2">
      <c r="B115" s="29"/>
      <c r="F115" s="29"/>
    </row>
    <row r="116" spans="2:6" x14ac:dyDescent="0.2">
      <c r="B116" s="29"/>
      <c r="F116" s="29"/>
    </row>
    <row r="117" spans="2:6" x14ac:dyDescent="0.2">
      <c r="B117" s="29"/>
      <c r="F117" s="29"/>
    </row>
    <row r="118" spans="2:6" x14ac:dyDescent="0.2">
      <c r="B118" s="29"/>
      <c r="F118" s="29"/>
    </row>
    <row r="119" spans="2:6" x14ac:dyDescent="0.2">
      <c r="B119" s="29"/>
      <c r="F119" s="29"/>
    </row>
    <row r="120" spans="2:6" x14ac:dyDescent="0.2">
      <c r="B120" s="29"/>
      <c r="F120" s="29"/>
    </row>
    <row r="121" spans="2:6" x14ac:dyDescent="0.2">
      <c r="B121" s="29"/>
      <c r="F121" s="29"/>
    </row>
    <row r="122" spans="2:6" x14ac:dyDescent="0.2">
      <c r="B122" s="29"/>
      <c r="F122" s="29"/>
    </row>
    <row r="123" spans="2:6" x14ac:dyDescent="0.2">
      <c r="B123" s="29"/>
      <c r="F123" s="29"/>
    </row>
    <row r="124" spans="2:6" x14ac:dyDescent="0.2">
      <c r="B124" s="29"/>
      <c r="F124" s="29"/>
    </row>
    <row r="125" spans="2:6" x14ac:dyDescent="0.2">
      <c r="B125" s="29"/>
      <c r="F125" s="29"/>
    </row>
    <row r="126" spans="2:6" x14ac:dyDescent="0.2">
      <c r="B126" s="29"/>
      <c r="F126" s="29"/>
    </row>
    <row r="127" spans="2:6" x14ac:dyDescent="0.2">
      <c r="B127" s="29"/>
      <c r="F127" s="29"/>
    </row>
    <row r="128" spans="2:6" x14ac:dyDescent="0.2">
      <c r="B128" s="29"/>
      <c r="F128" s="29"/>
    </row>
    <row r="129" spans="2:6" x14ac:dyDescent="0.2">
      <c r="B129" s="29"/>
      <c r="F129" s="29"/>
    </row>
    <row r="130" spans="2:6" x14ac:dyDescent="0.2">
      <c r="B130" s="29"/>
      <c r="F130" s="29"/>
    </row>
    <row r="131" spans="2:6" x14ac:dyDescent="0.2">
      <c r="B131" s="29"/>
      <c r="F131" s="29"/>
    </row>
    <row r="132" spans="2:6" x14ac:dyDescent="0.2">
      <c r="B132" s="29"/>
      <c r="F132" s="29"/>
    </row>
    <row r="133" spans="2:6" x14ac:dyDescent="0.2">
      <c r="B133" s="29"/>
      <c r="F133" s="29"/>
    </row>
    <row r="134" spans="2:6" x14ac:dyDescent="0.2">
      <c r="B134" s="29"/>
      <c r="F134" s="29"/>
    </row>
    <row r="135" spans="2:6" x14ac:dyDescent="0.2">
      <c r="B135" s="29"/>
      <c r="F135" s="29"/>
    </row>
    <row r="136" spans="2:6" x14ac:dyDescent="0.2">
      <c r="B136" s="29"/>
      <c r="F136" s="29"/>
    </row>
    <row r="137" spans="2:6" x14ac:dyDescent="0.2">
      <c r="B137" s="29"/>
      <c r="F137" s="29"/>
    </row>
    <row r="138" spans="2:6" x14ac:dyDescent="0.2">
      <c r="B138" s="29"/>
      <c r="F138" s="29"/>
    </row>
    <row r="139" spans="2:6" x14ac:dyDescent="0.2">
      <c r="B139" s="29"/>
      <c r="F139" s="29"/>
    </row>
    <row r="140" spans="2:6" x14ac:dyDescent="0.2">
      <c r="B140" s="29"/>
      <c r="F140" s="29"/>
    </row>
    <row r="141" spans="2:6" x14ac:dyDescent="0.2">
      <c r="B141" s="29"/>
      <c r="F141" s="29"/>
    </row>
    <row r="142" spans="2:6" x14ac:dyDescent="0.2">
      <c r="B142" s="29"/>
      <c r="F142" s="29"/>
    </row>
    <row r="143" spans="2:6" x14ac:dyDescent="0.2">
      <c r="B143" s="29"/>
      <c r="F143" s="29"/>
    </row>
    <row r="144" spans="2:6" x14ac:dyDescent="0.2">
      <c r="B144" s="29"/>
      <c r="F144" s="29"/>
    </row>
    <row r="145" spans="2:6" x14ac:dyDescent="0.2">
      <c r="B145" s="29"/>
      <c r="F145" s="29"/>
    </row>
    <row r="146" spans="2:6" x14ac:dyDescent="0.2">
      <c r="B146" s="29"/>
      <c r="F146" s="29"/>
    </row>
    <row r="147" spans="2:6" x14ac:dyDescent="0.2">
      <c r="B147" s="29"/>
      <c r="F147" s="29"/>
    </row>
    <row r="148" spans="2:6" x14ac:dyDescent="0.2">
      <c r="B148" s="29"/>
      <c r="F148" s="29"/>
    </row>
    <row r="149" spans="2:6" x14ac:dyDescent="0.2">
      <c r="B149" s="29"/>
      <c r="F149" s="29"/>
    </row>
    <row r="150" spans="2:6" x14ac:dyDescent="0.2">
      <c r="B150" s="29"/>
      <c r="F150" s="29"/>
    </row>
    <row r="151" spans="2:6" x14ac:dyDescent="0.2">
      <c r="B151" s="29"/>
      <c r="F151" s="29"/>
    </row>
    <row r="152" spans="2:6" x14ac:dyDescent="0.2">
      <c r="B152" s="29"/>
      <c r="F152" s="29"/>
    </row>
    <row r="153" spans="2:6" x14ac:dyDescent="0.2">
      <c r="B153" s="29"/>
      <c r="F153" s="29"/>
    </row>
    <row r="154" spans="2:6" x14ac:dyDescent="0.2">
      <c r="B154" s="29"/>
      <c r="F154" s="29"/>
    </row>
    <row r="155" spans="2:6" x14ac:dyDescent="0.2">
      <c r="B155" s="29"/>
      <c r="F155" s="29"/>
    </row>
    <row r="156" spans="2:6" x14ac:dyDescent="0.2">
      <c r="B156" s="29"/>
      <c r="F156" s="29"/>
    </row>
    <row r="157" spans="2:6" x14ac:dyDescent="0.2">
      <c r="B157" s="29"/>
      <c r="F157" s="29"/>
    </row>
    <row r="158" spans="2:6" x14ac:dyDescent="0.2">
      <c r="B158" s="29"/>
      <c r="F158" s="29"/>
    </row>
    <row r="159" spans="2:6" x14ac:dyDescent="0.2">
      <c r="B159" s="29"/>
      <c r="F159" s="29"/>
    </row>
    <row r="160" spans="2:6" x14ac:dyDescent="0.2">
      <c r="B160" s="29"/>
      <c r="F160" s="29"/>
    </row>
    <row r="161" spans="2:6" x14ac:dyDescent="0.2">
      <c r="B161" s="29"/>
      <c r="F161" s="29"/>
    </row>
    <row r="162" spans="2:6" x14ac:dyDescent="0.2">
      <c r="B162" s="29"/>
      <c r="F162" s="29"/>
    </row>
    <row r="163" spans="2:6" x14ac:dyDescent="0.2">
      <c r="B163" s="29"/>
      <c r="F163" s="29"/>
    </row>
    <row r="164" spans="2:6" x14ac:dyDescent="0.2">
      <c r="B164" s="29"/>
      <c r="F164" s="29"/>
    </row>
    <row r="165" spans="2:6" x14ac:dyDescent="0.2">
      <c r="B165" s="29"/>
      <c r="F165" s="29"/>
    </row>
    <row r="166" spans="2:6" x14ac:dyDescent="0.2">
      <c r="B166" s="29"/>
      <c r="F166" s="29"/>
    </row>
    <row r="167" spans="2:6" x14ac:dyDescent="0.2">
      <c r="B167" s="29"/>
      <c r="F167" s="29"/>
    </row>
    <row r="168" spans="2:6" x14ac:dyDescent="0.2">
      <c r="B168" s="29"/>
      <c r="F168" s="29"/>
    </row>
    <row r="169" spans="2:6" x14ac:dyDescent="0.2">
      <c r="B169" s="29"/>
      <c r="F169" s="29"/>
    </row>
    <row r="170" spans="2:6" x14ac:dyDescent="0.2">
      <c r="B170" s="29"/>
      <c r="F170" s="29"/>
    </row>
    <row r="171" spans="2:6" x14ac:dyDescent="0.2">
      <c r="F171" s="29"/>
    </row>
    <row r="172" spans="2:6" x14ac:dyDescent="0.2">
      <c r="F172" s="29"/>
    </row>
    <row r="173" spans="2:6" x14ac:dyDescent="0.2">
      <c r="F173" s="29"/>
    </row>
    <row r="174" spans="2:6" x14ac:dyDescent="0.2">
      <c r="F174" s="29"/>
    </row>
    <row r="175" spans="2:6" x14ac:dyDescent="0.2">
      <c r="F175" s="29"/>
    </row>
    <row r="176" spans="2:6" x14ac:dyDescent="0.2">
      <c r="F176" s="29"/>
    </row>
    <row r="177" spans="6:6" x14ac:dyDescent="0.2">
      <c r="F177" s="29"/>
    </row>
    <row r="178" spans="6:6" x14ac:dyDescent="0.2">
      <c r="F178" s="29"/>
    </row>
    <row r="179" spans="6:6" x14ac:dyDescent="0.2">
      <c r="F179" s="29"/>
    </row>
    <row r="180" spans="6:6" x14ac:dyDescent="0.2">
      <c r="F180" s="29"/>
    </row>
    <row r="181" spans="6:6" x14ac:dyDescent="0.2">
      <c r="F181" s="29"/>
    </row>
    <row r="182" spans="6:6" x14ac:dyDescent="0.2">
      <c r="F182" s="29"/>
    </row>
    <row r="183" spans="6:6" x14ac:dyDescent="0.2">
      <c r="F183" s="29"/>
    </row>
    <row r="184" spans="6:6" x14ac:dyDescent="0.2">
      <c r="F184" s="29"/>
    </row>
    <row r="185" spans="6:6" x14ac:dyDescent="0.2">
      <c r="F185" s="29"/>
    </row>
    <row r="186" spans="6:6" x14ac:dyDescent="0.2">
      <c r="F186" s="29"/>
    </row>
    <row r="187" spans="6:6" x14ac:dyDescent="0.2">
      <c r="F187" s="29"/>
    </row>
    <row r="188" spans="6:6" x14ac:dyDescent="0.2">
      <c r="F188" s="29"/>
    </row>
    <row r="189" spans="6:6" x14ac:dyDescent="0.2">
      <c r="F189" s="29"/>
    </row>
    <row r="190" spans="6:6" x14ac:dyDescent="0.2">
      <c r="F190" s="29"/>
    </row>
    <row r="191" spans="6:6" x14ac:dyDescent="0.2">
      <c r="F191" s="29"/>
    </row>
    <row r="192" spans="6:6" x14ac:dyDescent="0.2">
      <c r="F192" s="29"/>
    </row>
    <row r="193" spans="6:6" x14ac:dyDescent="0.2">
      <c r="F193" s="29"/>
    </row>
    <row r="194" spans="6:6" x14ac:dyDescent="0.2">
      <c r="F194" s="29"/>
    </row>
    <row r="195" spans="6:6" x14ac:dyDescent="0.2">
      <c r="F195" s="29"/>
    </row>
    <row r="196" spans="6:6" x14ac:dyDescent="0.2">
      <c r="F196" s="29"/>
    </row>
    <row r="197" spans="6:6" x14ac:dyDescent="0.2">
      <c r="F197" s="29"/>
    </row>
    <row r="198" spans="6:6" x14ac:dyDescent="0.2">
      <c r="F198" s="29"/>
    </row>
    <row r="199" spans="6:6" x14ac:dyDescent="0.2">
      <c r="F199" s="29"/>
    </row>
    <row r="200" spans="6:6" x14ac:dyDescent="0.2">
      <c r="F200" s="29"/>
    </row>
    <row r="201" spans="6:6" x14ac:dyDescent="0.2">
      <c r="F201" s="29"/>
    </row>
    <row r="202" spans="6:6" x14ac:dyDescent="0.2">
      <c r="F202" s="29"/>
    </row>
    <row r="203" spans="6:6" x14ac:dyDescent="0.2">
      <c r="F203" s="29"/>
    </row>
    <row r="204" spans="6:6" x14ac:dyDescent="0.2">
      <c r="F204" s="29"/>
    </row>
    <row r="205" spans="6:6" x14ac:dyDescent="0.2">
      <c r="F205" s="29"/>
    </row>
    <row r="206" spans="6:6" x14ac:dyDescent="0.2">
      <c r="F206" s="29"/>
    </row>
    <row r="207" spans="6:6" x14ac:dyDescent="0.2">
      <c r="F207" s="29"/>
    </row>
    <row r="208" spans="6:6" x14ac:dyDescent="0.2">
      <c r="F208" s="29"/>
    </row>
    <row r="209" spans="6:6" x14ac:dyDescent="0.2">
      <c r="F209" s="29"/>
    </row>
    <row r="210" spans="6:6" x14ac:dyDescent="0.2">
      <c r="F210" s="29"/>
    </row>
    <row r="211" spans="6:6" x14ac:dyDescent="0.2">
      <c r="F211" s="29"/>
    </row>
    <row r="212" spans="6:6" x14ac:dyDescent="0.2">
      <c r="F212" s="29"/>
    </row>
    <row r="213" spans="6:6" x14ac:dyDescent="0.2">
      <c r="F213" s="29"/>
    </row>
    <row r="214" spans="6:6" x14ac:dyDescent="0.2">
      <c r="F214" s="29"/>
    </row>
    <row r="215" spans="6:6" x14ac:dyDescent="0.2">
      <c r="F215" s="29"/>
    </row>
    <row r="216" spans="6:6" x14ac:dyDescent="0.2">
      <c r="F216" s="29"/>
    </row>
    <row r="217" spans="6:6" x14ac:dyDescent="0.2">
      <c r="F217" s="29"/>
    </row>
    <row r="218" spans="6:6" x14ac:dyDescent="0.2">
      <c r="F218" s="29"/>
    </row>
    <row r="219" spans="6:6" x14ac:dyDescent="0.2">
      <c r="F219" s="29"/>
    </row>
    <row r="220" spans="6:6" x14ac:dyDescent="0.2">
      <c r="F220" s="29"/>
    </row>
    <row r="221" spans="6:6" x14ac:dyDescent="0.2">
      <c r="F221" s="29"/>
    </row>
    <row r="222" spans="6:6" x14ac:dyDescent="0.2">
      <c r="F222" s="29"/>
    </row>
    <row r="223" spans="6:6" x14ac:dyDescent="0.2">
      <c r="F223" s="29"/>
    </row>
    <row r="224" spans="6:6" x14ac:dyDescent="0.2">
      <c r="F224" s="29"/>
    </row>
    <row r="225" spans="6:6" x14ac:dyDescent="0.2">
      <c r="F225" s="29"/>
    </row>
    <row r="226" spans="6:6" x14ac:dyDescent="0.2">
      <c r="F226" s="29"/>
    </row>
    <row r="227" spans="6:6" x14ac:dyDescent="0.2">
      <c r="F227" s="29"/>
    </row>
    <row r="228" spans="6:6" x14ac:dyDescent="0.2">
      <c r="F228" s="29"/>
    </row>
    <row r="229" spans="6:6" x14ac:dyDescent="0.2">
      <c r="F229" s="29"/>
    </row>
    <row r="230" spans="6:6" x14ac:dyDescent="0.2">
      <c r="F230" s="29"/>
    </row>
    <row r="231" spans="6:6" x14ac:dyDescent="0.2">
      <c r="F231" s="29"/>
    </row>
    <row r="232" spans="6:6" x14ac:dyDescent="0.2">
      <c r="F232" s="29"/>
    </row>
    <row r="233" spans="6:6" x14ac:dyDescent="0.2">
      <c r="F233" s="29"/>
    </row>
    <row r="234" spans="6:6" x14ac:dyDescent="0.2">
      <c r="F234" s="29"/>
    </row>
    <row r="235" spans="6:6" x14ac:dyDescent="0.2">
      <c r="F235" s="29"/>
    </row>
    <row r="236" spans="6:6" x14ac:dyDescent="0.2">
      <c r="F236" s="29"/>
    </row>
    <row r="237" spans="6:6" x14ac:dyDescent="0.2">
      <c r="F237" s="29"/>
    </row>
    <row r="238" spans="6:6" x14ac:dyDescent="0.2">
      <c r="F238" s="29"/>
    </row>
    <row r="239" spans="6:6" x14ac:dyDescent="0.2">
      <c r="F239" s="29"/>
    </row>
    <row r="240" spans="6:6" x14ac:dyDescent="0.2">
      <c r="F240" s="29"/>
    </row>
    <row r="241" spans="6:6" x14ac:dyDescent="0.2">
      <c r="F241" s="29"/>
    </row>
    <row r="242" spans="6:6" x14ac:dyDescent="0.2">
      <c r="F242" s="29"/>
    </row>
    <row r="243" spans="6:6" x14ac:dyDescent="0.2">
      <c r="F243" s="29"/>
    </row>
    <row r="244" spans="6:6" x14ac:dyDescent="0.2">
      <c r="F244" s="29"/>
    </row>
    <row r="245" spans="6:6" x14ac:dyDescent="0.2">
      <c r="F245" s="29"/>
    </row>
    <row r="246" spans="6:6" x14ac:dyDescent="0.2">
      <c r="F246" s="29"/>
    </row>
    <row r="247" spans="6:6" x14ac:dyDescent="0.2">
      <c r="F247" s="29"/>
    </row>
    <row r="248" spans="6:6" x14ac:dyDescent="0.2">
      <c r="F248" s="29"/>
    </row>
    <row r="249" spans="6:6" x14ac:dyDescent="0.2">
      <c r="F249" s="29"/>
    </row>
    <row r="250" spans="6:6" x14ac:dyDescent="0.2">
      <c r="F250" s="29"/>
    </row>
    <row r="251" spans="6:6" x14ac:dyDescent="0.2">
      <c r="F251" s="29"/>
    </row>
    <row r="252" spans="6:6" x14ac:dyDescent="0.2">
      <c r="F252" s="29"/>
    </row>
    <row r="253" spans="6:6" x14ac:dyDescent="0.2">
      <c r="F253" s="29"/>
    </row>
    <row r="254" spans="6:6" x14ac:dyDescent="0.2">
      <c r="F254" s="29"/>
    </row>
    <row r="255" spans="6:6" x14ac:dyDescent="0.2">
      <c r="F255" s="29"/>
    </row>
    <row r="256" spans="6:6" x14ac:dyDescent="0.2">
      <c r="F256" s="29"/>
    </row>
    <row r="257" spans="6:6" x14ac:dyDescent="0.2">
      <c r="F257" s="29"/>
    </row>
    <row r="258" spans="6:6" x14ac:dyDescent="0.2">
      <c r="F258" s="29"/>
    </row>
    <row r="259" spans="6:6" x14ac:dyDescent="0.2">
      <c r="F259" s="29"/>
    </row>
    <row r="260" spans="6:6" x14ac:dyDescent="0.2">
      <c r="F260" s="29"/>
    </row>
    <row r="261" spans="6:6" x14ac:dyDescent="0.2">
      <c r="F261" s="29"/>
    </row>
    <row r="262" spans="6:6" x14ac:dyDescent="0.2">
      <c r="F262" s="29"/>
    </row>
    <row r="263" spans="6:6" x14ac:dyDescent="0.2">
      <c r="F263" s="29"/>
    </row>
    <row r="264" spans="6:6" x14ac:dyDescent="0.2">
      <c r="F264" s="29"/>
    </row>
    <row r="265" spans="6:6" x14ac:dyDescent="0.2">
      <c r="F265" s="29"/>
    </row>
  </sheetData>
  <phoneticPr fontId="0" type="noConversion"/>
  <pageMargins left="0.75" right="0.75" top="0.53" bottom="0.56000000000000005" header="0.5" footer="0.31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446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A8" sqref="A8"/>
    </sheetView>
  </sheetViews>
  <sheetFormatPr defaultRowHeight="12.75" x14ac:dyDescent="0.2"/>
  <cols>
    <col min="1" max="1" width="27.7109375" customWidth="1"/>
    <col min="2" max="2" width="13.42578125" customWidth="1"/>
    <col min="3" max="3" width="12" customWidth="1"/>
    <col min="4" max="4" width="13.85546875" customWidth="1"/>
    <col min="5" max="5" width="10.42578125" customWidth="1"/>
    <col min="6" max="6" width="11.85546875" customWidth="1"/>
    <col min="7" max="7" width="13" customWidth="1"/>
    <col min="8" max="8" width="10.85546875" customWidth="1"/>
    <col min="9" max="9" width="11.85546875" customWidth="1"/>
    <col min="10" max="11" width="9.85546875" customWidth="1"/>
    <col min="12" max="12" width="10.7109375" customWidth="1"/>
    <col min="13" max="13" width="9.7109375" customWidth="1"/>
    <col min="14" max="14" width="11.140625" customWidth="1"/>
    <col min="15" max="15" width="11.42578125" customWidth="1"/>
    <col min="16" max="16" width="10" customWidth="1"/>
    <col min="17" max="17" width="12.28515625" customWidth="1"/>
    <col min="18" max="18" width="12.7109375" customWidth="1"/>
    <col min="19" max="19" width="14.5703125" customWidth="1"/>
    <col min="20" max="20" width="13.28515625" hidden="1" customWidth="1"/>
  </cols>
  <sheetData>
    <row r="1" spans="1:24" ht="15.75" x14ac:dyDescent="0.25">
      <c r="A1" s="63" t="s">
        <v>85</v>
      </c>
      <c r="B1" s="1" t="s">
        <v>86</v>
      </c>
      <c r="C1" s="1"/>
      <c r="D1" s="1"/>
      <c r="E1" s="1"/>
      <c r="F1" s="62"/>
      <c r="G1" s="62"/>
      <c r="I1" s="62"/>
      <c r="J1" s="62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ht="15.75" x14ac:dyDescent="0.25">
      <c r="A2" s="115" t="str">
        <f>ReportMonth</f>
        <v>MAY 2004</v>
      </c>
      <c r="B2" s="1"/>
      <c r="C2" s="1"/>
      <c r="D2" s="1"/>
      <c r="E2" s="1"/>
      <c r="F2" s="62"/>
      <c r="G2" s="62"/>
      <c r="I2" s="62"/>
      <c r="J2" s="62"/>
      <c r="K2" s="1"/>
      <c r="L2" s="1"/>
      <c r="M2" s="1"/>
      <c r="N2" s="1"/>
      <c r="O2" s="1"/>
      <c r="P2" s="1"/>
      <c r="Q2" s="1"/>
      <c r="R2" s="1"/>
      <c r="S2" s="10"/>
      <c r="T2" s="1"/>
    </row>
    <row r="3" spans="1:24" ht="15" x14ac:dyDescent="0.2">
      <c r="A3" s="86" t="s">
        <v>3</v>
      </c>
      <c r="B3" s="42"/>
      <c r="C3" s="42"/>
      <c r="D3" s="42"/>
      <c r="E3" s="42"/>
      <c r="F3" s="86"/>
      <c r="G3" s="86"/>
      <c r="H3" s="86"/>
      <c r="I3" s="86"/>
      <c r="J3" s="86"/>
      <c r="K3" s="42"/>
      <c r="L3" s="42"/>
      <c r="M3" s="42"/>
      <c r="N3" s="42"/>
      <c r="O3" s="42"/>
      <c r="P3" s="42"/>
      <c r="Q3" s="42"/>
      <c r="R3" s="42"/>
      <c r="S3" s="87"/>
      <c r="T3" s="1"/>
    </row>
    <row r="4" spans="1:24" ht="15" x14ac:dyDescent="0.2">
      <c r="A4" s="86" t="s">
        <v>442</v>
      </c>
      <c r="B4" s="42"/>
      <c r="C4" s="42"/>
      <c r="D4" s="42"/>
      <c r="E4" s="42"/>
      <c r="F4" s="86"/>
      <c r="G4" s="86"/>
      <c r="H4" s="86"/>
      <c r="I4" s="86"/>
      <c r="J4" s="86"/>
      <c r="K4" s="42"/>
      <c r="L4" s="42"/>
      <c r="M4" s="42"/>
      <c r="N4" s="42"/>
      <c r="O4" s="42"/>
      <c r="P4" s="42"/>
      <c r="Q4" s="42"/>
      <c r="R4" s="42"/>
      <c r="S4" s="87"/>
      <c r="T4" s="1"/>
    </row>
    <row r="5" spans="1:24" ht="15" x14ac:dyDescent="0.2">
      <c r="A5" s="86" t="s">
        <v>87</v>
      </c>
      <c r="B5" s="42"/>
      <c r="C5" s="42"/>
      <c r="D5" s="42"/>
      <c r="E5" s="42"/>
      <c r="F5" s="43"/>
      <c r="G5" s="86"/>
      <c r="H5" s="86"/>
      <c r="I5" s="86"/>
      <c r="J5" s="86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4" ht="29.25" customHeight="1" x14ac:dyDescent="0.25">
      <c r="A6" s="116" t="s">
        <v>88</v>
      </c>
      <c r="B6" s="43"/>
      <c r="C6" s="43"/>
      <c r="D6" s="43"/>
      <c r="E6" s="43"/>
      <c r="F6" s="43"/>
      <c r="G6" s="43"/>
      <c r="H6" s="42"/>
      <c r="I6" s="42"/>
      <c r="J6" s="42"/>
      <c r="K6" s="42"/>
      <c r="L6" s="43"/>
      <c r="M6" s="43"/>
      <c r="N6" s="42"/>
      <c r="O6" s="42"/>
      <c r="P6" s="42"/>
      <c r="Q6" s="42"/>
      <c r="R6" s="42"/>
      <c r="S6" s="42"/>
      <c r="T6" s="85"/>
      <c r="U6" s="85"/>
      <c r="V6" s="85" t="s">
        <v>82</v>
      </c>
      <c r="W6" s="84"/>
      <c r="X6" s="84"/>
    </row>
    <row r="9" spans="1:24" x14ac:dyDescent="0.2">
      <c r="A9" s="1"/>
      <c r="B9" s="6" t="s">
        <v>21</v>
      </c>
      <c r="C9" s="6" t="s">
        <v>22</v>
      </c>
      <c r="D9" s="6" t="s">
        <v>23</v>
      </c>
      <c r="E9" s="6" t="s">
        <v>24</v>
      </c>
      <c r="F9" s="6" t="s">
        <v>25</v>
      </c>
      <c r="G9" s="6" t="s">
        <v>26</v>
      </c>
      <c r="H9" s="6" t="s">
        <v>27</v>
      </c>
      <c r="I9" s="6" t="s">
        <v>28</v>
      </c>
      <c r="J9" s="6" t="s">
        <v>29</v>
      </c>
      <c r="K9" s="6" t="s">
        <v>30</v>
      </c>
      <c r="L9" s="6" t="s">
        <v>31</v>
      </c>
      <c r="M9" s="6" t="s">
        <v>32</v>
      </c>
      <c r="N9" s="6" t="s">
        <v>33</v>
      </c>
      <c r="O9" s="6" t="s">
        <v>34</v>
      </c>
      <c r="P9" s="6" t="s">
        <v>35</v>
      </c>
      <c r="Q9" s="6" t="s">
        <v>36</v>
      </c>
      <c r="R9" s="6" t="s">
        <v>37</v>
      </c>
      <c r="S9" s="5" t="s">
        <v>12</v>
      </c>
      <c r="T9" s="1"/>
    </row>
    <row r="10" spans="1:24" x14ac:dyDescent="0.2">
      <c r="A10" s="108" t="s">
        <v>13</v>
      </c>
      <c r="B10" s="38" t="s">
        <v>89</v>
      </c>
      <c r="C10" s="38" t="s">
        <v>89</v>
      </c>
      <c r="D10" s="38" t="s">
        <v>89</v>
      </c>
      <c r="E10" s="38" t="s">
        <v>90</v>
      </c>
      <c r="F10" s="38" t="s">
        <v>90</v>
      </c>
      <c r="G10" s="38" t="s">
        <v>90</v>
      </c>
      <c r="H10" s="38" t="s">
        <v>90</v>
      </c>
      <c r="I10" s="38" t="s">
        <v>89</v>
      </c>
      <c r="J10" s="38" t="s">
        <v>89</v>
      </c>
      <c r="K10" s="38" t="s">
        <v>90</v>
      </c>
      <c r="L10" s="38" t="s">
        <v>89</v>
      </c>
      <c r="M10" s="38" t="s">
        <v>89</v>
      </c>
      <c r="N10" s="38" t="s">
        <v>90</v>
      </c>
      <c r="O10" s="38" t="s">
        <v>89</v>
      </c>
      <c r="P10" s="38" t="s">
        <v>90</v>
      </c>
      <c r="Q10" s="38" t="s">
        <v>89</v>
      </c>
      <c r="R10" s="38" t="s">
        <v>89</v>
      </c>
      <c r="S10" s="40" t="s">
        <v>18</v>
      </c>
      <c r="T10" s="1"/>
    </row>
    <row r="11" spans="1:24" s="88" customFormat="1" ht="12.75" customHeight="1" x14ac:dyDescent="0.2">
      <c r="A11" s="10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10"/>
    </row>
    <row r="12" spans="1:24" x14ac:dyDescent="0.2">
      <c r="A12" s="1" t="s">
        <v>38</v>
      </c>
      <c r="B12" s="2">
        <f>+'s1'!AF13</f>
        <v>0</v>
      </c>
      <c r="C12" s="2">
        <f>+'s1'!AG13</f>
        <v>0</v>
      </c>
      <c r="D12" s="2">
        <f>+'s1'!AH13</f>
        <v>0</v>
      </c>
      <c r="E12" s="2">
        <f>+'s1'!AI13</f>
        <v>0</v>
      </c>
      <c r="F12" s="2">
        <f>+'s1'!AJ13</f>
        <v>0</v>
      </c>
      <c r="G12" s="2">
        <f>+'s1'!AK13</f>
        <v>0</v>
      </c>
      <c r="H12" s="2">
        <f>+'s1'!AL13</f>
        <v>0</v>
      </c>
      <c r="I12" s="2">
        <f>+'s1'!AM13</f>
        <v>0</v>
      </c>
      <c r="J12" s="2">
        <f>+'s1'!AN13</f>
        <v>0</v>
      </c>
      <c r="K12" s="2">
        <f>+'s1'!AO13</f>
        <v>0</v>
      </c>
      <c r="L12" s="2">
        <f>+'s1'!AP13</f>
        <v>0</v>
      </c>
      <c r="M12" s="2">
        <f>+'s1'!AQ13</f>
        <v>0</v>
      </c>
      <c r="N12" s="2">
        <f>+'s1'!AR13</f>
        <v>0</v>
      </c>
      <c r="O12" s="2">
        <f>+'s1'!AS13</f>
        <v>0</v>
      </c>
      <c r="P12" s="2">
        <f>+'s1'!AT13</f>
        <v>0</v>
      </c>
      <c r="Q12" s="2">
        <f>+'s1'!AU13</f>
        <v>0</v>
      </c>
      <c r="R12" s="2">
        <f>+'s1'!AV13</f>
        <v>0</v>
      </c>
      <c r="S12" s="2">
        <f>SUM(B12:R12)</f>
        <v>0</v>
      </c>
      <c r="T12" s="2"/>
    </row>
    <row r="13" spans="1:24" x14ac:dyDescent="0.2">
      <c r="A13" s="1" t="s">
        <v>719</v>
      </c>
      <c r="B13" s="2">
        <f>+'s1'!AF14</f>
        <v>0</v>
      </c>
      <c r="C13" s="2">
        <f>+'s1'!AG14</f>
        <v>0</v>
      </c>
      <c r="D13" s="2">
        <f>+'s1'!AH14</f>
        <v>228</v>
      </c>
      <c r="E13" s="2">
        <f>+'s1'!AI14</f>
        <v>0</v>
      </c>
      <c r="F13" s="2">
        <f>+'s1'!AJ14</f>
        <v>0</v>
      </c>
      <c r="G13" s="2">
        <f>+'s1'!AK14</f>
        <v>0</v>
      </c>
      <c r="H13" s="2">
        <f>+'s1'!AL14</f>
        <v>0</v>
      </c>
      <c r="I13" s="2">
        <f>+'s1'!AM14</f>
        <v>0</v>
      </c>
      <c r="J13" s="2">
        <f>+'s1'!AN14</f>
        <v>0</v>
      </c>
      <c r="K13" s="2">
        <f>+'s1'!AO14</f>
        <v>0</v>
      </c>
      <c r="L13" s="2">
        <f>+'s1'!AP14</f>
        <v>0</v>
      </c>
      <c r="M13" s="2">
        <f>+'s1'!AQ14</f>
        <v>0</v>
      </c>
      <c r="N13" s="2">
        <f>+'s1'!AR14</f>
        <v>0</v>
      </c>
      <c r="O13" s="2">
        <f>+'s1'!AS14</f>
        <v>0</v>
      </c>
      <c r="P13" s="2">
        <f>+'s1'!AT14</f>
        <v>0</v>
      </c>
      <c r="Q13" s="2">
        <f>+'s1'!AU14</f>
        <v>0</v>
      </c>
      <c r="R13" s="2">
        <f>+'s1'!AV14</f>
        <v>0</v>
      </c>
      <c r="S13" s="2">
        <f>SUM(B13:R13)</f>
        <v>228</v>
      </c>
      <c r="T13" s="2"/>
    </row>
    <row r="14" spans="1:24" x14ac:dyDescent="0.2">
      <c r="A14" s="1" t="s">
        <v>39</v>
      </c>
      <c r="B14" s="2">
        <f>+'s1'!AF15</f>
        <v>0</v>
      </c>
      <c r="C14" s="2">
        <f>+'s1'!AG15</f>
        <v>0</v>
      </c>
      <c r="D14" s="2">
        <f>+'s1'!AH15</f>
        <v>0</v>
      </c>
      <c r="E14" s="2">
        <f>+'s1'!AI15</f>
        <v>0</v>
      </c>
      <c r="F14" s="2">
        <f>+'s1'!AJ15</f>
        <v>10277.69</v>
      </c>
      <c r="G14" s="2">
        <f>+'s1'!AK15</f>
        <v>0</v>
      </c>
      <c r="H14" s="2">
        <f>+'s1'!AL15</f>
        <v>412.31</v>
      </c>
      <c r="I14" s="2">
        <f>+'s1'!AM15</f>
        <v>1563.96</v>
      </c>
      <c r="J14" s="2">
        <f>+'s1'!AN15</f>
        <v>7755.34</v>
      </c>
      <c r="K14" s="2">
        <f>+'s1'!AO15</f>
        <v>0</v>
      </c>
      <c r="L14" s="2">
        <f>+'s1'!AP15</f>
        <v>0</v>
      </c>
      <c r="M14" s="2">
        <f>+'s1'!AQ15</f>
        <v>308.79000000000002</v>
      </c>
      <c r="N14" s="2">
        <f>+'s1'!AR15</f>
        <v>0</v>
      </c>
      <c r="O14" s="2">
        <f>+'s1'!AS15</f>
        <v>0</v>
      </c>
      <c r="P14" s="2">
        <f>+'s1'!AT15</f>
        <v>0</v>
      </c>
      <c r="Q14" s="2">
        <f>+'s1'!AU15</f>
        <v>0</v>
      </c>
      <c r="R14" s="2">
        <f>+'s1'!AV15</f>
        <v>905.37</v>
      </c>
      <c r="S14" s="2">
        <f t="shared" ref="S14:S90" si="0">SUM(B14:R14)</f>
        <v>21223.46</v>
      </c>
      <c r="T14" s="2"/>
    </row>
    <row r="15" spans="1:24" x14ac:dyDescent="0.2">
      <c r="A15" s="1" t="s">
        <v>343</v>
      </c>
      <c r="B15" s="2">
        <f>+'s1'!AF16</f>
        <v>0</v>
      </c>
      <c r="C15" s="2">
        <f>+'s1'!AG16</f>
        <v>0</v>
      </c>
      <c r="D15" s="2">
        <f>+'s1'!AH16</f>
        <v>0</v>
      </c>
      <c r="E15" s="2">
        <f>+'s1'!AI16</f>
        <v>0</v>
      </c>
      <c r="F15" s="2">
        <f>+'s1'!AJ16</f>
        <v>0</v>
      </c>
      <c r="G15" s="2">
        <f>+'s1'!AK16</f>
        <v>0</v>
      </c>
      <c r="H15" s="2">
        <f>+'s1'!AL16</f>
        <v>0</v>
      </c>
      <c r="I15" s="2">
        <f>+'s1'!AM16</f>
        <v>0</v>
      </c>
      <c r="J15" s="2">
        <f>+'s1'!AN16</f>
        <v>2197.77</v>
      </c>
      <c r="K15" s="2">
        <f>+'s1'!AO16</f>
        <v>0</v>
      </c>
      <c r="L15" s="2">
        <f>+'s1'!AP16</f>
        <v>0</v>
      </c>
      <c r="M15" s="2">
        <f>+'s1'!AQ16</f>
        <v>0</v>
      </c>
      <c r="N15" s="2">
        <f>+'s1'!AR16</f>
        <v>0</v>
      </c>
      <c r="O15" s="2">
        <f>+'s1'!AS16</f>
        <v>0</v>
      </c>
      <c r="P15" s="2">
        <f>+'s1'!AT16</f>
        <v>0</v>
      </c>
      <c r="Q15" s="2">
        <f>+'s1'!AU16</f>
        <v>0</v>
      </c>
      <c r="R15" s="2">
        <f>+'s1'!AV16</f>
        <v>0</v>
      </c>
      <c r="S15" s="2">
        <f t="shared" si="0"/>
        <v>2197.77</v>
      </c>
      <c r="T15" s="2"/>
    </row>
    <row r="16" spans="1:24" x14ac:dyDescent="0.2">
      <c r="A16" s="7" t="s">
        <v>40</v>
      </c>
      <c r="B16" s="2">
        <f>+'s1'!AF17</f>
        <v>0</v>
      </c>
      <c r="C16" s="2">
        <f>+'s1'!AG17</f>
        <v>0</v>
      </c>
      <c r="D16" s="2">
        <f>+'s1'!AH17</f>
        <v>13.76</v>
      </c>
      <c r="E16" s="2">
        <f>+'s1'!AI17</f>
        <v>0</v>
      </c>
      <c r="F16" s="2">
        <f>+'s1'!AJ17</f>
        <v>0</v>
      </c>
      <c r="G16" s="2">
        <f>+'s1'!AK17</f>
        <v>0</v>
      </c>
      <c r="H16" s="2">
        <f>+'s1'!AL17</f>
        <v>0</v>
      </c>
      <c r="I16" s="2">
        <f>+'s1'!AM17</f>
        <v>0</v>
      </c>
      <c r="J16" s="2">
        <f>+'s1'!AN17</f>
        <v>0</v>
      </c>
      <c r="K16" s="2">
        <f>+'s1'!AO17</f>
        <v>0</v>
      </c>
      <c r="L16" s="2">
        <f>+'s1'!AP17</f>
        <v>0</v>
      </c>
      <c r="M16" s="2">
        <f>+'s1'!AQ17</f>
        <v>0</v>
      </c>
      <c r="N16" s="2">
        <f>+'s1'!AR17</f>
        <v>0</v>
      </c>
      <c r="O16" s="2">
        <f>+'s1'!AS17</f>
        <v>0</v>
      </c>
      <c r="P16" s="2">
        <f>+'s1'!AT17</f>
        <v>0</v>
      </c>
      <c r="Q16" s="2">
        <f>+'s1'!AU17</f>
        <v>0</v>
      </c>
      <c r="R16" s="2">
        <f>+'s1'!AV17</f>
        <v>0</v>
      </c>
      <c r="S16" s="2">
        <f t="shared" si="0"/>
        <v>13.76</v>
      </c>
      <c r="T16" s="2"/>
    </row>
    <row r="17" spans="1:20" x14ac:dyDescent="0.2">
      <c r="A17" s="18" t="s">
        <v>609</v>
      </c>
      <c r="B17" s="2">
        <f>+'s1'!AF18</f>
        <v>0</v>
      </c>
      <c r="C17" s="2">
        <f>+'s1'!AG18</f>
        <v>0</v>
      </c>
      <c r="D17" s="2">
        <f>+'s1'!AH18</f>
        <v>0</v>
      </c>
      <c r="E17" s="2">
        <f>+'s1'!AI18</f>
        <v>0</v>
      </c>
      <c r="F17" s="2">
        <f>+'s1'!AJ18</f>
        <v>0</v>
      </c>
      <c r="G17" s="2">
        <f>+'s1'!AK18</f>
        <v>0</v>
      </c>
      <c r="H17" s="2">
        <f>+'s1'!AL18</f>
        <v>0</v>
      </c>
      <c r="I17" s="2">
        <f>+'s1'!AM18</f>
        <v>0</v>
      </c>
      <c r="J17" s="2">
        <f>+'s1'!AN18</f>
        <v>0</v>
      </c>
      <c r="K17" s="2">
        <f>+'s1'!AO18</f>
        <v>0</v>
      </c>
      <c r="L17" s="2">
        <f>+'s1'!AP18</f>
        <v>0</v>
      </c>
      <c r="M17" s="2">
        <f>+'s1'!AQ18</f>
        <v>0</v>
      </c>
      <c r="N17" s="2">
        <f>+'s1'!AR18</f>
        <v>0</v>
      </c>
      <c r="O17" s="2">
        <f>+'s1'!AS18</f>
        <v>0</v>
      </c>
      <c r="P17" s="2">
        <f>+'s1'!AT18</f>
        <v>0</v>
      </c>
      <c r="Q17" s="2">
        <f>+'s1'!AU18</f>
        <v>20.11</v>
      </c>
      <c r="R17" s="2">
        <f>+'s1'!AV18</f>
        <v>0</v>
      </c>
      <c r="S17" s="2">
        <f t="shared" si="0"/>
        <v>20.11</v>
      </c>
      <c r="T17" s="1"/>
    </row>
    <row r="18" spans="1:20" s="20" customFormat="1" x14ac:dyDescent="0.2">
      <c r="A18" s="1" t="s">
        <v>492</v>
      </c>
      <c r="B18" s="2">
        <f>+'s1'!AF19</f>
        <v>0</v>
      </c>
      <c r="C18" s="2">
        <f>+'s1'!AG19</f>
        <v>0</v>
      </c>
      <c r="D18" s="2">
        <f>+'s1'!AH19</f>
        <v>20972.73</v>
      </c>
      <c r="E18" s="2">
        <f>+'s1'!AI19</f>
        <v>0</v>
      </c>
      <c r="F18" s="2">
        <f>+'s1'!AJ19</f>
        <v>0</v>
      </c>
      <c r="G18" s="2">
        <f>+'s1'!AK19</f>
        <v>0</v>
      </c>
      <c r="H18" s="2">
        <f>+'s1'!AL19</f>
        <v>0</v>
      </c>
      <c r="I18" s="2">
        <f>+'s1'!AM19</f>
        <v>0</v>
      </c>
      <c r="J18" s="2">
        <f>+'s1'!AN19</f>
        <v>0</v>
      </c>
      <c r="K18" s="2">
        <f>+'s1'!AO19</f>
        <v>0</v>
      </c>
      <c r="L18" s="2">
        <f>+'s1'!AP19</f>
        <v>0</v>
      </c>
      <c r="M18" s="2">
        <f>+'s1'!AQ19</f>
        <v>0</v>
      </c>
      <c r="N18" s="2">
        <f>+'s1'!AR19</f>
        <v>0</v>
      </c>
      <c r="O18" s="2">
        <f>+'s1'!AS19</f>
        <v>0</v>
      </c>
      <c r="P18" s="2">
        <f>+'s1'!AT19</f>
        <v>0</v>
      </c>
      <c r="Q18" s="2">
        <f>+'s1'!AU19</f>
        <v>0</v>
      </c>
      <c r="R18" s="2">
        <f>+'s1'!AV19</f>
        <v>0</v>
      </c>
      <c r="S18" s="2">
        <f t="shared" si="0"/>
        <v>20972.73</v>
      </c>
      <c r="T18" s="78"/>
    </row>
    <row r="19" spans="1:20" x14ac:dyDescent="0.2">
      <c r="A19" s="7" t="s">
        <v>605</v>
      </c>
      <c r="B19" s="2">
        <f>+'s1'!AF20</f>
        <v>0</v>
      </c>
      <c r="C19" s="2">
        <f>+'s1'!AG20</f>
        <v>0</v>
      </c>
      <c r="D19" s="2">
        <f>+'s1'!AH20</f>
        <v>0</v>
      </c>
      <c r="E19" s="2">
        <f>+'s1'!AI20</f>
        <v>0</v>
      </c>
      <c r="F19" s="2">
        <f>+'s1'!AJ20</f>
        <v>0</v>
      </c>
      <c r="G19" s="2">
        <f>+'s1'!AK20</f>
        <v>0</v>
      </c>
      <c r="H19" s="2">
        <f>+'s1'!AL20</f>
        <v>0</v>
      </c>
      <c r="I19" s="2">
        <f>+'s1'!AM20</f>
        <v>0</v>
      </c>
      <c r="J19" s="2">
        <f>+'s1'!AN20</f>
        <v>1279.94</v>
      </c>
      <c r="K19" s="2">
        <f>+'s1'!AO20</f>
        <v>0</v>
      </c>
      <c r="L19" s="2">
        <f>+'s1'!AP20</f>
        <v>0</v>
      </c>
      <c r="M19" s="2">
        <f>+'s1'!AQ20</f>
        <v>0</v>
      </c>
      <c r="N19" s="2">
        <f>+'s1'!AR20</f>
        <v>0</v>
      </c>
      <c r="O19" s="2">
        <f>+'s1'!AS20</f>
        <v>0</v>
      </c>
      <c r="P19" s="2">
        <f>+'s1'!AT20</f>
        <v>0</v>
      </c>
      <c r="Q19" s="2">
        <f>+'s1'!AU20</f>
        <v>0</v>
      </c>
      <c r="R19" s="2">
        <f>+'s1'!AV20</f>
        <v>0</v>
      </c>
      <c r="S19" s="2">
        <f t="shared" si="0"/>
        <v>1279.94</v>
      </c>
      <c r="T19" s="2"/>
    </row>
    <row r="20" spans="1:20" x14ac:dyDescent="0.2">
      <c r="A20" s="1" t="s">
        <v>701</v>
      </c>
      <c r="B20" s="2">
        <f>+'s1'!AF21</f>
        <v>0</v>
      </c>
      <c r="C20" s="2">
        <f>+'s1'!AG21</f>
        <v>0</v>
      </c>
      <c r="D20" s="2">
        <f>+'s1'!AH21</f>
        <v>0</v>
      </c>
      <c r="E20" s="2">
        <f>+'s1'!AI21</f>
        <v>0</v>
      </c>
      <c r="F20" s="2">
        <f>+'s1'!AJ21</f>
        <v>0</v>
      </c>
      <c r="G20" s="2">
        <f>+'s1'!AK21</f>
        <v>0</v>
      </c>
      <c r="H20" s="2">
        <f>+'s1'!AL21</f>
        <v>0</v>
      </c>
      <c r="I20" s="2">
        <f>+'s1'!AM21</f>
        <v>4173.8</v>
      </c>
      <c r="J20" s="2">
        <f>+'s1'!AN21</f>
        <v>0</v>
      </c>
      <c r="K20" s="2">
        <f>+'s1'!AO21</f>
        <v>0</v>
      </c>
      <c r="L20" s="2">
        <f>+'s1'!AP21</f>
        <v>0</v>
      </c>
      <c r="M20" s="2">
        <f>+'s1'!AQ21</f>
        <v>0</v>
      </c>
      <c r="N20" s="2">
        <f>+'s1'!AR21</f>
        <v>0</v>
      </c>
      <c r="O20" s="2">
        <f>+'s1'!AS21</f>
        <v>0</v>
      </c>
      <c r="P20" s="2">
        <f>+'s1'!AT21</f>
        <v>0</v>
      </c>
      <c r="Q20" s="2">
        <f>+'s1'!AU21</f>
        <v>8364.18</v>
      </c>
      <c r="R20" s="2">
        <f>+'s1'!AV21</f>
        <v>0</v>
      </c>
      <c r="S20" s="2">
        <f>SUM(B20:R20)</f>
        <v>12537.98</v>
      </c>
      <c r="T20" s="1"/>
    </row>
    <row r="21" spans="1:20" x14ac:dyDescent="0.2">
      <c r="A21" s="1" t="s">
        <v>41</v>
      </c>
      <c r="B21" s="2">
        <f>+'s1'!AF22</f>
        <v>0</v>
      </c>
      <c r="C21" s="2">
        <f>+'s1'!AG22</f>
        <v>0</v>
      </c>
      <c r="D21" s="2">
        <f>+'s1'!AH22</f>
        <v>0</v>
      </c>
      <c r="E21" s="2">
        <f>+'s1'!AI22</f>
        <v>0</v>
      </c>
      <c r="F21" s="2">
        <f>+'s1'!AJ22</f>
        <v>0</v>
      </c>
      <c r="G21" s="2">
        <f>+'s1'!AK22</f>
        <v>0</v>
      </c>
      <c r="H21" s="2">
        <f>+'s1'!AL22</f>
        <v>0</v>
      </c>
      <c r="I21" s="2">
        <f>+'s1'!AM22</f>
        <v>0</v>
      </c>
      <c r="J21" s="2">
        <f>+'s1'!AN22</f>
        <v>362.59</v>
      </c>
      <c r="K21" s="2">
        <f>+'s1'!AO22</f>
        <v>0</v>
      </c>
      <c r="L21" s="2">
        <f>+'s1'!AP22</f>
        <v>0</v>
      </c>
      <c r="M21" s="2">
        <f>+'s1'!AQ22</f>
        <v>0</v>
      </c>
      <c r="N21" s="2">
        <f>+'s1'!AR22</f>
        <v>0</v>
      </c>
      <c r="O21" s="2">
        <f>+'s1'!AS22</f>
        <v>0</v>
      </c>
      <c r="P21" s="2">
        <f>+'s1'!AT22</f>
        <v>0</v>
      </c>
      <c r="Q21" s="2">
        <f>+'s1'!AU22</f>
        <v>0</v>
      </c>
      <c r="R21" s="2">
        <f>+'s1'!AV22</f>
        <v>0</v>
      </c>
      <c r="S21" s="2">
        <f t="shared" si="0"/>
        <v>362.59</v>
      </c>
      <c r="T21" s="1"/>
    </row>
    <row r="22" spans="1:20" x14ac:dyDescent="0.2">
      <c r="A22" s="1" t="s">
        <v>429</v>
      </c>
      <c r="B22" s="2">
        <f>+'s1'!AF23</f>
        <v>0</v>
      </c>
      <c r="C22" s="2">
        <f>+'s1'!AG23</f>
        <v>0</v>
      </c>
      <c r="D22" s="2">
        <f>+'s1'!AH23</f>
        <v>126471.57</v>
      </c>
      <c r="E22" s="2">
        <f>+'s1'!AI23</f>
        <v>0</v>
      </c>
      <c r="F22" s="2">
        <f>+'s1'!AJ23</f>
        <v>0</v>
      </c>
      <c r="G22" s="2">
        <f>+'s1'!AK23</f>
        <v>0</v>
      </c>
      <c r="H22" s="2">
        <f>+'s1'!AL23</f>
        <v>0</v>
      </c>
      <c r="I22" s="2">
        <f>+'s1'!AM23</f>
        <v>0</v>
      </c>
      <c r="J22" s="2">
        <f>+'s1'!AN23</f>
        <v>0</v>
      </c>
      <c r="K22" s="2">
        <f>+'s1'!AO23</f>
        <v>0</v>
      </c>
      <c r="L22" s="2">
        <f>+'s1'!AP23</f>
        <v>0</v>
      </c>
      <c r="M22" s="2">
        <f>+'s1'!AQ23</f>
        <v>0</v>
      </c>
      <c r="N22" s="2">
        <f>+'s1'!AR23</f>
        <v>0</v>
      </c>
      <c r="O22" s="2">
        <f>+'s1'!AS23</f>
        <v>0</v>
      </c>
      <c r="P22" s="2">
        <f>+'s1'!AT23</f>
        <v>0</v>
      </c>
      <c r="Q22" s="2">
        <f>+'s1'!AU23</f>
        <v>42626.8</v>
      </c>
      <c r="R22" s="2">
        <f>+'s1'!AV23</f>
        <v>0</v>
      </c>
      <c r="S22" s="2">
        <f t="shared" si="0"/>
        <v>169098.37</v>
      </c>
      <c r="T22" s="2"/>
    </row>
    <row r="23" spans="1:20" x14ac:dyDescent="0.2">
      <c r="A23" s="18" t="s">
        <v>740</v>
      </c>
      <c r="B23" s="2">
        <f>+'s1'!AF24</f>
        <v>0</v>
      </c>
      <c r="C23" s="2">
        <f>+'s1'!AG24</f>
        <v>0</v>
      </c>
      <c r="D23" s="2">
        <f>+'s1'!AH24</f>
        <v>0</v>
      </c>
      <c r="E23" s="2">
        <f>+'s1'!AI24</f>
        <v>0</v>
      </c>
      <c r="F23" s="2">
        <f>+'s1'!AJ24</f>
        <v>0</v>
      </c>
      <c r="G23" s="2">
        <f>+'s1'!AK24</f>
        <v>0</v>
      </c>
      <c r="H23" s="2">
        <f>+'s1'!AL24</f>
        <v>0</v>
      </c>
      <c r="I23" s="2">
        <f>+'s1'!AM24</f>
        <v>0</v>
      </c>
      <c r="J23" s="2">
        <f>+'s1'!AN24</f>
        <v>0</v>
      </c>
      <c r="K23" s="2">
        <f>+'s1'!AO24</f>
        <v>0</v>
      </c>
      <c r="L23" s="2">
        <f>+'s1'!AP24</f>
        <v>0</v>
      </c>
      <c r="M23" s="2">
        <f>+'s1'!AQ24</f>
        <v>0</v>
      </c>
      <c r="N23" s="2">
        <f>+'s1'!AR24</f>
        <v>0</v>
      </c>
      <c r="O23" s="2">
        <f>+'s1'!AS24</f>
        <v>0</v>
      </c>
      <c r="P23" s="2">
        <f>+'s1'!AT24</f>
        <v>0</v>
      </c>
      <c r="Q23" s="2">
        <f>+'s1'!AU24</f>
        <v>0</v>
      </c>
      <c r="R23" s="2">
        <f>+'s1'!AV24</f>
        <v>0</v>
      </c>
      <c r="S23" s="2">
        <f t="shared" si="0"/>
        <v>0</v>
      </c>
      <c r="T23" s="1"/>
    </row>
    <row r="24" spans="1:20" ht="12" customHeight="1" x14ac:dyDescent="0.2">
      <c r="A24" s="1" t="s">
        <v>702</v>
      </c>
      <c r="B24" s="2">
        <f>+'s1'!AF25</f>
        <v>1661.42</v>
      </c>
      <c r="C24" s="2">
        <f>+'s1'!AG25</f>
        <v>0</v>
      </c>
      <c r="D24" s="2">
        <f>+'s1'!AH25</f>
        <v>0</v>
      </c>
      <c r="E24" s="2">
        <f>+'s1'!AI25</f>
        <v>0</v>
      </c>
      <c r="F24" s="2">
        <f>+'s1'!AJ25</f>
        <v>0</v>
      </c>
      <c r="G24" s="2">
        <f>+'s1'!AK25</f>
        <v>0</v>
      </c>
      <c r="H24" s="2">
        <f>+'s1'!AL25</f>
        <v>0</v>
      </c>
      <c r="I24" s="2">
        <f>+'s1'!AM25</f>
        <v>0</v>
      </c>
      <c r="J24" s="2">
        <f>+'s1'!AN25</f>
        <v>0</v>
      </c>
      <c r="K24" s="2">
        <f>+'s1'!AO25</f>
        <v>0</v>
      </c>
      <c r="L24" s="2">
        <f>+'s1'!AP25</f>
        <v>0</v>
      </c>
      <c r="M24" s="2">
        <f>+'s1'!AQ25</f>
        <v>0</v>
      </c>
      <c r="N24" s="2">
        <f>+'s1'!AR25</f>
        <v>0</v>
      </c>
      <c r="O24" s="2">
        <f>+'s1'!AS25</f>
        <v>0</v>
      </c>
      <c r="P24" s="2">
        <f>+'s1'!AT25</f>
        <v>0</v>
      </c>
      <c r="Q24" s="2">
        <f>+'s1'!AU25</f>
        <v>0</v>
      </c>
      <c r="R24" s="2">
        <f>+'s1'!AV25</f>
        <v>0</v>
      </c>
      <c r="S24" s="2">
        <f>SUM(B24:R24)</f>
        <v>1661.42</v>
      </c>
      <c r="T24" s="2"/>
    </row>
    <row r="25" spans="1:20" ht="12" customHeight="1" x14ac:dyDescent="0.2">
      <c r="A25" s="1" t="s">
        <v>444</v>
      </c>
      <c r="B25" s="2">
        <f>+'s1'!AF26</f>
        <v>0</v>
      </c>
      <c r="C25" s="2">
        <f>+'s1'!AG26</f>
        <v>23738.59</v>
      </c>
      <c r="D25" s="2">
        <f>+'s1'!AH26</f>
        <v>0</v>
      </c>
      <c r="E25" s="2">
        <f>+'s1'!AI26</f>
        <v>1412.1</v>
      </c>
      <c r="F25" s="2">
        <f>+'s1'!AJ26</f>
        <v>0</v>
      </c>
      <c r="G25" s="2">
        <f>+'s1'!AK26</f>
        <v>0</v>
      </c>
      <c r="H25" s="2">
        <f>+'s1'!AL26</f>
        <v>0</v>
      </c>
      <c r="I25" s="2">
        <f>+'s1'!AM26</f>
        <v>0</v>
      </c>
      <c r="J25" s="2">
        <f>+'s1'!AN26</f>
        <v>0</v>
      </c>
      <c r="K25" s="2">
        <f>+'s1'!AO26</f>
        <v>0</v>
      </c>
      <c r="L25" s="2">
        <f>+'s1'!AP26</f>
        <v>0</v>
      </c>
      <c r="M25" s="2">
        <f>+'s1'!AQ26</f>
        <v>0</v>
      </c>
      <c r="N25" s="2">
        <f>+'s1'!AR26</f>
        <v>0</v>
      </c>
      <c r="O25" s="2">
        <f>+'s1'!AS26</f>
        <v>0</v>
      </c>
      <c r="P25" s="2">
        <f>+'s1'!AT26</f>
        <v>0</v>
      </c>
      <c r="Q25" s="2">
        <f>+'s1'!AU26</f>
        <v>0</v>
      </c>
      <c r="R25" s="2">
        <f>+'s1'!AV26</f>
        <v>0</v>
      </c>
      <c r="S25" s="2">
        <f>SUM(B25:R25)</f>
        <v>25150.69</v>
      </c>
      <c r="T25" s="2"/>
    </row>
    <row r="26" spans="1:20" x14ac:dyDescent="0.2">
      <c r="A26" s="1" t="s">
        <v>445</v>
      </c>
      <c r="B26" s="2">
        <f>+'s1'!AF27</f>
        <v>47954.96</v>
      </c>
      <c r="C26" s="2">
        <f>+'s1'!AG27</f>
        <v>9711</v>
      </c>
      <c r="D26" s="2">
        <f>+'s1'!AH27</f>
        <v>561.13</v>
      </c>
      <c r="E26" s="2">
        <f>+'s1'!AI27</f>
        <v>23374.720000000001</v>
      </c>
      <c r="F26" s="2">
        <f>+'s1'!AJ27</f>
        <v>12469.4</v>
      </c>
      <c r="G26" s="2">
        <f>+'s1'!AK27</f>
        <v>0</v>
      </c>
      <c r="H26" s="2">
        <f>+'s1'!AL27</f>
        <v>1581.37</v>
      </c>
      <c r="I26" s="2">
        <f>+'s1'!AM27</f>
        <v>19063.72</v>
      </c>
      <c r="J26" s="2">
        <f>+'s1'!AN27</f>
        <v>14440.1</v>
      </c>
      <c r="K26" s="2">
        <f>+'s1'!AO27</f>
        <v>0</v>
      </c>
      <c r="L26" s="2">
        <f>+'s1'!AP27</f>
        <v>26707.75</v>
      </c>
      <c r="M26" s="2">
        <f>+'s1'!AQ27</f>
        <v>3882.48</v>
      </c>
      <c r="N26" s="2">
        <f>+'s1'!AR27</f>
        <v>545.51</v>
      </c>
      <c r="O26" s="2">
        <f>+'s1'!AS27</f>
        <v>9925.15</v>
      </c>
      <c r="P26" s="2">
        <f>+'s1'!AT27</f>
        <v>0</v>
      </c>
      <c r="Q26" s="2">
        <f>+'s1'!AU27</f>
        <v>477569.84</v>
      </c>
      <c r="R26" s="2">
        <f>+'s1'!AV27</f>
        <v>4545.5600000000004</v>
      </c>
      <c r="S26" s="2">
        <f t="shared" si="0"/>
        <v>652332.68999999994</v>
      </c>
      <c r="T26" s="2"/>
    </row>
    <row r="27" spans="1:20" s="20" customFormat="1" ht="13.5" customHeight="1" x14ac:dyDescent="0.2">
      <c r="A27" s="1" t="s">
        <v>362</v>
      </c>
      <c r="B27" s="2">
        <f>+'s1'!AF28</f>
        <v>0</v>
      </c>
      <c r="C27" s="2">
        <f>+'s1'!AG28</f>
        <v>0</v>
      </c>
      <c r="D27" s="2">
        <f>+'s1'!AH28</f>
        <v>0</v>
      </c>
      <c r="E27" s="2">
        <f>+'s1'!AI28</f>
        <v>0</v>
      </c>
      <c r="F27" s="2">
        <f>+'s1'!AJ28</f>
        <v>0</v>
      </c>
      <c r="G27" s="2">
        <f>+'s1'!AK28</f>
        <v>0</v>
      </c>
      <c r="H27" s="2">
        <f>+'s1'!AL28</f>
        <v>0</v>
      </c>
      <c r="I27" s="2">
        <f>+'s1'!AM28</f>
        <v>0</v>
      </c>
      <c r="J27" s="2">
        <f>+'s1'!AN28</f>
        <v>0</v>
      </c>
      <c r="K27" s="2">
        <f>+'s1'!AO28</f>
        <v>0</v>
      </c>
      <c r="L27" s="2">
        <f>+'s1'!AP28</f>
        <v>12939.56</v>
      </c>
      <c r="M27" s="2">
        <f>+'s1'!AQ28</f>
        <v>0</v>
      </c>
      <c r="N27" s="2">
        <f>+'s1'!AR28</f>
        <v>0</v>
      </c>
      <c r="O27" s="2">
        <f>+'s1'!AS28</f>
        <v>0</v>
      </c>
      <c r="P27" s="2">
        <f>+'s1'!AT28</f>
        <v>0</v>
      </c>
      <c r="Q27" s="2">
        <f>+'s1'!AU28</f>
        <v>0</v>
      </c>
      <c r="R27" s="2">
        <f>+'s1'!AV28</f>
        <v>0</v>
      </c>
      <c r="S27" s="2">
        <f t="shared" si="0"/>
        <v>12939.56</v>
      </c>
      <c r="T27" s="78"/>
    </row>
    <row r="28" spans="1:20" x14ac:dyDescent="0.2">
      <c r="A28" s="1" t="s">
        <v>446</v>
      </c>
      <c r="B28" s="2">
        <f>+'s1'!AF29</f>
        <v>108660.28</v>
      </c>
      <c r="C28" s="2">
        <f>+'s1'!AG29</f>
        <v>0</v>
      </c>
      <c r="D28" s="2">
        <f>+'s1'!AH29</f>
        <v>858463.3</v>
      </c>
      <c r="E28" s="2">
        <f>+'s1'!AI29</f>
        <v>30433.63</v>
      </c>
      <c r="F28" s="2">
        <f>+'s1'!AJ29</f>
        <v>0</v>
      </c>
      <c r="G28" s="2">
        <f>+'s1'!AK29</f>
        <v>0</v>
      </c>
      <c r="H28" s="2">
        <f>+'s1'!AL29</f>
        <v>0</v>
      </c>
      <c r="I28" s="2">
        <f>+'s1'!AM29</f>
        <v>0</v>
      </c>
      <c r="J28" s="2">
        <f>+'s1'!AN29</f>
        <v>0</v>
      </c>
      <c r="K28" s="2">
        <f>+'s1'!AO29</f>
        <v>0</v>
      </c>
      <c r="L28" s="2">
        <f>+'s1'!AP29</f>
        <v>0</v>
      </c>
      <c r="M28" s="2">
        <f>+'s1'!AQ29</f>
        <v>0</v>
      </c>
      <c r="N28" s="2">
        <f>+'s1'!AR29</f>
        <v>0</v>
      </c>
      <c r="O28" s="2">
        <f>+'s1'!AS29</f>
        <v>0</v>
      </c>
      <c r="P28" s="2">
        <f>+'s1'!AT29</f>
        <v>0</v>
      </c>
      <c r="Q28" s="2">
        <f>+'s1'!AU29</f>
        <v>233716.24</v>
      </c>
      <c r="R28" s="2">
        <f>+'s1'!AV29</f>
        <v>0</v>
      </c>
      <c r="S28" s="2">
        <f t="shared" si="0"/>
        <v>1231273.45</v>
      </c>
      <c r="T28" s="2"/>
    </row>
    <row r="29" spans="1:20" ht="13.5" customHeight="1" x14ac:dyDescent="0.2">
      <c r="A29" s="1" t="s">
        <v>347</v>
      </c>
      <c r="B29" s="2">
        <f>+'s1'!AF30</f>
        <v>0</v>
      </c>
      <c r="C29" s="2">
        <f>+'s1'!AG30</f>
        <v>0</v>
      </c>
      <c r="D29" s="2">
        <f>+'s1'!AH30</f>
        <v>34416.870000000003</v>
      </c>
      <c r="E29" s="2">
        <f>+'s1'!AI30</f>
        <v>0</v>
      </c>
      <c r="F29" s="2">
        <f>+'s1'!AJ30</f>
        <v>0</v>
      </c>
      <c r="G29" s="2">
        <f>+'s1'!AK30</f>
        <v>0</v>
      </c>
      <c r="H29" s="2">
        <f>+'s1'!AL30</f>
        <v>0</v>
      </c>
      <c r="I29" s="2">
        <f>+'s1'!AM30</f>
        <v>0</v>
      </c>
      <c r="J29" s="2">
        <f>+'s1'!AN30</f>
        <v>0</v>
      </c>
      <c r="K29" s="2">
        <f>+'s1'!AO30</f>
        <v>0</v>
      </c>
      <c r="L29" s="2">
        <f>+'s1'!AP30</f>
        <v>444.7</v>
      </c>
      <c r="M29" s="2">
        <f>+'s1'!AQ30</f>
        <v>0</v>
      </c>
      <c r="N29" s="2">
        <f>+'s1'!AR30</f>
        <v>0</v>
      </c>
      <c r="O29" s="2">
        <f>+'s1'!AS30</f>
        <v>0</v>
      </c>
      <c r="P29" s="2">
        <f>+'s1'!AT30</f>
        <v>0</v>
      </c>
      <c r="Q29" s="2">
        <f>+'s1'!AU30</f>
        <v>0</v>
      </c>
      <c r="R29" s="2">
        <f>+'s1'!AV30</f>
        <v>0</v>
      </c>
      <c r="S29" s="2">
        <f t="shared" si="0"/>
        <v>34861.57</v>
      </c>
      <c r="T29" s="2"/>
    </row>
    <row r="30" spans="1:20" x14ac:dyDescent="0.2">
      <c r="A30" s="18" t="s">
        <v>493</v>
      </c>
      <c r="B30" s="2">
        <f>+'s1'!AF31</f>
        <v>0</v>
      </c>
      <c r="C30" s="2">
        <f>+'s1'!AG31</f>
        <v>0</v>
      </c>
      <c r="D30" s="2">
        <f>+'s1'!AH31</f>
        <v>0</v>
      </c>
      <c r="E30" s="2">
        <f>+'s1'!AI31</f>
        <v>0</v>
      </c>
      <c r="F30" s="2">
        <f>+'s1'!AJ31</f>
        <v>1767.65</v>
      </c>
      <c r="G30" s="2">
        <f>+'s1'!AK31</f>
        <v>0</v>
      </c>
      <c r="H30" s="2">
        <f>+'s1'!AL31</f>
        <v>0</v>
      </c>
      <c r="I30" s="2">
        <f>+'s1'!AM31</f>
        <v>0</v>
      </c>
      <c r="J30" s="2">
        <f>+'s1'!AN31</f>
        <v>0</v>
      </c>
      <c r="K30" s="2">
        <f>+'s1'!AO31</f>
        <v>0</v>
      </c>
      <c r="L30" s="2">
        <f>+'s1'!AP31</f>
        <v>0</v>
      </c>
      <c r="M30" s="2">
        <f>+'s1'!AQ31</f>
        <v>0</v>
      </c>
      <c r="N30" s="2">
        <f>+'s1'!AR31</f>
        <v>0</v>
      </c>
      <c r="O30" s="2">
        <f>+'s1'!AS31</f>
        <v>0</v>
      </c>
      <c r="P30" s="2">
        <f>+'s1'!AT31</f>
        <v>0</v>
      </c>
      <c r="Q30" s="2">
        <f>+'s1'!AU31</f>
        <v>0</v>
      </c>
      <c r="R30" s="2">
        <f>+'s1'!AV31</f>
        <v>0</v>
      </c>
      <c r="S30" s="2">
        <f t="shared" si="0"/>
        <v>1767.65</v>
      </c>
      <c r="T30" s="2"/>
    </row>
    <row r="31" spans="1:20" x14ac:dyDescent="0.2">
      <c r="A31" s="1" t="s">
        <v>293</v>
      </c>
      <c r="B31" s="2">
        <f>+'s1'!AF32</f>
        <v>0</v>
      </c>
      <c r="C31" s="2">
        <f>+'s1'!AG32</f>
        <v>0</v>
      </c>
      <c r="D31" s="2">
        <f>+'s1'!AH32</f>
        <v>10973.67</v>
      </c>
      <c r="E31" s="2">
        <f>+'s1'!AI32</f>
        <v>0</v>
      </c>
      <c r="F31" s="2">
        <f>+'s1'!AJ32</f>
        <v>0</v>
      </c>
      <c r="G31" s="2">
        <f>+'s1'!AK32</f>
        <v>0</v>
      </c>
      <c r="H31" s="2">
        <f>+'s1'!AL32</f>
        <v>0</v>
      </c>
      <c r="I31" s="2">
        <f>+'s1'!AM32</f>
        <v>0</v>
      </c>
      <c r="J31" s="2">
        <f>+'s1'!AN32</f>
        <v>0</v>
      </c>
      <c r="K31" s="2">
        <f>+'s1'!AO32</f>
        <v>0</v>
      </c>
      <c r="L31" s="2">
        <f>+'s1'!AP32</f>
        <v>0</v>
      </c>
      <c r="M31" s="2">
        <f>+'s1'!AQ32</f>
        <v>0</v>
      </c>
      <c r="N31" s="2">
        <f>+'s1'!AR32</f>
        <v>0</v>
      </c>
      <c r="O31" s="2">
        <f>+'s1'!AS32</f>
        <v>0</v>
      </c>
      <c r="P31" s="2">
        <f>+'s1'!AT32</f>
        <v>0</v>
      </c>
      <c r="Q31" s="2">
        <f>+'s1'!AU32</f>
        <v>0</v>
      </c>
      <c r="R31" s="2">
        <f>+'s1'!AV32</f>
        <v>0</v>
      </c>
      <c r="S31" s="2">
        <f t="shared" si="0"/>
        <v>10973.67</v>
      </c>
      <c r="T31" s="2"/>
    </row>
    <row r="32" spans="1:20" x14ac:dyDescent="0.2">
      <c r="A32" s="18" t="s">
        <v>636</v>
      </c>
      <c r="B32" s="2">
        <f>+'s1'!AF33</f>
        <v>0</v>
      </c>
      <c r="C32" s="2">
        <f>+'s1'!AG33</f>
        <v>0</v>
      </c>
      <c r="D32" s="2">
        <f>+'s1'!AH33</f>
        <v>0</v>
      </c>
      <c r="E32" s="2">
        <f>+'s1'!AI33</f>
        <v>0</v>
      </c>
      <c r="F32" s="2">
        <f>+'s1'!AJ33</f>
        <v>31.09</v>
      </c>
      <c r="G32" s="2">
        <f>+'s1'!AK33</f>
        <v>0</v>
      </c>
      <c r="H32" s="2">
        <f>+'s1'!AL33</f>
        <v>0</v>
      </c>
      <c r="I32" s="2">
        <f>+'s1'!AM33</f>
        <v>0</v>
      </c>
      <c r="J32" s="2">
        <f>+'s1'!AN33</f>
        <v>0</v>
      </c>
      <c r="K32" s="2">
        <f>+'s1'!AO33</f>
        <v>0</v>
      </c>
      <c r="L32" s="2">
        <f>+'s1'!AP33</f>
        <v>0</v>
      </c>
      <c r="M32" s="2">
        <f>+'s1'!AQ33</f>
        <v>0</v>
      </c>
      <c r="N32" s="2">
        <f>+'s1'!AR33</f>
        <v>0</v>
      </c>
      <c r="O32" s="2">
        <f>+'s1'!AS33</f>
        <v>0</v>
      </c>
      <c r="P32" s="2">
        <f>+'s1'!AT33</f>
        <v>0</v>
      </c>
      <c r="Q32" s="2">
        <f>+'s1'!AU33</f>
        <v>0</v>
      </c>
      <c r="R32" s="2">
        <f>+'s1'!AV33</f>
        <v>0</v>
      </c>
      <c r="S32" s="2">
        <f t="shared" si="0"/>
        <v>31.09</v>
      </c>
      <c r="T32" s="1"/>
    </row>
    <row r="33" spans="1:20" x14ac:dyDescent="0.2">
      <c r="A33" s="1" t="s">
        <v>42</v>
      </c>
      <c r="B33" s="2">
        <f>+'s1'!AF34</f>
        <v>15164.14</v>
      </c>
      <c r="C33" s="2">
        <f>+'s1'!AG34</f>
        <v>0</v>
      </c>
      <c r="D33" s="2">
        <f>+'s1'!AH34</f>
        <v>0</v>
      </c>
      <c r="E33" s="2">
        <f>+'s1'!AI34</f>
        <v>4711.96</v>
      </c>
      <c r="F33" s="2">
        <f>+'s1'!AJ34</f>
        <v>0</v>
      </c>
      <c r="G33" s="2">
        <f>+'s1'!AK34</f>
        <v>0</v>
      </c>
      <c r="H33" s="2">
        <f>+'s1'!AL34</f>
        <v>0</v>
      </c>
      <c r="I33" s="2">
        <f>+'s1'!AM34</f>
        <v>1129.49</v>
      </c>
      <c r="J33" s="2">
        <f>+'s1'!AN34</f>
        <v>1579.49</v>
      </c>
      <c r="K33" s="2">
        <f>+'s1'!AO34</f>
        <v>0</v>
      </c>
      <c r="L33" s="2">
        <f>+'s1'!AP34</f>
        <v>10499.86</v>
      </c>
      <c r="M33" s="2">
        <f>+'s1'!AQ34</f>
        <v>0</v>
      </c>
      <c r="N33" s="2">
        <f>+'s1'!AR34</f>
        <v>0</v>
      </c>
      <c r="O33" s="2">
        <f>+'s1'!AS34</f>
        <v>0</v>
      </c>
      <c r="P33" s="2">
        <f>+'s1'!AT34</f>
        <v>874.32</v>
      </c>
      <c r="Q33" s="2">
        <f>+'s1'!AU34</f>
        <v>4289.08</v>
      </c>
      <c r="R33" s="2">
        <f>+'s1'!AV34</f>
        <v>0</v>
      </c>
      <c r="S33" s="2">
        <f t="shared" si="0"/>
        <v>38248.339999999997</v>
      </c>
      <c r="T33" s="1"/>
    </row>
    <row r="34" spans="1:20" x14ac:dyDescent="0.2">
      <c r="A34" s="1" t="s">
        <v>447</v>
      </c>
      <c r="B34" s="2">
        <f>+'s1'!AF35</f>
        <v>0</v>
      </c>
      <c r="C34" s="2">
        <f>+'s1'!AG35</f>
        <v>0</v>
      </c>
      <c r="D34" s="2">
        <f>+'s1'!AH35</f>
        <v>0</v>
      </c>
      <c r="E34" s="2">
        <f>+'s1'!AI35</f>
        <v>0</v>
      </c>
      <c r="F34" s="2">
        <f>+'s1'!AJ35</f>
        <v>6314.3</v>
      </c>
      <c r="G34" s="2">
        <f>+'s1'!AK35</f>
        <v>0</v>
      </c>
      <c r="H34" s="2">
        <f>+'s1'!AL35</f>
        <v>0</v>
      </c>
      <c r="I34" s="2">
        <f>+'s1'!AM35</f>
        <v>27409.74</v>
      </c>
      <c r="J34" s="2">
        <f>+'s1'!AN35</f>
        <v>0</v>
      </c>
      <c r="K34" s="2">
        <f>+'s1'!AO35</f>
        <v>0</v>
      </c>
      <c r="L34" s="2">
        <f>+'s1'!AP35</f>
        <v>0</v>
      </c>
      <c r="M34" s="2">
        <f>+'s1'!AQ35</f>
        <v>0</v>
      </c>
      <c r="N34" s="2">
        <f>+'s1'!AR35</f>
        <v>0</v>
      </c>
      <c r="O34" s="2">
        <f>+'s1'!AS35</f>
        <v>0</v>
      </c>
      <c r="P34" s="2">
        <f>+'s1'!AT35</f>
        <v>0</v>
      </c>
      <c r="Q34" s="2">
        <f>+'s1'!AU35</f>
        <v>0</v>
      </c>
      <c r="R34" s="2">
        <f>+'s1'!AV35</f>
        <v>0</v>
      </c>
      <c r="S34" s="2">
        <f>SUM(B34:R34)</f>
        <v>33724.04</v>
      </c>
      <c r="T34" s="2"/>
    </row>
    <row r="35" spans="1:20" x14ac:dyDescent="0.2">
      <c r="A35" s="1" t="s">
        <v>564</v>
      </c>
      <c r="B35" s="2">
        <f>+'s1'!AF36</f>
        <v>0</v>
      </c>
      <c r="C35" s="2">
        <f>+'s1'!AG36</f>
        <v>0</v>
      </c>
      <c r="D35" s="2">
        <f>+'s1'!AH36</f>
        <v>5146.21</v>
      </c>
      <c r="E35" s="2">
        <f>+'s1'!AI36</f>
        <v>0</v>
      </c>
      <c r="F35" s="2">
        <f>+'s1'!AJ36</f>
        <v>0</v>
      </c>
      <c r="G35" s="2">
        <f>+'s1'!AK36</f>
        <v>0</v>
      </c>
      <c r="H35" s="2">
        <f>+'s1'!AL36</f>
        <v>0</v>
      </c>
      <c r="I35" s="2">
        <f>+'s1'!AM36</f>
        <v>0</v>
      </c>
      <c r="J35" s="2">
        <f>+'s1'!AN36</f>
        <v>0</v>
      </c>
      <c r="K35" s="2">
        <f>+'s1'!AO36</f>
        <v>0</v>
      </c>
      <c r="L35" s="2">
        <f>+'s1'!AP36</f>
        <v>0</v>
      </c>
      <c r="M35" s="2">
        <f>+'s1'!AQ36</f>
        <v>0</v>
      </c>
      <c r="N35" s="2">
        <f>+'s1'!AR36</f>
        <v>0</v>
      </c>
      <c r="O35" s="2">
        <f>+'s1'!AS36</f>
        <v>0</v>
      </c>
      <c r="P35" s="2">
        <f>+'s1'!AT36</f>
        <v>0</v>
      </c>
      <c r="Q35" s="2">
        <f>+'s1'!AU36</f>
        <v>0</v>
      </c>
      <c r="R35" s="2">
        <f>+'s1'!AV36</f>
        <v>0</v>
      </c>
      <c r="S35" s="2">
        <f t="shared" si="0"/>
        <v>5146.21</v>
      </c>
      <c r="T35" s="2"/>
    </row>
    <row r="36" spans="1:20" x14ac:dyDescent="0.2">
      <c r="A36" s="1" t="s">
        <v>43</v>
      </c>
      <c r="B36" s="2">
        <f>+'s1'!AF37</f>
        <v>0</v>
      </c>
      <c r="C36" s="2">
        <f>+'s1'!AG37</f>
        <v>0</v>
      </c>
      <c r="D36" s="2">
        <f>+'s1'!AH37</f>
        <v>1231354.47</v>
      </c>
      <c r="E36" s="2">
        <f>+'s1'!AI37</f>
        <v>0</v>
      </c>
      <c r="F36" s="2">
        <f>+'s1'!AJ37</f>
        <v>0</v>
      </c>
      <c r="G36" s="2">
        <f>+'s1'!AK37</f>
        <v>0</v>
      </c>
      <c r="H36" s="2">
        <f>+'s1'!AL37</f>
        <v>0</v>
      </c>
      <c r="I36" s="2">
        <f>+'s1'!AM37</f>
        <v>0</v>
      </c>
      <c r="J36" s="2">
        <f>+'s1'!AN37</f>
        <v>0</v>
      </c>
      <c r="K36" s="2">
        <f>+'s1'!AO37</f>
        <v>0</v>
      </c>
      <c r="L36" s="2">
        <f>+'s1'!AP37</f>
        <v>0</v>
      </c>
      <c r="M36" s="2">
        <f>+'s1'!AQ37</f>
        <v>0</v>
      </c>
      <c r="N36" s="2">
        <f>+'s1'!AR37</f>
        <v>9262.06</v>
      </c>
      <c r="O36" s="2">
        <f>+'s1'!AS37</f>
        <v>0</v>
      </c>
      <c r="P36" s="2">
        <f>+'s1'!AT37</f>
        <v>0</v>
      </c>
      <c r="Q36" s="2">
        <f>+'s1'!AU37</f>
        <v>3064.16</v>
      </c>
      <c r="R36" s="2">
        <f>+'s1'!AV37</f>
        <v>0</v>
      </c>
      <c r="S36" s="2">
        <f t="shared" si="0"/>
        <v>1243680.69</v>
      </c>
      <c r="T36" s="2"/>
    </row>
    <row r="37" spans="1:20" x14ac:dyDescent="0.2">
      <c r="A37" s="1" t="s">
        <v>44</v>
      </c>
      <c r="B37" s="2">
        <f>+'s1'!AF38</f>
        <v>0</v>
      </c>
      <c r="C37" s="2">
        <f>+'s1'!AG38</f>
        <v>0</v>
      </c>
      <c r="D37" s="2">
        <f>+'s1'!AH38</f>
        <v>0</v>
      </c>
      <c r="E37" s="2">
        <f>+'s1'!AI38</f>
        <v>0</v>
      </c>
      <c r="F37" s="2">
        <f>+'s1'!AJ38</f>
        <v>0</v>
      </c>
      <c r="G37" s="2">
        <f>+'s1'!AK38</f>
        <v>0</v>
      </c>
      <c r="H37" s="2">
        <f>+'s1'!AL38</f>
        <v>206.19</v>
      </c>
      <c r="I37" s="2">
        <f>+'s1'!AM38</f>
        <v>0</v>
      </c>
      <c r="J37" s="2">
        <f>+'s1'!AN38</f>
        <v>0</v>
      </c>
      <c r="K37" s="2">
        <f>+'s1'!AO38</f>
        <v>0</v>
      </c>
      <c r="L37" s="2">
        <f>+'s1'!AP38</f>
        <v>0</v>
      </c>
      <c r="M37" s="2">
        <f>+'s1'!AQ38</f>
        <v>0</v>
      </c>
      <c r="N37" s="2">
        <f>+'s1'!AR38</f>
        <v>29.52</v>
      </c>
      <c r="O37" s="2">
        <f>+'s1'!AS38</f>
        <v>0</v>
      </c>
      <c r="P37" s="2">
        <f>+'s1'!AT38</f>
        <v>0</v>
      </c>
      <c r="Q37" s="2">
        <f>+'s1'!AU38</f>
        <v>0</v>
      </c>
      <c r="R37" s="2">
        <f>+'s1'!AV38</f>
        <v>2622.89</v>
      </c>
      <c r="S37" s="2">
        <f t="shared" si="0"/>
        <v>2858.6</v>
      </c>
      <c r="T37" s="2"/>
    </row>
    <row r="38" spans="1:20" x14ac:dyDescent="0.2">
      <c r="A38" s="18" t="s">
        <v>45</v>
      </c>
      <c r="B38" s="2">
        <f>+'s1'!AF39</f>
        <v>0</v>
      </c>
      <c r="C38" s="2">
        <f>+'s1'!AG39</f>
        <v>0</v>
      </c>
      <c r="D38" s="2">
        <f>+'s1'!AH39</f>
        <v>138033</v>
      </c>
      <c r="E38" s="2">
        <f>+'s1'!AI39</f>
        <v>0</v>
      </c>
      <c r="F38" s="2">
        <f>+'s1'!AJ39</f>
        <v>0</v>
      </c>
      <c r="G38" s="2">
        <f>+'s1'!AK39</f>
        <v>0</v>
      </c>
      <c r="H38" s="2">
        <f>+'s1'!AL39</f>
        <v>0</v>
      </c>
      <c r="I38" s="2">
        <f>+'s1'!AM39</f>
        <v>0</v>
      </c>
      <c r="J38" s="2">
        <f>+'s1'!AN39</f>
        <v>0</v>
      </c>
      <c r="K38" s="2">
        <f>+'s1'!AO39</f>
        <v>0</v>
      </c>
      <c r="L38" s="2">
        <f>+'s1'!AP39</f>
        <v>0</v>
      </c>
      <c r="M38" s="2">
        <f>+'s1'!AQ39</f>
        <v>0</v>
      </c>
      <c r="N38" s="2">
        <f>+'s1'!AR39</f>
        <v>0</v>
      </c>
      <c r="O38" s="2">
        <f>+'s1'!AS39</f>
        <v>0</v>
      </c>
      <c r="P38" s="2">
        <f>+'s1'!AT39</f>
        <v>0</v>
      </c>
      <c r="Q38" s="2">
        <f>+'s1'!AU39</f>
        <v>0</v>
      </c>
      <c r="R38" s="2">
        <f>+'s1'!AV39</f>
        <v>0</v>
      </c>
      <c r="S38" s="2">
        <f t="shared" si="0"/>
        <v>138033</v>
      </c>
      <c r="T38" s="2"/>
    </row>
    <row r="39" spans="1:20" x14ac:dyDescent="0.2">
      <c r="A39" s="18" t="s">
        <v>612</v>
      </c>
      <c r="B39" s="2">
        <f>+'s1'!AF40</f>
        <v>0</v>
      </c>
      <c r="C39" s="2">
        <f>+'s1'!AG40</f>
        <v>0</v>
      </c>
      <c r="D39" s="2">
        <f>+'s1'!AH40</f>
        <v>33.340000000000003</v>
      </c>
      <c r="E39" s="2">
        <f>+'s1'!AI40</f>
        <v>0</v>
      </c>
      <c r="F39" s="2">
        <f>+'s1'!AJ40</f>
        <v>0</v>
      </c>
      <c r="G39" s="2">
        <f>+'s1'!AK40</f>
        <v>0</v>
      </c>
      <c r="H39" s="2">
        <f>+'s1'!AL40</f>
        <v>0</v>
      </c>
      <c r="I39" s="2">
        <f>+'s1'!AM40</f>
        <v>0</v>
      </c>
      <c r="J39" s="2">
        <f>+'s1'!AN40</f>
        <v>0</v>
      </c>
      <c r="K39" s="2">
        <f>+'s1'!AO40</f>
        <v>0</v>
      </c>
      <c r="L39" s="2">
        <f>+'s1'!AP40</f>
        <v>0</v>
      </c>
      <c r="M39" s="2">
        <f>+'s1'!AQ40</f>
        <v>0</v>
      </c>
      <c r="N39" s="2">
        <f>+'s1'!AR40</f>
        <v>0</v>
      </c>
      <c r="O39" s="2">
        <f>+'s1'!AS40</f>
        <v>0</v>
      </c>
      <c r="P39" s="2">
        <f>+'s1'!AT40</f>
        <v>0</v>
      </c>
      <c r="Q39" s="2">
        <f>+'s1'!AU40</f>
        <v>42.51</v>
      </c>
      <c r="R39" s="2">
        <f>+'s1'!AV40</f>
        <v>0</v>
      </c>
      <c r="S39" s="2">
        <f t="shared" si="0"/>
        <v>75.849999999999994</v>
      </c>
      <c r="T39" s="1"/>
    </row>
    <row r="40" spans="1:20" x14ac:dyDescent="0.2">
      <c r="A40" s="18" t="s">
        <v>606</v>
      </c>
      <c r="B40" s="2">
        <f>+'s1'!AF41</f>
        <v>0</v>
      </c>
      <c r="C40" s="2">
        <f>+'s1'!AG41</f>
        <v>0</v>
      </c>
      <c r="D40" s="2">
        <f>+'s1'!AH41</f>
        <v>2501.35</v>
      </c>
      <c r="E40" s="2">
        <f>+'s1'!AI41</f>
        <v>0</v>
      </c>
      <c r="F40" s="2">
        <f>+'s1'!AJ41</f>
        <v>0</v>
      </c>
      <c r="G40" s="2">
        <f>+'s1'!AK41</f>
        <v>0</v>
      </c>
      <c r="H40" s="2">
        <f>+'s1'!AL41</f>
        <v>0</v>
      </c>
      <c r="I40" s="2">
        <f>+'s1'!AM41</f>
        <v>0</v>
      </c>
      <c r="J40" s="2">
        <f>+'s1'!AN41</f>
        <v>0</v>
      </c>
      <c r="K40" s="2">
        <f>+'s1'!AO41</f>
        <v>0</v>
      </c>
      <c r="L40" s="2">
        <f>+'s1'!AP41</f>
        <v>0</v>
      </c>
      <c r="M40" s="2">
        <f>+'s1'!AQ41</f>
        <v>0</v>
      </c>
      <c r="N40" s="2">
        <f>+'s1'!AR41</f>
        <v>0</v>
      </c>
      <c r="O40" s="2">
        <f>+'s1'!AS41</f>
        <v>0</v>
      </c>
      <c r="P40" s="2">
        <f>+'s1'!AT41</f>
        <v>0</v>
      </c>
      <c r="Q40" s="2">
        <f>+'s1'!AU41</f>
        <v>23211.24</v>
      </c>
      <c r="R40" s="2">
        <f>+'s1'!AV41</f>
        <v>0</v>
      </c>
      <c r="S40" s="2">
        <f t="shared" si="0"/>
        <v>25712.59</v>
      </c>
      <c r="T40" s="2"/>
    </row>
    <row r="41" spans="1:20" x14ac:dyDescent="0.2">
      <c r="A41" s="18" t="s">
        <v>762</v>
      </c>
      <c r="B41" s="2">
        <f>+'s1'!AF42</f>
        <v>0</v>
      </c>
      <c r="C41" s="2">
        <f>+'s1'!AG42</f>
        <v>0</v>
      </c>
      <c r="D41" s="2">
        <f>+'s1'!AH42</f>
        <v>0</v>
      </c>
      <c r="E41" s="2">
        <f>+'s1'!AI42</f>
        <v>0</v>
      </c>
      <c r="F41" s="2">
        <f>+'s1'!AJ42</f>
        <v>0</v>
      </c>
      <c r="G41" s="2">
        <f>+'s1'!AK42</f>
        <v>0</v>
      </c>
      <c r="H41" s="2">
        <f>+'s1'!AL42</f>
        <v>0</v>
      </c>
      <c r="I41" s="2">
        <f>+'s1'!AM42</f>
        <v>0</v>
      </c>
      <c r="J41" s="2">
        <f>+'s1'!AN42</f>
        <v>0</v>
      </c>
      <c r="K41" s="2">
        <f>+'s1'!AO42</f>
        <v>0</v>
      </c>
      <c r="L41" s="2">
        <f>+'s1'!AP42</f>
        <v>0</v>
      </c>
      <c r="M41" s="2">
        <f>+'s1'!AQ42</f>
        <v>0</v>
      </c>
      <c r="N41" s="2">
        <f>+'s1'!AR42</f>
        <v>0</v>
      </c>
      <c r="O41" s="2">
        <f>+'s1'!AS42</f>
        <v>0</v>
      </c>
      <c r="P41" s="2">
        <f>+'s1'!AT42</f>
        <v>0</v>
      </c>
      <c r="Q41" s="2">
        <f>+'s1'!AU42</f>
        <v>0</v>
      </c>
      <c r="R41" s="2">
        <f>+'s1'!AV42</f>
        <v>0</v>
      </c>
      <c r="S41" s="2">
        <f t="shared" si="0"/>
        <v>0</v>
      </c>
      <c r="T41" s="1"/>
    </row>
    <row r="42" spans="1:20" x14ac:dyDescent="0.2">
      <c r="A42" s="1" t="s">
        <v>46</v>
      </c>
      <c r="B42" s="2">
        <f>+'s1'!AF43</f>
        <v>0</v>
      </c>
      <c r="C42" s="2">
        <f>+'s1'!AG43</f>
        <v>0</v>
      </c>
      <c r="D42" s="2">
        <f>+'s1'!AH43</f>
        <v>0</v>
      </c>
      <c r="E42" s="2">
        <f>+'s1'!AI43</f>
        <v>0</v>
      </c>
      <c r="F42" s="2">
        <f>+'s1'!AJ43</f>
        <v>5830.73</v>
      </c>
      <c r="G42" s="2">
        <f>+'s1'!AK43</f>
        <v>0</v>
      </c>
      <c r="H42" s="2">
        <f>+'s1'!AL43</f>
        <v>0</v>
      </c>
      <c r="I42" s="2">
        <f>+'s1'!AM43</f>
        <v>0</v>
      </c>
      <c r="J42" s="2">
        <f>+'s1'!AN43</f>
        <v>0</v>
      </c>
      <c r="K42" s="2">
        <f>+'s1'!AO43</f>
        <v>0</v>
      </c>
      <c r="L42" s="2">
        <f>+'s1'!AP43</f>
        <v>0</v>
      </c>
      <c r="M42" s="2">
        <f>+'s1'!AQ43</f>
        <v>0</v>
      </c>
      <c r="N42" s="2">
        <f>+'s1'!AR43</f>
        <v>0</v>
      </c>
      <c r="O42" s="2">
        <f>+'s1'!AS43</f>
        <v>0</v>
      </c>
      <c r="P42" s="2">
        <f>+'s1'!AT43</f>
        <v>0</v>
      </c>
      <c r="Q42" s="2">
        <f>+'s1'!AU43</f>
        <v>0</v>
      </c>
      <c r="R42" s="2">
        <f>+'s1'!AV43</f>
        <v>0</v>
      </c>
      <c r="S42" s="2">
        <f t="shared" si="0"/>
        <v>5830.73</v>
      </c>
      <c r="T42" s="1"/>
    </row>
    <row r="43" spans="1:20" x14ac:dyDescent="0.2">
      <c r="A43" s="1" t="s">
        <v>448</v>
      </c>
      <c r="B43" s="2">
        <f>+'s1'!AF44</f>
        <v>0</v>
      </c>
      <c r="C43" s="2">
        <f>+'s1'!AG44</f>
        <v>0</v>
      </c>
      <c r="D43" s="2">
        <f>+'s1'!AH44</f>
        <v>347.68</v>
      </c>
      <c r="E43" s="2">
        <f>+'s1'!AI44</f>
        <v>0</v>
      </c>
      <c r="F43" s="2">
        <f>+'s1'!AJ44</f>
        <v>0</v>
      </c>
      <c r="G43" s="2">
        <f>+'s1'!AK44</f>
        <v>0</v>
      </c>
      <c r="H43" s="2">
        <f>+'s1'!AL44</f>
        <v>0</v>
      </c>
      <c r="I43" s="2">
        <f>+'s1'!AM44</f>
        <v>0</v>
      </c>
      <c r="J43" s="2">
        <f>+'s1'!AN44</f>
        <v>0</v>
      </c>
      <c r="K43" s="2">
        <f>+'s1'!AO44</f>
        <v>0</v>
      </c>
      <c r="L43" s="2">
        <f>+'s1'!AP44</f>
        <v>0</v>
      </c>
      <c r="M43" s="2">
        <f>+'s1'!AQ44</f>
        <v>0</v>
      </c>
      <c r="N43" s="2">
        <f>+'s1'!AR44</f>
        <v>0</v>
      </c>
      <c r="O43" s="2">
        <f>+'s1'!AS44</f>
        <v>0</v>
      </c>
      <c r="P43" s="2">
        <f>+'s1'!AT44</f>
        <v>0</v>
      </c>
      <c r="Q43" s="2">
        <f>+'s1'!AU44</f>
        <v>0</v>
      </c>
      <c r="R43" s="2">
        <f>+'s1'!AV44</f>
        <v>0</v>
      </c>
      <c r="S43" s="2">
        <f t="shared" si="0"/>
        <v>347.68</v>
      </c>
      <c r="T43" s="2"/>
    </row>
    <row r="44" spans="1:20" x14ac:dyDescent="0.2">
      <c r="A44" s="1" t="s">
        <v>430</v>
      </c>
      <c r="B44" s="2">
        <f>+'s1'!AF45</f>
        <v>0</v>
      </c>
      <c r="C44" s="2">
        <f>+'s1'!AG45</f>
        <v>0</v>
      </c>
      <c r="D44" s="2">
        <f>+'s1'!AH45</f>
        <v>204360.99</v>
      </c>
      <c r="E44" s="2">
        <f>+'s1'!AI45</f>
        <v>0</v>
      </c>
      <c r="F44" s="2">
        <f>+'s1'!AJ45</f>
        <v>0</v>
      </c>
      <c r="G44" s="2">
        <f>+'s1'!AK45</f>
        <v>0</v>
      </c>
      <c r="H44" s="2">
        <f>+'s1'!AL45</f>
        <v>0</v>
      </c>
      <c r="I44" s="2">
        <f>+'s1'!AM45</f>
        <v>0</v>
      </c>
      <c r="J44" s="2">
        <f>+'s1'!AN45</f>
        <v>0</v>
      </c>
      <c r="K44" s="2">
        <f>+'s1'!AO45</f>
        <v>0</v>
      </c>
      <c r="L44" s="2">
        <f>+'s1'!AP45</f>
        <v>0</v>
      </c>
      <c r="M44" s="2">
        <f>+'s1'!AQ45</f>
        <v>0</v>
      </c>
      <c r="N44" s="2">
        <f>+'s1'!AR45</f>
        <v>4994.08</v>
      </c>
      <c r="O44" s="2">
        <f>+'s1'!AS45</f>
        <v>0</v>
      </c>
      <c r="P44" s="2">
        <f>+'s1'!AT45</f>
        <v>0</v>
      </c>
      <c r="Q44" s="2">
        <f>+'s1'!AU45</f>
        <v>0</v>
      </c>
      <c r="R44" s="2">
        <f>+'s1'!AV45</f>
        <v>0</v>
      </c>
      <c r="S44" s="2">
        <f>SUM(B44:R44)</f>
        <v>209355.07</v>
      </c>
      <c r="T44" s="2"/>
    </row>
    <row r="45" spans="1:20" x14ac:dyDescent="0.2">
      <c r="A45" s="1" t="s">
        <v>449</v>
      </c>
      <c r="B45" s="2">
        <f>+'s1'!AF46</f>
        <v>0</v>
      </c>
      <c r="C45" s="2">
        <f>+'s1'!AG46</f>
        <v>0</v>
      </c>
      <c r="D45" s="2">
        <f>+'s1'!AH46</f>
        <v>9132.0499999999993</v>
      </c>
      <c r="E45" s="2">
        <f>+'s1'!AI46</f>
        <v>0</v>
      </c>
      <c r="F45" s="2">
        <f>+'s1'!AJ46</f>
        <v>2739.57</v>
      </c>
      <c r="G45" s="2">
        <f>+'s1'!AK46</f>
        <v>0</v>
      </c>
      <c r="H45" s="2">
        <f>+'s1'!AL46</f>
        <v>0</v>
      </c>
      <c r="I45" s="2">
        <f>+'s1'!AM46</f>
        <v>0</v>
      </c>
      <c r="J45" s="2">
        <f>+'s1'!AN46</f>
        <v>0</v>
      </c>
      <c r="K45" s="2">
        <f>+'s1'!AO46</f>
        <v>0</v>
      </c>
      <c r="L45" s="2">
        <f>+'s1'!AP46</f>
        <v>0</v>
      </c>
      <c r="M45" s="2">
        <f>+'s1'!AQ46</f>
        <v>0</v>
      </c>
      <c r="N45" s="2">
        <f>+'s1'!AR46</f>
        <v>0</v>
      </c>
      <c r="O45" s="2">
        <f>+'s1'!AS46</f>
        <v>0</v>
      </c>
      <c r="P45" s="2">
        <f>+'s1'!AT46</f>
        <v>0</v>
      </c>
      <c r="Q45" s="2">
        <f>+'s1'!AU46</f>
        <v>0</v>
      </c>
      <c r="R45" s="2">
        <f>+'s1'!AV46</f>
        <v>0</v>
      </c>
      <c r="S45" s="2">
        <f t="shared" si="0"/>
        <v>11871.62</v>
      </c>
      <c r="T45" s="2"/>
    </row>
    <row r="46" spans="1:20" x14ac:dyDescent="0.2">
      <c r="A46" s="1" t="s">
        <v>721</v>
      </c>
      <c r="B46" s="2">
        <f>+'s1'!AF47</f>
        <v>0</v>
      </c>
      <c r="C46" s="2">
        <f>+'s1'!AG47</f>
        <v>0</v>
      </c>
      <c r="D46" s="2">
        <f>+'s1'!AH47</f>
        <v>0</v>
      </c>
      <c r="E46" s="2">
        <f>+'s1'!AI47</f>
        <v>0</v>
      </c>
      <c r="F46" s="2">
        <f>+'s1'!AJ47</f>
        <v>103.68</v>
      </c>
      <c r="G46" s="2">
        <f>+'s1'!AK47</f>
        <v>0</v>
      </c>
      <c r="H46" s="2">
        <f>+'s1'!AL47</f>
        <v>0</v>
      </c>
      <c r="I46" s="2">
        <f>+'s1'!AM47</f>
        <v>0</v>
      </c>
      <c r="J46" s="2">
        <f>+'s1'!AN47</f>
        <v>0</v>
      </c>
      <c r="K46" s="2">
        <f>+'s1'!AO47</f>
        <v>0</v>
      </c>
      <c r="L46" s="2">
        <f>+'s1'!AP47</f>
        <v>0</v>
      </c>
      <c r="M46" s="2">
        <f>+'s1'!AQ47</f>
        <v>0</v>
      </c>
      <c r="N46" s="2">
        <f>+'s1'!AR47</f>
        <v>0</v>
      </c>
      <c r="O46" s="2">
        <f>+'s1'!AS47</f>
        <v>0</v>
      </c>
      <c r="P46" s="2">
        <f>+'s1'!AT47</f>
        <v>0</v>
      </c>
      <c r="Q46" s="2">
        <f>+'s1'!AU47</f>
        <v>0</v>
      </c>
      <c r="R46" s="2">
        <f>+'s1'!AV47</f>
        <v>0</v>
      </c>
      <c r="S46" s="2">
        <f>SUM(B46:R46)</f>
        <v>103.68</v>
      </c>
      <c r="T46" s="2"/>
    </row>
    <row r="47" spans="1:20" x14ac:dyDescent="0.2">
      <c r="A47" s="1" t="s">
        <v>455</v>
      </c>
      <c r="B47" s="2">
        <f>+'s1'!AF48</f>
        <v>0</v>
      </c>
      <c r="C47" s="2">
        <f>+'s1'!AG48</f>
        <v>0</v>
      </c>
      <c r="D47" s="2">
        <f>+'s1'!AH48</f>
        <v>0</v>
      </c>
      <c r="E47" s="2">
        <f>+'s1'!AI48</f>
        <v>0</v>
      </c>
      <c r="F47" s="2">
        <f>+'s1'!AJ48</f>
        <v>0</v>
      </c>
      <c r="G47" s="2">
        <f>+'s1'!AK48</f>
        <v>0</v>
      </c>
      <c r="H47" s="2">
        <f>+'s1'!AL48</f>
        <v>0</v>
      </c>
      <c r="I47" s="2">
        <f>+'s1'!AM48</f>
        <v>84.23</v>
      </c>
      <c r="J47" s="2">
        <f>+'s1'!AN48</f>
        <v>0</v>
      </c>
      <c r="K47" s="2">
        <f>+'s1'!AO48</f>
        <v>0</v>
      </c>
      <c r="L47" s="2">
        <f>+'s1'!AP48</f>
        <v>0</v>
      </c>
      <c r="M47" s="2">
        <f>+'s1'!AQ48</f>
        <v>0</v>
      </c>
      <c r="N47" s="2">
        <f>+'s1'!AR48</f>
        <v>0</v>
      </c>
      <c r="O47" s="2">
        <f>+'s1'!AS48</f>
        <v>0</v>
      </c>
      <c r="P47" s="2">
        <f>+'s1'!AT48</f>
        <v>0</v>
      </c>
      <c r="Q47" s="2">
        <f>+'s1'!AU48</f>
        <v>41.54</v>
      </c>
      <c r="R47" s="2">
        <f>+'s1'!AV48</f>
        <v>0</v>
      </c>
      <c r="S47" s="2">
        <f t="shared" si="0"/>
        <v>125.77</v>
      </c>
      <c r="T47" s="2"/>
    </row>
    <row r="48" spans="1:20" x14ac:dyDescent="0.2">
      <c r="A48" s="18" t="s">
        <v>499</v>
      </c>
      <c r="B48" s="2">
        <f>+'s1'!AF49</f>
        <v>0</v>
      </c>
      <c r="C48" s="2">
        <f>+'s1'!AG49</f>
        <v>5893.88</v>
      </c>
      <c r="D48" s="2">
        <f>+'s1'!AH49</f>
        <v>308906.56</v>
      </c>
      <c r="E48" s="2">
        <f>+'s1'!AI49</f>
        <v>0</v>
      </c>
      <c r="F48" s="2">
        <f>+'s1'!AJ49</f>
        <v>0</v>
      </c>
      <c r="G48" s="2">
        <f>+'s1'!AK49</f>
        <v>0</v>
      </c>
      <c r="H48" s="2">
        <f>+'s1'!AL49</f>
        <v>0</v>
      </c>
      <c r="I48" s="2">
        <f>+'s1'!AM49</f>
        <v>0</v>
      </c>
      <c r="J48" s="2">
        <f>+'s1'!AN49</f>
        <v>0</v>
      </c>
      <c r="K48" s="2">
        <f>+'s1'!AO49</f>
        <v>0</v>
      </c>
      <c r="L48" s="2">
        <f>+'s1'!AP49</f>
        <v>0</v>
      </c>
      <c r="M48" s="2">
        <f>+'s1'!AQ49</f>
        <v>0</v>
      </c>
      <c r="N48" s="2">
        <f>+'s1'!AR49</f>
        <v>0</v>
      </c>
      <c r="O48" s="2">
        <f>+'s1'!AS49</f>
        <v>0</v>
      </c>
      <c r="P48" s="2">
        <f>+'s1'!AT49</f>
        <v>0</v>
      </c>
      <c r="Q48" s="2">
        <f>+'s1'!AU49</f>
        <v>13716.51</v>
      </c>
      <c r="R48" s="2">
        <f>+'s1'!AV49</f>
        <v>0</v>
      </c>
      <c r="S48" s="2">
        <f t="shared" si="0"/>
        <v>328516.95</v>
      </c>
      <c r="T48" s="1"/>
    </row>
    <row r="49" spans="1:20" x14ac:dyDescent="0.2">
      <c r="A49" s="18" t="s">
        <v>137</v>
      </c>
      <c r="B49" s="2">
        <f>+'s1'!AF50</f>
        <v>0</v>
      </c>
      <c r="C49" s="2">
        <f>+'s1'!AG50</f>
        <v>0</v>
      </c>
      <c r="D49" s="2">
        <f>+'s1'!AH50</f>
        <v>0</v>
      </c>
      <c r="E49" s="2">
        <f>+'s1'!AI50</f>
        <v>0</v>
      </c>
      <c r="F49" s="2">
        <f>+'s1'!AJ50</f>
        <v>0</v>
      </c>
      <c r="G49" s="2">
        <f>+'s1'!AK50</f>
        <v>0</v>
      </c>
      <c r="H49" s="2">
        <f>+'s1'!AL50</f>
        <v>0</v>
      </c>
      <c r="I49" s="2">
        <f>+'s1'!AM50</f>
        <v>0</v>
      </c>
      <c r="J49" s="2">
        <f>+'s1'!AN50</f>
        <v>0</v>
      </c>
      <c r="K49" s="2">
        <f>+'s1'!AO50</f>
        <v>0</v>
      </c>
      <c r="L49" s="2">
        <f>+'s1'!AP50</f>
        <v>0</v>
      </c>
      <c r="M49" s="2">
        <f>+'s1'!AQ50</f>
        <v>0</v>
      </c>
      <c r="N49" s="2">
        <f>+'s1'!AR50</f>
        <v>6249.93</v>
      </c>
      <c r="O49" s="2">
        <f>+'s1'!AS50</f>
        <v>0</v>
      </c>
      <c r="P49" s="2">
        <f>+'s1'!AT50</f>
        <v>0</v>
      </c>
      <c r="Q49" s="2">
        <f>+'s1'!AU50</f>
        <v>0</v>
      </c>
      <c r="R49" s="2">
        <f>+'s1'!AV50</f>
        <v>0</v>
      </c>
      <c r="S49" s="2">
        <f t="shared" si="0"/>
        <v>6249.93</v>
      </c>
      <c r="T49" s="1"/>
    </row>
    <row r="50" spans="1:20" s="20" customFormat="1" x14ac:dyDescent="0.2">
      <c r="A50" s="1" t="s">
        <v>431</v>
      </c>
      <c r="B50" s="2">
        <f>+'s1'!AF51</f>
        <v>0</v>
      </c>
      <c r="C50" s="2">
        <f>+'s1'!AG51</f>
        <v>0</v>
      </c>
      <c r="D50" s="2">
        <f>+'s1'!AH51</f>
        <v>197491.53</v>
      </c>
      <c r="E50" s="2">
        <f>+'s1'!AI51</f>
        <v>0</v>
      </c>
      <c r="F50" s="2">
        <f>+'s1'!AJ51</f>
        <v>0</v>
      </c>
      <c r="G50" s="2">
        <f>+'s1'!AK51</f>
        <v>0</v>
      </c>
      <c r="H50" s="2">
        <f>+'s1'!AL51</f>
        <v>0</v>
      </c>
      <c r="I50" s="2">
        <f>+'s1'!AM51</f>
        <v>0</v>
      </c>
      <c r="J50" s="2">
        <f>+'s1'!AN51</f>
        <v>0</v>
      </c>
      <c r="K50" s="2">
        <f>+'s1'!AO51</f>
        <v>0</v>
      </c>
      <c r="L50" s="2">
        <f>+'s1'!AP51</f>
        <v>0</v>
      </c>
      <c r="M50" s="2">
        <f>+'s1'!AQ51</f>
        <v>0</v>
      </c>
      <c r="N50" s="2">
        <f>+'s1'!AR51</f>
        <v>3561.08</v>
      </c>
      <c r="O50" s="2">
        <f>+'s1'!AS51</f>
        <v>0</v>
      </c>
      <c r="P50" s="2">
        <f>+'s1'!AT51</f>
        <v>0</v>
      </c>
      <c r="Q50" s="2">
        <f>+'s1'!AU51</f>
        <v>0</v>
      </c>
      <c r="R50" s="2">
        <f>+'s1'!AV51</f>
        <v>0</v>
      </c>
      <c r="S50" s="2">
        <f t="shared" si="0"/>
        <v>201052.61</v>
      </c>
      <c r="T50" s="78"/>
    </row>
    <row r="51" spans="1:20" x14ac:dyDescent="0.2">
      <c r="A51" s="18" t="s">
        <v>502</v>
      </c>
      <c r="B51" s="2">
        <f>+'s1'!AF52</f>
        <v>0</v>
      </c>
      <c r="C51" s="2">
        <f>+'s1'!AG52</f>
        <v>0</v>
      </c>
      <c r="D51" s="2">
        <f>+'s1'!AH52</f>
        <v>0</v>
      </c>
      <c r="E51" s="2">
        <f>+'s1'!AI52</f>
        <v>0</v>
      </c>
      <c r="F51" s="2">
        <f>+'s1'!AJ52</f>
        <v>0</v>
      </c>
      <c r="G51" s="2">
        <f>+'s1'!AK52</f>
        <v>0</v>
      </c>
      <c r="H51" s="2">
        <f>+'s1'!AL52</f>
        <v>0</v>
      </c>
      <c r="I51" s="2">
        <f>+'s1'!AM52</f>
        <v>0</v>
      </c>
      <c r="J51" s="2">
        <f>+'s1'!AN52</f>
        <v>0</v>
      </c>
      <c r="K51" s="2">
        <f>+'s1'!AO52</f>
        <v>0</v>
      </c>
      <c r="L51" s="2">
        <f>+'s1'!AP52</f>
        <v>0</v>
      </c>
      <c r="M51" s="2">
        <f>+'s1'!AQ52</f>
        <v>0</v>
      </c>
      <c r="N51" s="2">
        <f>+'s1'!AR52</f>
        <v>5616.42</v>
      </c>
      <c r="O51" s="2">
        <f>+'s1'!AS52</f>
        <v>0</v>
      </c>
      <c r="P51" s="2">
        <f>+'s1'!AT52</f>
        <v>0</v>
      </c>
      <c r="Q51" s="2">
        <f>+'s1'!AU52</f>
        <v>0</v>
      </c>
      <c r="R51" s="2">
        <f>+'s1'!AV52</f>
        <v>0</v>
      </c>
      <c r="S51" s="2">
        <f t="shared" si="0"/>
        <v>5616.42</v>
      </c>
      <c r="T51" s="2"/>
    </row>
    <row r="52" spans="1:20" s="20" customFormat="1" x14ac:dyDescent="0.2">
      <c r="A52" s="18" t="s">
        <v>607</v>
      </c>
      <c r="B52" s="2">
        <f>+'s1'!AF53</f>
        <v>0</v>
      </c>
      <c r="C52" s="2">
        <f>+'s1'!AG53</f>
        <v>0</v>
      </c>
      <c r="D52" s="2">
        <f>+'s1'!AH53</f>
        <v>62548.71</v>
      </c>
      <c r="E52" s="2">
        <f>+'s1'!AI53</f>
        <v>351.74</v>
      </c>
      <c r="F52" s="2">
        <f>+'s1'!AJ53</f>
        <v>4493.22</v>
      </c>
      <c r="G52" s="2">
        <f>+'s1'!AK53</f>
        <v>0</v>
      </c>
      <c r="H52" s="2">
        <f>+'s1'!AL53</f>
        <v>0</v>
      </c>
      <c r="I52" s="2">
        <f>+'s1'!AM53</f>
        <v>0</v>
      </c>
      <c r="J52" s="2">
        <f>+'s1'!AN53</f>
        <v>0</v>
      </c>
      <c r="K52" s="2">
        <f>+'s1'!AO53</f>
        <v>0</v>
      </c>
      <c r="L52" s="2">
        <f>+'s1'!AP53</f>
        <v>2913.6</v>
      </c>
      <c r="M52" s="2">
        <f>+'s1'!AQ53</f>
        <v>0</v>
      </c>
      <c r="N52" s="2">
        <f>+'s1'!AR53</f>
        <v>0</v>
      </c>
      <c r="O52" s="2">
        <f>+'s1'!AS53</f>
        <v>0</v>
      </c>
      <c r="P52" s="2">
        <f>+'s1'!AT53</f>
        <v>0</v>
      </c>
      <c r="Q52" s="2">
        <f>+'s1'!AU53</f>
        <v>0</v>
      </c>
      <c r="R52" s="2">
        <f>+'s1'!AV53</f>
        <v>0</v>
      </c>
      <c r="S52" s="2">
        <f t="shared" si="0"/>
        <v>70307.27</v>
      </c>
      <c r="T52" s="78"/>
    </row>
    <row r="53" spans="1:20" x14ac:dyDescent="0.2">
      <c r="A53" s="7" t="s">
        <v>346</v>
      </c>
      <c r="B53" s="2">
        <f>+'s1'!AF54</f>
        <v>0</v>
      </c>
      <c r="C53" s="2">
        <f>+'s1'!AG54</f>
        <v>0</v>
      </c>
      <c r="D53" s="2">
        <f>+'s1'!AH54</f>
        <v>0</v>
      </c>
      <c r="E53" s="2">
        <f>+'s1'!AI54</f>
        <v>0</v>
      </c>
      <c r="F53" s="2">
        <f>+'s1'!AJ54</f>
        <v>0</v>
      </c>
      <c r="G53" s="2">
        <f>+'s1'!AK54</f>
        <v>330.02</v>
      </c>
      <c r="H53" s="2">
        <f>+'s1'!AL54</f>
        <v>0</v>
      </c>
      <c r="I53" s="2">
        <f>+'s1'!AM54</f>
        <v>356.77</v>
      </c>
      <c r="J53" s="2">
        <f>+'s1'!AN54</f>
        <v>0</v>
      </c>
      <c r="K53" s="2">
        <f>+'s1'!AO54</f>
        <v>0</v>
      </c>
      <c r="L53" s="2">
        <f>+'s1'!AP54</f>
        <v>0</v>
      </c>
      <c r="M53" s="2">
        <f>+'s1'!AQ54</f>
        <v>1836.24</v>
      </c>
      <c r="N53" s="2">
        <f>+'s1'!AR54</f>
        <v>4398.4799999999996</v>
      </c>
      <c r="O53" s="2">
        <f>+'s1'!AS54</f>
        <v>0</v>
      </c>
      <c r="P53" s="2">
        <f>+'s1'!AT54</f>
        <v>0</v>
      </c>
      <c r="Q53" s="2">
        <f>+'s1'!AU54</f>
        <v>0</v>
      </c>
      <c r="R53" s="2">
        <f>+'s1'!AV54</f>
        <v>4218.17</v>
      </c>
      <c r="S53" s="2">
        <f t="shared" si="0"/>
        <v>11139.68</v>
      </c>
      <c r="T53" s="2"/>
    </row>
    <row r="54" spans="1:20" s="20" customFormat="1" x14ac:dyDescent="0.2">
      <c r="A54" s="245" t="s">
        <v>456</v>
      </c>
      <c r="B54" s="2">
        <f>+'s1'!AF55</f>
        <v>0</v>
      </c>
      <c r="C54" s="2">
        <f>+'s1'!AG55</f>
        <v>0</v>
      </c>
      <c r="D54" s="2">
        <f>+'s1'!AH55</f>
        <v>74840.350000000006</v>
      </c>
      <c r="E54" s="2">
        <f>+'s1'!AI55</f>
        <v>0</v>
      </c>
      <c r="F54" s="2">
        <f>+'s1'!AJ55</f>
        <v>0</v>
      </c>
      <c r="G54" s="2">
        <f>+'s1'!AK55</f>
        <v>0</v>
      </c>
      <c r="H54" s="2">
        <f>+'s1'!AL55</f>
        <v>0</v>
      </c>
      <c r="I54" s="2">
        <f>+'s1'!AM55</f>
        <v>0</v>
      </c>
      <c r="J54" s="2">
        <f>+'s1'!AN55</f>
        <v>0</v>
      </c>
      <c r="K54" s="2">
        <f>+'s1'!AO55</f>
        <v>0</v>
      </c>
      <c r="L54" s="2">
        <f>+'s1'!AP55</f>
        <v>0</v>
      </c>
      <c r="M54" s="2">
        <f>+'s1'!AQ55</f>
        <v>0</v>
      </c>
      <c r="N54" s="2">
        <f>+'s1'!AR55</f>
        <v>38.69</v>
      </c>
      <c r="O54" s="2">
        <f>+'s1'!AS55</f>
        <v>0</v>
      </c>
      <c r="P54" s="2">
        <f>+'s1'!AT55</f>
        <v>0</v>
      </c>
      <c r="Q54" s="2">
        <f>+'s1'!AU55</f>
        <v>0</v>
      </c>
      <c r="R54" s="2">
        <f>+'s1'!AV55</f>
        <v>0</v>
      </c>
      <c r="S54" s="2">
        <f t="shared" si="0"/>
        <v>74879.039999999994</v>
      </c>
      <c r="T54" s="78"/>
    </row>
    <row r="55" spans="1:20" x14ac:dyDescent="0.2">
      <c r="A55" s="7" t="s">
        <v>432</v>
      </c>
      <c r="B55" s="2">
        <f>+'s1'!AF56</f>
        <v>0</v>
      </c>
      <c r="C55" s="2">
        <f>+'s1'!AG56</f>
        <v>0</v>
      </c>
      <c r="D55" s="2">
        <f>+'s1'!AH56</f>
        <v>0</v>
      </c>
      <c r="E55" s="2">
        <f>+'s1'!AI56</f>
        <v>0</v>
      </c>
      <c r="F55" s="2">
        <f>+'s1'!AJ56</f>
        <v>0</v>
      </c>
      <c r="G55" s="2">
        <f>+'s1'!AK56</f>
        <v>0</v>
      </c>
      <c r="H55" s="2">
        <f>+'s1'!AL56</f>
        <v>0</v>
      </c>
      <c r="I55" s="2">
        <f>+'s1'!AM56</f>
        <v>2028.78</v>
      </c>
      <c r="J55" s="2">
        <f>+'s1'!AN56</f>
        <v>0</v>
      </c>
      <c r="K55" s="2">
        <f>+'s1'!AO56</f>
        <v>0</v>
      </c>
      <c r="L55" s="2">
        <f>+'s1'!AP56</f>
        <v>0</v>
      </c>
      <c r="M55" s="2">
        <f>+'s1'!AQ56</f>
        <v>0</v>
      </c>
      <c r="N55" s="2">
        <f>+'s1'!AR56</f>
        <v>0</v>
      </c>
      <c r="O55" s="2">
        <f>+'s1'!AS56</f>
        <v>0</v>
      </c>
      <c r="P55" s="2">
        <f>+'s1'!AT56</f>
        <v>0</v>
      </c>
      <c r="Q55" s="2">
        <f>+'s1'!AU56</f>
        <v>0</v>
      </c>
      <c r="R55" s="2">
        <f>+'s1'!AV56</f>
        <v>0</v>
      </c>
      <c r="S55" s="2">
        <f t="shared" si="0"/>
        <v>2028.78</v>
      </c>
      <c r="T55" s="2"/>
    </row>
    <row r="56" spans="1:20" s="20" customFormat="1" x14ac:dyDescent="0.2">
      <c r="A56" s="1" t="s">
        <v>47</v>
      </c>
      <c r="B56" s="2">
        <f>+'s1'!AF57</f>
        <v>0</v>
      </c>
      <c r="C56" s="2">
        <f>+'s1'!AG57</f>
        <v>0</v>
      </c>
      <c r="D56" s="2">
        <f>+'s1'!AH57</f>
        <v>0</v>
      </c>
      <c r="E56" s="2">
        <f>+'s1'!AI57</f>
        <v>0</v>
      </c>
      <c r="F56" s="2">
        <f>+'s1'!AJ57</f>
        <v>3275.79</v>
      </c>
      <c r="G56" s="2">
        <f>+'s1'!AK57</f>
        <v>0</v>
      </c>
      <c r="H56" s="2">
        <f>+'s1'!AL57</f>
        <v>0</v>
      </c>
      <c r="I56" s="2">
        <f>+'s1'!AM57</f>
        <v>958.91</v>
      </c>
      <c r="J56" s="2">
        <f>+'s1'!AN57</f>
        <v>0</v>
      </c>
      <c r="K56" s="2">
        <f>+'s1'!AO57</f>
        <v>0</v>
      </c>
      <c r="L56" s="2">
        <f>+'s1'!AP57</f>
        <v>0</v>
      </c>
      <c r="M56" s="2">
        <f>+'s1'!AQ57</f>
        <v>0</v>
      </c>
      <c r="N56" s="2">
        <f>+'s1'!AR57</f>
        <v>0</v>
      </c>
      <c r="O56" s="2">
        <f>+'s1'!AS57</f>
        <v>0</v>
      </c>
      <c r="P56" s="2">
        <f>+'s1'!AT57</f>
        <v>0</v>
      </c>
      <c r="Q56" s="2">
        <f>+'s1'!AU57</f>
        <v>0</v>
      </c>
      <c r="R56" s="2">
        <f>+'s1'!AV57</f>
        <v>0</v>
      </c>
      <c r="S56" s="2">
        <f t="shared" si="0"/>
        <v>4234.7</v>
      </c>
      <c r="T56" s="78"/>
    </row>
    <row r="57" spans="1:20" s="20" customFormat="1" x14ac:dyDescent="0.2">
      <c r="A57" s="18" t="s">
        <v>48</v>
      </c>
      <c r="B57" s="2">
        <f>+'s1'!AF58</f>
        <v>0</v>
      </c>
      <c r="C57" s="2">
        <f>+'s1'!AG58</f>
        <v>0</v>
      </c>
      <c r="D57" s="2">
        <f>+'s1'!AH58</f>
        <v>66564.36</v>
      </c>
      <c r="E57" s="2">
        <f>+'s1'!AI58</f>
        <v>0</v>
      </c>
      <c r="F57" s="2">
        <f>+'s1'!AJ58</f>
        <v>1556.24</v>
      </c>
      <c r="G57" s="2">
        <f>+'s1'!AK58</f>
        <v>0</v>
      </c>
      <c r="H57" s="2">
        <f>+'s1'!AL58</f>
        <v>285.18</v>
      </c>
      <c r="I57" s="2">
        <f>+'s1'!AM58</f>
        <v>482.01</v>
      </c>
      <c r="J57" s="2">
        <f>+'s1'!AN58</f>
        <v>3099.52</v>
      </c>
      <c r="K57" s="2">
        <f>+'s1'!AO58</f>
        <v>374.2</v>
      </c>
      <c r="L57" s="2">
        <f>+'s1'!AP58</f>
        <v>322.37</v>
      </c>
      <c r="M57" s="2">
        <f>+'s1'!AQ58</f>
        <v>3603.5</v>
      </c>
      <c r="N57" s="2">
        <f>+'s1'!AR58</f>
        <v>0</v>
      </c>
      <c r="O57" s="2">
        <f>+'s1'!AS58</f>
        <v>0</v>
      </c>
      <c r="P57" s="2">
        <f>+'s1'!AT58</f>
        <v>0</v>
      </c>
      <c r="Q57" s="2">
        <f>+'s1'!AU58</f>
        <v>0</v>
      </c>
      <c r="R57" s="2">
        <f>+'s1'!AV58</f>
        <v>1458.92</v>
      </c>
      <c r="S57" s="2">
        <f t="shared" si="0"/>
        <v>77746.3</v>
      </c>
      <c r="T57" s="78"/>
    </row>
    <row r="58" spans="1:20" s="20" customFormat="1" x14ac:dyDescent="0.2">
      <c r="A58" s="1" t="s">
        <v>49</v>
      </c>
      <c r="B58" s="2">
        <f>+'s1'!AF59</f>
        <v>0</v>
      </c>
      <c r="C58" s="2">
        <f>+'s1'!AG59</f>
        <v>0</v>
      </c>
      <c r="D58" s="2">
        <f>+'s1'!AH59</f>
        <v>64779.9</v>
      </c>
      <c r="E58" s="2">
        <f>+'s1'!AI59</f>
        <v>0</v>
      </c>
      <c r="F58" s="2">
        <f>+'s1'!AJ59</f>
        <v>0</v>
      </c>
      <c r="G58" s="2">
        <f>+'s1'!AK59</f>
        <v>0</v>
      </c>
      <c r="H58" s="2">
        <f>+'s1'!AL59</f>
        <v>0</v>
      </c>
      <c r="I58" s="2">
        <f>+'s1'!AM59</f>
        <v>0</v>
      </c>
      <c r="J58" s="2">
        <f>+'s1'!AN59</f>
        <v>0</v>
      </c>
      <c r="K58" s="2">
        <f>+'s1'!AO59</f>
        <v>0</v>
      </c>
      <c r="L58" s="2">
        <f>+'s1'!AP59</f>
        <v>0</v>
      </c>
      <c r="M58" s="2">
        <f>+'s1'!AQ59</f>
        <v>0</v>
      </c>
      <c r="N58" s="2">
        <f>+'s1'!AR59</f>
        <v>4961.58</v>
      </c>
      <c r="O58" s="2">
        <f>+'s1'!AS59</f>
        <v>0</v>
      </c>
      <c r="P58" s="2">
        <f>+'s1'!AT59</f>
        <v>0</v>
      </c>
      <c r="Q58" s="2">
        <f>+'s1'!AU59</f>
        <v>0</v>
      </c>
      <c r="R58" s="2">
        <f>+'s1'!AV59</f>
        <v>0</v>
      </c>
      <c r="S58" s="2">
        <f t="shared" si="0"/>
        <v>69741.48</v>
      </c>
      <c r="T58" s="78"/>
    </row>
    <row r="59" spans="1:20" s="20" customFormat="1" x14ac:dyDescent="0.2">
      <c r="A59" s="1" t="s">
        <v>356</v>
      </c>
      <c r="B59" s="2">
        <f>+'s1'!AF60</f>
        <v>4158.37</v>
      </c>
      <c r="C59" s="2">
        <f>+'s1'!AG60</f>
        <v>0</v>
      </c>
      <c r="D59" s="2">
        <f>+'s1'!AH60</f>
        <v>31427.07</v>
      </c>
      <c r="E59" s="2">
        <f>+'s1'!AI60</f>
        <v>0</v>
      </c>
      <c r="F59" s="2">
        <f>+'s1'!AJ60</f>
        <v>0</v>
      </c>
      <c r="G59" s="2">
        <f>+'s1'!AK60</f>
        <v>0</v>
      </c>
      <c r="H59" s="2">
        <f>+'s1'!AL60</f>
        <v>0</v>
      </c>
      <c r="I59" s="2">
        <f>+'s1'!AM60</f>
        <v>0</v>
      </c>
      <c r="J59" s="2">
        <f>+'s1'!AN60</f>
        <v>0</v>
      </c>
      <c r="K59" s="2">
        <f>+'s1'!AO60</f>
        <v>2330.6</v>
      </c>
      <c r="L59" s="2">
        <f>+'s1'!AP60</f>
        <v>0</v>
      </c>
      <c r="M59" s="2">
        <f>+'s1'!AQ60</f>
        <v>0</v>
      </c>
      <c r="N59" s="2">
        <f>+'s1'!AR60</f>
        <v>425.12</v>
      </c>
      <c r="O59" s="2">
        <f>+'s1'!AS60</f>
        <v>0</v>
      </c>
      <c r="P59" s="2">
        <f>+'s1'!AT60</f>
        <v>0</v>
      </c>
      <c r="Q59" s="2">
        <f>+'s1'!AU60</f>
        <v>0</v>
      </c>
      <c r="R59" s="2">
        <f>+'s1'!AV60</f>
        <v>0</v>
      </c>
      <c r="S59" s="2">
        <f t="shared" si="0"/>
        <v>38341.160000000003</v>
      </c>
      <c r="T59" s="78"/>
    </row>
    <row r="60" spans="1:20" s="20" customFormat="1" x14ac:dyDescent="0.2">
      <c r="A60" s="1" t="s">
        <v>50</v>
      </c>
      <c r="B60" s="2">
        <f>+'s1'!AF61</f>
        <v>0</v>
      </c>
      <c r="C60" s="2">
        <f>+'s1'!AG61</f>
        <v>0</v>
      </c>
      <c r="D60" s="2">
        <f>+'s1'!AH61</f>
        <v>970.46</v>
      </c>
      <c r="E60" s="2">
        <f>+'s1'!AI61</f>
        <v>0</v>
      </c>
      <c r="F60" s="2">
        <f>+'s1'!AJ61</f>
        <v>0</v>
      </c>
      <c r="G60" s="2">
        <f>+'s1'!AK61</f>
        <v>0</v>
      </c>
      <c r="H60" s="2">
        <f>+'s1'!AL61</f>
        <v>0</v>
      </c>
      <c r="I60" s="2">
        <f>+'s1'!AM61</f>
        <v>0</v>
      </c>
      <c r="J60" s="2">
        <f>+'s1'!AN61</f>
        <v>0</v>
      </c>
      <c r="K60" s="2">
        <f>+'s1'!AO61</f>
        <v>0</v>
      </c>
      <c r="L60" s="2">
        <f>+'s1'!AP61</f>
        <v>0</v>
      </c>
      <c r="M60" s="2">
        <f>+'s1'!AQ61</f>
        <v>0</v>
      </c>
      <c r="N60" s="2">
        <f>+'s1'!AR61</f>
        <v>0</v>
      </c>
      <c r="O60" s="2">
        <f>+'s1'!AS61</f>
        <v>0</v>
      </c>
      <c r="P60" s="2">
        <f>+'s1'!AT61</f>
        <v>0</v>
      </c>
      <c r="Q60" s="2">
        <f>+'s1'!AU61</f>
        <v>0</v>
      </c>
      <c r="R60" s="2">
        <f>+'s1'!AV61</f>
        <v>0</v>
      </c>
      <c r="S60" s="2">
        <f t="shared" si="0"/>
        <v>970.46</v>
      </c>
      <c r="T60" s="78"/>
    </row>
    <row r="61" spans="1:20" s="20" customFormat="1" x14ac:dyDescent="0.2">
      <c r="A61" s="1" t="s">
        <v>348</v>
      </c>
      <c r="B61" s="2">
        <f>+'s1'!AF62</f>
        <v>2616.1</v>
      </c>
      <c r="C61" s="2">
        <f>+'s1'!AG62</f>
        <v>1125.78</v>
      </c>
      <c r="D61" s="2">
        <f>+'s1'!AH62</f>
        <v>0</v>
      </c>
      <c r="E61" s="2">
        <f>+'s1'!AI62</f>
        <v>612.85</v>
      </c>
      <c r="F61" s="2">
        <f>+'s1'!AJ62</f>
        <v>0</v>
      </c>
      <c r="G61" s="2">
        <f>+'s1'!AK62</f>
        <v>0</v>
      </c>
      <c r="H61" s="2">
        <f>+'s1'!AL62</f>
        <v>0</v>
      </c>
      <c r="I61" s="2">
        <f>+'s1'!AM62</f>
        <v>360.65</v>
      </c>
      <c r="J61" s="2">
        <f>+'s1'!AN62</f>
        <v>0</v>
      </c>
      <c r="K61" s="2">
        <f>+'s1'!AO62</f>
        <v>0</v>
      </c>
      <c r="L61" s="2">
        <f>+'s1'!AP62</f>
        <v>403.16</v>
      </c>
      <c r="M61" s="2">
        <f>+'s1'!AQ62</f>
        <v>0</v>
      </c>
      <c r="N61" s="2">
        <f>+'s1'!AR62</f>
        <v>0</v>
      </c>
      <c r="O61" s="2">
        <f>+'s1'!AS62</f>
        <v>229.67</v>
      </c>
      <c r="P61" s="2">
        <f>+'s1'!AT62</f>
        <v>77.03</v>
      </c>
      <c r="Q61" s="2">
        <f>+'s1'!AU62</f>
        <v>1647.66</v>
      </c>
      <c r="R61" s="2">
        <f>+'s1'!AV62</f>
        <v>0</v>
      </c>
      <c r="S61" s="2">
        <f t="shared" si="0"/>
        <v>7072.9</v>
      </c>
      <c r="T61" s="78"/>
    </row>
    <row r="62" spans="1:20" x14ac:dyDescent="0.2">
      <c r="A62" s="18" t="s">
        <v>744</v>
      </c>
      <c r="B62" s="2">
        <f>+'s1'!AF63</f>
        <v>0</v>
      </c>
      <c r="C62" s="2">
        <f>+'s1'!AG63</f>
        <v>0</v>
      </c>
      <c r="D62" s="2">
        <f>+'s1'!AH63</f>
        <v>0</v>
      </c>
      <c r="E62" s="2">
        <f>+'s1'!AI63</f>
        <v>141.19999999999999</v>
      </c>
      <c r="F62" s="2">
        <f>+'s1'!AJ63</f>
        <v>0</v>
      </c>
      <c r="G62" s="2">
        <f>+'s1'!AK63</f>
        <v>0</v>
      </c>
      <c r="H62" s="2">
        <f>+'s1'!AL63</f>
        <v>0</v>
      </c>
      <c r="I62" s="2">
        <f>+'s1'!AM63</f>
        <v>0</v>
      </c>
      <c r="J62" s="2">
        <f>+'s1'!AN63</f>
        <v>0</v>
      </c>
      <c r="K62" s="2">
        <f>+'s1'!AO63</f>
        <v>0</v>
      </c>
      <c r="L62" s="2">
        <f>+'s1'!AP63</f>
        <v>0</v>
      </c>
      <c r="M62" s="2">
        <f>+'s1'!AQ63</f>
        <v>0</v>
      </c>
      <c r="N62" s="2">
        <f>+'s1'!AR63</f>
        <v>0</v>
      </c>
      <c r="O62" s="2">
        <f>+'s1'!AS63</f>
        <v>0</v>
      </c>
      <c r="P62" s="2">
        <f>+'s1'!AT63</f>
        <v>0</v>
      </c>
      <c r="Q62" s="2">
        <f>+'s1'!AU63</f>
        <v>-317.7</v>
      </c>
      <c r="R62" s="2">
        <f>+'s1'!AV63</f>
        <v>0</v>
      </c>
      <c r="S62" s="2">
        <f t="shared" si="0"/>
        <v>-176.5</v>
      </c>
      <c r="T62" s="1"/>
    </row>
    <row r="63" spans="1:20" x14ac:dyDescent="0.2">
      <c r="A63" s="1" t="s">
        <v>705</v>
      </c>
      <c r="B63" s="2">
        <f>+'s1'!AF64</f>
        <v>1817.18</v>
      </c>
      <c r="C63" s="2">
        <f>+'s1'!AG64</f>
        <v>0</v>
      </c>
      <c r="D63" s="2">
        <f>+'s1'!AH64</f>
        <v>17017.310000000001</v>
      </c>
      <c r="E63" s="2">
        <f>+'s1'!AI64</f>
        <v>0</v>
      </c>
      <c r="F63" s="2">
        <f>+'s1'!AJ64</f>
        <v>10550.6</v>
      </c>
      <c r="G63" s="2">
        <f>+'s1'!AK64</f>
        <v>0</v>
      </c>
      <c r="H63" s="2">
        <f>+'s1'!AL64</f>
        <v>0</v>
      </c>
      <c r="I63" s="2">
        <f>+'s1'!AM64</f>
        <v>829.52</v>
      </c>
      <c r="J63" s="2">
        <f>+'s1'!AN64</f>
        <v>0</v>
      </c>
      <c r="K63" s="2">
        <f>+'s1'!AO64</f>
        <v>0</v>
      </c>
      <c r="L63" s="2">
        <f>+'s1'!AP64</f>
        <v>8530.17</v>
      </c>
      <c r="M63" s="2">
        <f>+'s1'!AQ64</f>
        <v>0</v>
      </c>
      <c r="N63" s="2">
        <f>+'s1'!AR64</f>
        <v>0</v>
      </c>
      <c r="O63" s="2">
        <f>+'s1'!AS64</f>
        <v>0</v>
      </c>
      <c r="P63" s="2">
        <f>+'s1'!AT64</f>
        <v>0</v>
      </c>
      <c r="Q63" s="2">
        <f>+'s1'!AU64</f>
        <v>93328.12</v>
      </c>
      <c r="R63" s="2">
        <f>+'s1'!AV64</f>
        <v>0</v>
      </c>
      <c r="S63" s="2">
        <f t="shared" si="0"/>
        <v>132072.9</v>
      </c>
      <c r="T63" s="2"/>
    </row>
    <row r="64" spans="1:20" x14ac:dyDescent="0.2">
      <c r="A64" s="1" t="s">
        <v>51</v>
      </c>
      <c r="B64" s="2">
        <f>+'s1'!AF65</f>
        <v>0</v>
      </c>
      <c r="C64" s="2">
        <f>+'s1'!AG65</f>
        <v>0</v>
      </c>
      <c r="D64" s="2">
        <f>+'s1'!AH65</f>
        <v>25179.51</v>
      </c>
      <c r="E64" s="2">
        <f>+'s1'!AI65</f>
        <v>0</v>
      </c>
      <c r="F64" s="2">
        <f>+'s1'!AJ65</f>
        <v>0</v>
      </c>
      <c r="G64" s="2">
        <f>+'s1'!AK65</f>
        <v>0</v>
      </c>
      <c r="H64" s="2">
        <f>+'s1'!AL65</f>
        <v>0</v>
      </c>
      <c r="I64" s="2">
        <f>+'s1'!AM65</f>
        <v>0</v>
      </c>
      <c r="J64" s="2">
        <f>+'s1'!AN65</f>
        <v>0</v>
      </c>
      <c r="K64" s="2">
        <f>+'s1'!AO65</f>
        <v>1127.9000000000001</v>
      </c>
      <c r="L64" s="2">
        <f>+'s1'!AP65</f>
        <v>0</v>
      </c>
      <c r="M64" s="2">
        <f>+'s1'!AQ65</f>
        <v>0</v>
      </c>
      <c r="N64" s="2">
        <f>+'s1'!AR65</f>
        <v>0</v>
      </c>
      <c r="O64" s="2">
        <f>+'s1'!AS65</f>
        <v>0</v>
      </c>
      <c r="P64" s="2">
        <f>+'s1'!AT65</f>
        <v>0</v>
      </c>
      <c r="Q64" s="2">
        <f>+'s1'!AU65</f>
        <v>0</v>
      </c>
      <c r="R64" s="2">
        <f>+'s1'!AV65</f>
        <v>2965.2</v>
      </c>
      <c r="S64" s="2">
        <f t="shared" si="0"/>
        <v>29272.61</v>
      </c>
      <c r="T64" s="1"/>
    </row>
    <row r="65" spans="1:20" x14ac:dyDescent="0.2">
      <c r="A65" s="1" t="s">
        <v>475</v>
      </c>
      <c r="B65" s="2">
        <f>+'s1'!AF66</f>
        <v>0</v>
      </c>
      <c r="C65" s="2">
        <f>+'s1'!AG66</f>
        <v>0</v>
      </c>
      <c r="D65" s="2">
        <f>+'s1'!AH66</f>
        <v>0</v>
      </c>
      <c r="E65" s="2">
        <f>+'s1'!AI66</f>
        <v>0</v>
      </c>
      <c r="F65" s="2">
        <f>+'s1'!AJ66</f>
        <v>0</v>
      </c>
      <c r="G65" s="2">
        <f>+'s1'!AK66</f>
        <v>0</v>
      </c>
      <c r="H65" s="2">
        <f>+'s1'!AL66</f>
        <v>0</v>
      </c>
      <c r="I65" s="2">
        <f>+'s1'!AM66</f>
        <v>0</v>
      </c>
      <c r="J65" s="2">
        <f>+'s1'!AN66</f>
        <v>0</v>
      </c>
      <c r="K65" s="2">
        <f>+'s1'!AO66</f>
        <v>0</v>
      </c>
      <c r="L65" s="2">
        <f>+'s1'!AP66</f>
        <v>0</v>
      </c>
      <c r="M65" s="2">
        <f>+'s1'!AQ66</f>
        <v>0</v>
      </c>
      <c r="N65" s="2">
        <f>+'s1'!AR66</f>
        <v>0</v>
      </c>
      <c r="O65" s="2">
        <f>+'s1'!AS66</f>
        <v>0</v>
      </c>
      <c r="P65" s="2">
        <f>+'s1'!AT66</f>
        <v>0</v>
      </c>
      <c r="Q65" s="2">
        <f>+'s1'!AU66</f>
        <v>0</v>
      </c>
      <c r="R65" s="2">
        <f>+'s1'!AV66</f>
        <v>661.24</v>
      </c>
      <c r="S65" s="2">
        <f t="shared" si="0"/>
        <v>661.24</v>
      </c>
      <c r="T65" s="2"/>
    </row>
    <row r="66" spans="1:20" x14ac:dyDescent="0.2">
      <c r="A66" s="1" t="s">
        <v>52</v>
      </c>
      <c r="B66" s="2">
        <f>+'s1'!AF67</f>
        <v>0</v>
      </c>
      <c r="C66" s="2">
        <f>+'s1'!AG67</f>
        <v>0</v>
      </c>
      <c r="D66" s="2">
        <f>+'s1'!AH67</f>
        <v>0</v>
      </c>
      <c r="E66" s="2">
        <f>+'s1'!AI67</f>
        <v>0</v>
      </c>
      <c r="F66" s="2">
        <f>+'s1'!AJ67</f>
        <v>0</v>
      </c>
      <c r="G66" s="2">
        <f>+'s1'!AK67</f>
        <v>0</v>
      </c>
      <c r="H66" s="2">
        <f>+'s1'!AL67</f>
        <v>0</v>
      </c>
      <c r="I66" s="2">
        <f>+'s1'!AM67</f>
        <v>0</v>
      </c>
      <c r="J66" s="2">
        <f>+'s1'!AN67</f>
        <v>0</v>
      </c>
      <c r="K66" s="2">
        <f>+'s1'!AO67</f>
        <v>0</v>
      </c>
      <c r="L66" s="2">
        <f>+'s1'!AP67</f>
        <v>9.44</v>
      </c>
      <c r="M66" s="2">
        <f>+'s1'!AQ67</f>
        <v>5080.67</v>
      </c>
      <c r="N66" s="2">
        <f>+'s1'!AR67</f>
        <v>2920.24</v>
      </c>
      <c r="O66" s="2">
        <f>+'s1'!AS67</f>
        <v>0</v>
      </c>
      <c r="P66" s="2">
        <f>+'s1'!AT67</f>
        <v>0</v>
      </c>
      <c r="Q66" s="2">
        <f>+'s1'!AU67</f>
        <v>0</v>
      </c>
      <c r="R66" s="2">
        <f>+'s1'!AV67</f>
        <v>0</v>
      </c>
      <c r="S66" s="2">
        <f t="shared" si="0"/>
        <v>8010.35</v>
      </c>
      <c r="T66" s="2"/>
    </row>
    <row r="67" spans="1:20" x14ac:dyDescent="0.2">
      <c r="A67" s="1" t="s">
        <v>433</v>
      </c>
      <c r="B67" s="2">
        <f>+'s1'!AF68</f>
        <v>0</v>
      </c>
      <c r="C67" s="2">
        <f>+'s1'!AG68</f>
        <v>0</v>
      </c>
      <c r="D67" s="2">
        <f>+'s1'!AH68</f>
        <v>4969.1000000000004</v>
      </c>
      <c r="E67" s="2">
        <f>+'s1'!AI68</f>
        <v>0</v>
      </c>
      <c r="F67" s="2">
        <f>+'s1'!AJ68</f>
        <v>0</v>
      </c>
      <c r="G67" s="2">
        <f>+'s1'!AK68</f>
        <v>0</v>
      </c>
      <c r="H67" s="2">
        <f>+'s1'!AL68</f>
        <v>0</v>
      </c>
      <c r="I67" s="2">
        <f>+'s1'!AM68</f>
        <v>0</v>
      </c>
      <c r="J67" s="2">
        <f>+'s1'!AN68</f>
        <v>0</v>
      </c>
      <c r="K67" s="2">
        <f>+'s1'!AO68</f>
        <v>0</v>
      </c>
      <c r="L67" s="2">
        <f>+'s1'!AP68</f>
        <v>0</v>
      </c>
      <c r="M67" s="2">
        <f>+'s1'!AQ68</f>
        <v>0</v>
      </c>
      <c r="N67" s="2">
        <f>+'s1'!AR68</f>
        <v>0</v>
      </c>
      <c r="O67" s="2">
        <f>+'s1'!AS68</f>
        <v>0</v>
      </c>
      <c r="P67" s="2">
        <f>+'s1'!AT68</f>
        <v>0</v>
      </c>
      <c r="Q67" s="2">
        <f>+'s1'!AU68</f>
        <v>750.14</v>
      </c>
      <c r="R67" s="2">
        <f>+'s1'!AV68</f>
        <v>0</v>
      </c>
      <c r="S67" s="2">
        <f t="shared" si="0"/>
        <v>5719.24</v>
      </c>
      <c r="T67" s="2"/>
    </row>
    <row r="68" spans="1:20" s="20" customFormat="1" x14ac:dyDescent="0.2">
      <c r="A68" s="1" t="s">
        <v>53</v>
      </c>
      <c r="B68" s="2">
        <f>+'s1'!AF69</f>
        <v>0</v>
      </c>
      <c r="C68" s="2">
        <f>+'s1'!AG69</f>
        <v>0</v>
      </c>
      <c r="D68" s="2">
        <f>+'s1'!AH69</f>
        <v>9864.02</v>
      </c>
      <c r="E68" s="2">
        <f>+'s1'!AI69</f>
        <v>0</v>
      </c>
      <c r="F68" s="2">
        <f>+'s1'!AJ69</f>
        <v>10487.76</v>
      </c>
      <c r="G68" s="2">
        <f>+'s1'!AK69</f>
        <v>0</v>
      </c>
      <c r="H68" s="2">
        <f>+'s1'!AL69</f>
        <v>0</v>
      </c>
      <c r="I68" s="2">
        <f>+'s1'!AM69</f>
        <v>19924.03</v>
      </c>
      <c r="J68" s="2">
        <f>+'s1'!AN69</f>
        <v>0</v>
      </c>
      <c r="K68" s="2">
        <f>+'s1'!AO69</f>
        <v>0</v>
      </c>
      <c r="L68" s="2">
        <f>+'s1'!AP69</f>
        <v>0</v>
      </c>
      <c r="M68" s="2">
        <f>+'s1'!AQ69</f>
        <v>0</v>
      </c>
      <c r="N68" s="2">
        <f>+'s1'!AR69</f>
        <v>0</v>
      </c>
      <c r="O68" s="2">
        <f>+'s1'!AS69</f>
        <v>0</v>
      </c>
      <c r="P68" s="2">
        <f>+'s1'!AT69</f>
        <v>0</v>
      </c>
      <c r="Q68" s="2">
        <f>+'s1'!AU69</f>
        <v>0</v>
      </c>
      <c r="R68" s="2">
        <f>+'s1'!AV69</f>
        <v>0</v>
      </c>
      <c r="S68" s="2">
        <f t="shared" si="0"/>
        <v>40275.81</v>
      </c>
      <c r="T68" s="78"/>
    </row>
    <row r="69" spans="1:20" x14ac:dyDescent="0.2">
      <c r="A69" s="18" t="s">
        <v>746</v>
      </c>
      <c r="B69" s="2">
        <f>+'s1'!AF70</f>
        <v>0</v>
      </c>
      <c r="C69" s="2">
        <f>+'s1'!AG70</f>
        <v>0</v>
      </c>
      <c r="D69" s="2">
        <f>+'s1'!AH70</f>
        <v>0</v>
      </c>
      <c r="E69" s="2">
        <f>+'s1'!AI70</f>
        <v>0</v>
      </c>
      <c r="F69" s="2">
        <f>+'s1'!AJ70</f>
        <v>0</v>
      </c>
      <c r="G69" s="2">
        <f>+'s1'!AK70</f>
        <v>0</v>
      </c>
      <c r="H69" s="2">
        <f>+'s1'!AL70</f>
        <v>0</v>
      </c>
      <c r="I69" s="2">
        <f>+'s1'!AM70</f>
        <v>0</v>
      </c>
      <c r="J69" s="2">
        <f>+'s1'!AN70</f>
        <v>0</v>
      </c>
      <c r="K69" s="2">
        <f>+'s1'!AO70</f>
        <v>0</v>
      </c>
      <c r="L69" s="2">
        <f>+'s1'!AP70</f>
        <v>0</v>
      </c>
      <c r="M69" s="2">
        <f>+'s1'!AQ70</f>
        <v>0</v>
      </c>
      <c r="N69" s="2">
        <f>+'s1'!AR70</f>
        <v>0</v>
      </c>
      <c r="O69" s="2">
        <f>+'s1'!AS70</f>
        <v>0</v>
      </c>
      <c r="P69" s="2">
        <f>+'s1'!AT70</f>
        <v>0</v>
      </c>
      <c r="Q69" s="2">
        <f>+'s1'!AU70</f>
        <v>-22.76</v>
      </c>
      <c r="R69" s="2">
        <f>+'s1'!AV70</f>
        <v>0</v>
      </c>
      <c r="S69" s="2">
        <f t="shared" si="0"/>
        <v>-22.76</v>
      </c>
      <c r="T69" s="1"/>
    </row>
    <row r="70" spans="1:20" x14ac:dyDescent="0.2">
      <c r="A70" s="18" t="s">
        <v>747</v>
      </c>
      <c r="B70" s="2">
        <f>+'s1'!AF71</f>
        <v>0</v>
      </c>
      <c r="C70" s="2">
        <f>+'s1'!AG71</f>
        <v>0</v>
      </c>
      <c r="D70" s="2">
        <f>+'s1'!AH71</f>
        <v>0</v>
      </c>
      <c r="E70" s="2">
        <f>+'s1'!AI71</f>
        <v>0</v>
      </c>
      <c r="F70" s="2">
        <f>+'s1'!AJ71</f>
        <v>0</v>
      </c>
      <c r="G70" s="2">
        <f>+'s1'!AK71</f>
        <v>0</v>
      </c>
      <c r="H70" s="2">
        <f>+'s1'!AL71</f>
        <v>0</v>
      </c>
      <c r="I70" s="2">
        <f>+'s1'!AM71</f>
        <v>0</v>
      </c>
      <c r="J70" s="2">
        <f>+'s1'!AN71</f>
        <v>0</v>
      </c>
      <c r="K70" s="2">
        <f>+'s1'!AO71</f>
        <v>0</v>
      </c>
      <c r="L70" s="2">
        <f>+'s1'!AP71</f>
        <v>0</v>
      </c>
      <c r="M70" s="2">
        <f>+'s1'!AQ71</f>
        <v>0</v>
      </c>
      <c r="N70" s="2">
        <f>+'s1'!AR71</f>
        <v>0</v>
      </c>
      <c r="O70" s="2">
        <f>+'s1'!AS71</f>
        <v>0</v>
      </c>
      <c r="P70" s="2">
        <f>+'s1'!AT71</f>
        <v>0</v>
      </c>
      <c r="Q70" s="2">
        <f>+'s1'!AU71</f>
        <v>-20.2</v>
      </c>
      <c r="R70" s="2">
        <f>+'s1'!AV71</f>
        <v>0</v>
      </c>
      <c r="S70" s="2">
        <f t="shared" si="0"/>
        <v>-20.2</v>
      </c>
      <c r="T70" s="1"/>
    </row>
    <row r="71" spans="1:20" x14ac:dyDescent="0.2">
      <c r="A71" s="18" t="s">
        <v>748</v>
      </c>
      <c r="B71" s="2">
        <f>+'s1'!AF72</f>
        <v>0</v>
      </c>
      <c r="C71" s="2">
        <f>+'s1'!AG72</f>
        <v>0</v>
      </c>
      <c r="D71" s="2">
        <f>+'s1'!AH72</f>
        <v>0</v>
      </c>
      <c r="E71" s="2">
        <f>+'s1'!AI72</f>
        <v>0</v>
      </c>
      <c r="F71" s="2">
        <f>+'s1'!AJ72</f>
        <v>0</v>
      </c>
      <c r="G71" s="2">
        <f>+'s1'!AK72</f>
        <v>0</v>
      </c>
      <c r="H71" s="2">
        <f>+'s1'!AL72</f>
        <v>0</v>
      </c>
      <c r="I71" s="2">
        <f>+'s1'!AM72</f>
        <v>0</v>
      </c>
      <c r="J71" s="2">
        <f>+'s1'!AN72</f>
        <v>0</v>
      </c>
      <c r="K71" s="2">
        <f>+'s1'!AO72</f>
        <v>0</v>
      </c>
      <c r="L71" s="2">
        <f>+'s1'!AP72</f>
        <v>0</v>
      </c>
      <c r="M71" s="2">
        <f>+'s1'!AQ72</f>
        <v>0</v>
      </c>
      <c r="N71" s="2">
        <f>+'s1'!AR72</f>
        <v>0</v>
      </c>
      <c r="O71" s="2">
        <f>+'s1'!AS72</f>
        <v>0</v>
      </c>
      <c r="P71" s="2">
        <f>+'s1'!AT72</f>
        <v>0</v>
      </c>
      <c r="Q71" s="2">
        <f>+'s1'!AU72</f>
        <v>-18.7</v>
      </c>
      <c r="R71" s="2">
        <f>+'s1'!AV72</f>
        <v>0</v>
      </c>
      <c r="S71" s="2">
        <f t="shared" si="0"/>
        <v>-18.7</v>
      </c>
      <c r="T71" s="1"/>
    </row>
    <row r="72" spans="1:20" s="20" customFormat="1" x14ac:dyDescent="0.2">
      <c r="A72" s="1" t="s">
        <v>457</v>
      </c>
      <c r="B72" s="2">
        <f>+'s1'!AF73</f>
        <v>0</v>
      </c>
      <c r="C72" s="2">
        <f>+'s1'!AG73</f>
        <v>75.59</v>
      </c>
      <c r="D72" s="2">
        <f>+'s1'!AH73</f>
        <v>0</v>
      </c>
      <c r="E72" s="2">
        <f>+'s1'!AI73</f>
        <v>0</v>
      </c>
      <c r="F72" s="2">
        <f>+'s1'!AJ73</f>
        <v>0</v>
      </c>
      <c r="G72" s="2">
        <f>+'s1'!AK73</f>
        <v>0</v>
      </c>
      <c r="H72" s="2">
        <f>+'s1'!AL73</f>
        <v>0</v>
      </c>
      <c r="I72" s="2">
        <f>+'s1'!AM73</f>
        <v>0</v>
      </c>
      <c r="J72" s="2">
        <f>+'s1'!AN73</f>
        <v>0</v>
      </c>
      <c r="K72" s="2">
        <f>+'s1'!AO73</f>
        <v>0</v>
      </c>
      <c r="L72" s="2">
        <f>+'s1'!AP73</f>
        <v>3944.57</v>
      </c>
      <c r="M72" s="2">
        <f>+'s1'!AQ73</f>
        <v>0</v>
      </c>
      <c r="N72" s="2">
        <f>+'s1'!AR73</f>
        <v>0</v>
      </c>
      <c r="O72" s="2">
        <f>+'s1'!AS73</f>
        <v>0</v>
      </c>
      <c r="P72" s="2">
        <f>+'s1'!AT73</f>
        <v>0</v>
      </c>
      <c r="Q72" s="2">
        <f>+'s1'!AU73</f>
        <v>0</v>
      </c>
      <c r="R72" s="2">
        <f>+'s1'!AV73</f>
        <v>0</v>
      </c>
      <c r="S72" s="2">
        <f t="shared" si="0"/>
        <v>4020.16</v>
      </c>
      <c r="T72" s="78"/>
    </row>
    <row r="73" spans="1:20" x14ac:dyDescent="0.2">
      <c r="A73" s="1" t="s">
        <v>708</v>
      </c>
      <c r="B73" s="2">
        <f>+'s1'!AF74</f>
        <v>0</v>
      </c>
      <c r="C73" s="2">
        <f>+'s1'!AG74</f>
        <v>0</v>
      </c>
      <c r="D73" s="2">
        <f>+'s1'!AH74</f>
        <v>440.65</v>
      </c>
      <c r="E73" s="2">
        <f>+'s1'!AI74</f>
        <v>0</v>
      </c>
      <c r="F73" s="2">
        <f>+'s1'!AJ74</f>
        <v>0</v>
      </c>
      <c r="G73" s="2">
        <f>+'s1'!AK74</f>
        <v>0</v>
      </c>
      <c r="H73" s="2">
        <f>+'s1'!AL74</f>
        <v>0</v>
      </c>
      <c r="I73" s="2">
        <f>+'s1'!AM74</f>
        <v>0</v>
      </c>
      <c r="J73" s="2">
        <f>+'s1'!AN74</f>
        <v>0</v>
      </c>
      <c r="K73" s="2">
        <f>+'s1'!AO74</f>
        <v>0</v>
      </c>
      <c r="L73" s="2">
        <f>+'s1'!AP74</f>
        <v>0</v>
      </c>
      <c r="M73" s="2">
        <f>+'s1'!AQ74</f>
        <v>0</v>
      </c>
      <c r="N73" s="2">
        <f>+'s1'!AR74</f>
        <v>0</v>
      </c>
      <c r="O73" s="2">
        <f>+'s1'!AS74</f>
        <v>0</v>
      </c>
      <c r="P73" s="2">
        <f>+'s1'!AT74</f>
        <v>0</v>
      </c>
      <c r="Q73" s="2">
        <f>+'s1'!AU74</f>
        <v>0</v>
      </c>
      <c r="R73" s="2">
        <f>+'s1'!AV74</f>
        <v>0</v>
      </c>
      <c r="S73" s="2">
        <f>SUM(B73:R73)</f>
        <v>440.65</v>
      </c>
      <c r="T73" s="1"/>
    </row>
    <row r="74" spans="1:20" x14ac:dyDescent="0.2">
      <c r="A74" s="18" t="s">
        <v>739</v>
      </c>
      <c r="B74" s="2">
        <f>+'s1'!AF75</f>
        <v>0</v>
      </c>
      <c r="C74" s="2">
        <f>+'s1'!AG75</f>
        <v>0</v>
      </c>
      <c r="D74" s="2">
        <f>+'s1'!AH75</f>
        <v>0</v>
      </c>
      <c r="E74" s="2">
        <f>+'s1'!AI75</f>
        <v>0</v>
      </c>
      <c r="F74" s="2">
        <f>+'s1'!AJ75</f>
        <v>0</v>
      </c>
      <c r="G74" s="2">
        <f>+'s1'!AK75</f>
        <v>0</v>
      </c>
      <c r="H74" s="2">
        <f>+'s1'!AL75</f>
        <v>0</v>
      </c>
      <c r="I74" s="2">
        <f>+'s1'!AM75</f>
        <v>0</v>
      </c>
      <c r="J74" s="2">
        <f>+'s1'!AN75</f>
        <v>0</v>
      </c>
      <c r="K74" s="2">
        <f>+'s1'!AO75</f>
        <v>0</v>
      </c>
      <c r="L74" s="2">
        <f>+'s1'!AP75</f>
        <v>0</v>
      </c>
      <c r="M74" s="2">
        <f>+'s1'!AQ75</f>
        <v>0</v>
      </c>
      <c r="N74" s="2">
        <f>+'s1'!AR75</f>
        <v>0</v>
      </c>
      <c r="O74" s="2">
        <f>+'s1'!AS75</f>
        <v>0</v>
      </c>
      <c r="P74" s="2">
        <f>+'s1'!AT75</f>
        <v>0</v>
      </c>
      <c r="Q74" s="2">
        <f>+'s1'!AU75</f>
        <v>0</v>
      </c>
      <c r="R74" s="2">
        <f>+'s1'!AV75</f>
        <v>0</v>
      </c>
      <c r="S74" s="2">
        <f>SUM(B74:R74)</f>
        <v>0</v>
      </c>
      <c r="T74" s="1"/>
    </row>
    <row r="75" spans="1:20" s="20" customFormat="1" x14ac:dyDescent="0.2">
      <c r="A75" s="1" t="s">
        <v>700</v>
      </c>
      <c r="B75" s="2">
        <f>+'s1'!AF76</f>
        <v>0</v>
      </c>
      <c r="C75" s="2">
        <f>+'s1'!AG76</f>
        <v>0</v>
      </c>
      <c r="D75" s="2">
        <f>+'s1'!AH76</f>
        <v>0</v>
      </c>
      <c r="E75" s="2">
        <f>+'s1'!AI76</f>
        <v>0</v>
      </c>
      <c r="F75" s="2">
        <f>+'s1'!AJ76</f>
        <v>0</v>
      </c>
      <c r="G75" s="2">
        <f>+'s1'!AK76</f>
        <v>0</v>
      </c>
      <c r="H75" s="2">
        <f>+'s1'!AL76</f>
        <v>0</v>
      </c>
      <c r="I75" s="2">
        <f>+'s1'!AM76</f>
        <v>0</v>
      </c>
      <c r="J75" s="2">
        <f>+'s1'!AN76</f>
        <v>0</v>
      </c>
      <c r="K75" s="2">
        <f>+'s1'!AO76</f>
        <v>0</v>
      </c>
      <c r="L75" s="2">
        <f>+'s1'!AP76</f>
        <v>12198.5</v>
      </c>
      <c r="M75" s="2">
        <f>+'s1'!AQ76</f>
        <v>0</v>
      </c>
      <c r="N75" s="2">
        <f>+'s1'!AR76</f>
        <v>0</v>
      </c>
      <c r="O75" s="2">
        <f>+'s1'!AS76</f>
        <v>0</v>
      </c>
      <c r="P75" s="2">
        <f>+'s1'!AT76</f>
        <v>0</v>
      </c>
      <c r="Q75" s="2">
        <f>+'s1'!AU76</f>
        <v>0</v>
      </c>
      <c r="R75" s="2">
        <f>+'s1'!AV76</f>
        <v>0</v>
      </c>
      <c r="S75" s="2">
        <f>SUM(B75:R75)</f>
        <v>12198.5</v>
      </c>
      <c r="T75" s="18"/>
    </row>
    <row r="76" spans="1:20" s="20" customFormat="1" x14ac:dyDescent="0.2">
      <c r="A76" s="1" t="s">
        <v>54</v>
      </c>
      <c r="B76" s="2">
        <f>+'s1'!AF77</f>
        <v>0</v>
      </c>
      <c r="C76" s="2">
        <f>+'s1'!AG77</f>
        <v>0</v>
      </c>
      <c r="D76" s="2">
        <f>+'s1'!AH77</f>
        <v>0</v>
      </c>
      <c r="E76" s="2">
        <f>+'s1'!AI77</f>
        <v>255.43</v>
      </c>
      <c r="F76" s="2">
        <f>+'s1'!AJ77</f>
        <v>0</v>
      </c>
      <c r="G76" s="2">
        <f>+'s1'!AK77</f>
        <v>0</v>
      </c>
      <c r="H76" s="2">
        <f>+'s1'!AL77</f>
        <v>0</v>
      </c>
      <c r="I76" s="2">
        <f>+'s1'!AM77</f>
        <v>0</v>
      </c>
      <c r="J76" s="2">
        <f>+'s1'!AN77</f>
        <v>0</v>
      </c>
      <c r="K76" s="2">
        <f>+'s1'!AO77</f>
        <v>0</v>
      </c>
      <c r="L76" s="2">
        <f>+'s1'!AP77</f>
        <v>0</v>
      </c>
      <c r="M76" s="2">
        <f>+'s1'!AQ77</f>
        <v>0</v>
      </c>
      <c r="N76" s="2">
        <f>+'s1'!AR77</f>
        <v>0</v>
      </c>
      <c r="O76" s="2">
        <f>+'s1'!AS77</f>
        <v>0</v>
      </c>
      <c r="P76" s="2">
        <f>+'s1'!AT77</f>
        <v>0</v>
      </c>
      <c r="Q76" s="2">
        <f>+'s1'!AU77</f>
        <v>0</v>
      </c>
      <c r="R76" s="2">
        <f>+'s1'!AV77</f>
        <v>0</v>
      </c>
      <c r="S76" s="2">
        <f t="shared" si="0"/>
        <v>255.43</v>
      </c>
      <c r="T76" s="18"/>
    </row>
    <row r="77" spans="1:20" x14ac:dyDescent="0.2">
      <c r="A77" s="1" t="s">
        <v>55</v>
      </c>
      <c r="B77" s="2">
        <f>+'s1'!AF78</f>
        <v>0</v>
      </c>
      <c r="C77" s="2">
        <f>+'s1'!AG78</f>
        <v>0</v>
      </c>
      <c r="D77" s="2">
        <f>+'s1'!AH78</f>
        <v>975.4</v>
      </c>
      <c r="E77" s="2">
        <f>+'s1'!AI78</f>
        <v>1442.01</v>
      </c>
      <c r="F77" s="2">
        <f>+'s1'!AJ78</f>
        <v>0</v>
      </c>
      <c r="G77" s="2">
        <f>+'s1'!AK78</f>
        <v>0</v>
      </c>
      <c r="H77" s="2">
        <f>+'s1'!AL78</f>
        <v>0</v>
      </c>
      <c r="I77" s="2">
        <f>+'s1'!AM78</f>
        <v>0</v>
      </c>
      <c r="J77" s="2">
        <f>+'s1'!AN78</f>
        <v>0</v>
      </c>
      <c r="K77" s="2">
        <f>+'s1'!AO78</f>
        <v>0</v>
      </c>
      <c r="L77" s="2">
        <f>+'s1'!AP78</f>
        <v>0</v>
      </c>
      <c r="M77" s="2">
        <f>+'s1'!AQ78</f>
        <v>0</v>
      </c>
      <c r="N77" s="2">
        <f>+'s1'!AR78</f>
        <v>0</v>
      </c>
      <c r="O77" s="2">
        <f>+'s1'!AS78</f>
        <v>0</v>
      </c>
      <c r="P77" s="2">
        <f>+'s1'!AT78</f>
        <v>0</v>
      </c>
      <c r="Q77" s="2">
        <f>+'s1'!AU78</f>
        <v>4983.92</v>
      </c>
      <c r="R77" s="2">
        <f>+'s1'!AV78</f>
        <v>0</v>
      </c>
      <c r="S77" s="2">
        <f t="shared" si="0"/>
        <v>7401.33</v>
      </c>
      <c r="T77" s="1"/>
    </row>
    <row r="78" spans="1:20" s="20" customFormat="1" x14ac:dyDescent="0.2">
      <c r="A78" s="1" t="s">
        <v>56</v>
      </c>
      <c r="B78" s="2">
        <f>+'s1'!AF79</f>
        <v>0</v>
      </c>
      <c r="C78" s="2">
        <f>+'s1'!AG79</f>
        <v>0</v>
      </c>
      <c r="D78" s="2">
        <f>+'s1'!AH79</f>
        <v>0</v>
      </c>
      <c r="E78" s="2">
        <f>+'s1'!AI79</f>
        <v>0</v>
      </c>
      <c r="F78" s="2">
        <f>+'s1'!AJ79</f>
        <v>0</v>
      </c>
      <c r="G78" s="2">
        <f>+'s1'!AK79</f>
        <v>0</v>
      </c>
      <c r="H78" s="2">
        <f>+'s1'!AL79</f>
        <v>23.95</v>
      </c>
      <c r="I78" s="2">
        <f>+'s1'!AM79</f>
        <v>0</v>
      </c>
      <c r="J78" s="2">
        <f>+'s1'!AN79</f>
        <v>0</v>
      </c>
      <c r="K78" s="2">
        <f>+'s1'!AO79</f>
        <v>0</v>
      </c>
      <c r="L78" s="2">
        <f>+'s1'!AP79</f>
        <v>0</v>
      </c>
      <c r="M78" s="2">
        <f>+'s1'!AQ79</f>
        <v>0</v>
      </c>
      <c r="N78" s="2">
        <f>+'s1'!AR79</f>
        <v>0</v>
      </c>
      <c r="O78" s="2">
        <f>+'s1'!AS79</f>
        <v>0</v>
      </c>
      <c r="P78" s="2">
        <f>+'s1'!AT79</f>
        <v>0</v>
      </c>
      <c r="Q78" s="2">
        <f>+'s1'!AU79</f>
        <v>0</v>
      </c>
      <c r="R78" s="2">
        <f>+'s1'!AV79</f>
        <v>4313.33</v>
      </c>
      <c r="S78" s="2">
        <f t="shared" si="0"/>
        <v>4337.28</v>
      </c>
      <c r="T78" s="18"/>
    </row>
    <row r="79" spans="1:20" s="20" customFormat="1" x14ac:dyDescent="0.2">
      <c r="A79" s="18" t="s">
        <v>217</v>
      </c>
      <c r="B79" s="2">
        <f>+'s1'!AF80</f>
        <v>0</v>
      </c>
      <c r="C79" s="2">
        <f>+'s1'!AG80</f>
        <v>0</v>
      </c>
      <c r="D79" s="2">
        <f>+'s1'!AH80</f>
        <v>5.73</v>
      </c>
      <c r="E79" s="2">
        <f>+'s1'!AI80</f>
        <v>0</v>
      </c>
      <c r="F79" s="2">
        <f>+'s1'!AJ80</f>
        <v>0</v>
      </c>
      <c r="G79" s="2">
        <f>+'s1'!AK80</f>
        <v>0</v>
      </c>
      <c r="H79" s="2">
        <f>+'s1'!AL80</f>
        <v>0</v>
      </c>
      <c r="I79" s="2">
        <f>+'s1'!AM80</f>
        <v>0</v>
      </c>
      <c r="J79" s="2">
        <f>+'s1'!AN80</f>
        <v>0</v>
      </c>
      <c r="K79" s="2">
        <f>+'s1'!AO80</f>
        <v>0</v>
      </c>
      <c r="L79" s="2">
        <f>+'s1'!AP80</f>
        <v>0</v>
      </c>
      <c r="M79" s="2">
        <f>+'s1'!AQ80</f>
        <v>0</v>
      </c>
      <c r="N79" s="2">
        <f>+'s1'!AR80</f>
        <v>0</v>
      </c>
      <c r="O79" s="2">
        <f>+'s1'!AS80</f>
        <v>0</v>
      </c>
      <c r="P79" s="2">
        <f>+'s1'!AT80</f>
        <v>0</v>
      </c>
      <c r="Q79" s="2">
        <f>+'s1'!AU80</f>
        <v>0</v>
      </c>
      <c r="R79" s="2">
        <f>+'s1'!AV80</f>
        <v>0</v>
      </c>
      <c r="S79" s="2">
        <f>SUM(B79:R79)</f>
        <v>5.73</v>
      </c>
      <c r="T79" s="78"/>
    </row>
    <row r="80" spans="1:20" s="20" customFormat="1" x14ac:dyDescent="0.2">
      <c r="A80" s="18" t="s">
        <v>57</v>
      </c>
      <c r="B80" s="2">
        <f>+'s1'!AF81</f>
        <v>0</v>
      </c>
      <c r="C80" s="2">
        <f>+'s1'!AG81</f>
        <v>0</v>
      </c>
      <c r="D80" s="2">
        <f>+'s1'!AH81</f>
        <v>0</v>
      </c>
      <c r="E80" s="2">
        <f>+'s1'!AI81</f>
        <v>9.8000000000000007</v>
      </c>
      <c r="F80" s="2">
        <f>+'s1'!AJ81</f>
        <v>0</v>
      </c>
      <c r="G80" s="2">
        <f>+'s1'!AK81</f>
        <v>0</v>
      </c>
      <c r="H80" s="2">
        <f>+'s1'!AL81</f>
        <v>0</v>
      </c>
      <c r="I80" s="2">
        <f>+'s1'!AM81</f>
        <v>0</v>
      </c>
      <c r="J80" s="2">
        <f>+'s1'!AN81</f>
        <v>0</v>
      </c>
      <c r="K80" s="2">
        <f>+'s1'!AO81</f>
        <v>0</v>
      </c>
      <c r="L80" s="2">
        <f>+'s1'!AP81</f>
        <v>83.79</v>
      </c>
      <c r="M80" s="2">
        <f>+'s1'!AQ81</f>
        <v>0</v>
      </c>
      <c r="N80" s="2">
        <f>+'s1'!AR81</f>
        <v>0</v>
      </c>
      <c r="O80" s="2">
        <f>+'s1'!AS81</f>
        <v>0</v>
      </c>
      <c r="P80" s="2">
        <f>+'s1'!AT81</f>
        <v>54.1</v>
      </c>
      <c r="Q80" s="2">
        <f>+'s1'!AU81</f>
        <v>1745.48</v>
      </c>
      <c r="R80" s="2">
        <f>+'s1'!AV81</f>
        <v>0</v>
      </c>
      <c r="S80" s="2">
        <f t="shared" si="0"/>
        <v>1893.17</v>
      </c>
      <c r="T80" s="78"/>
    </row>
    <row r="81" spans="1:20" s="20" customFormat="1" x14ac:dyDescent="0.2">
      <c r="A81" s="1" t="s">
        <v>710</v>
      </c>
      <c r="B81" s="2">
        <f>+'s1'!AF82</f>
        <v>0</v>
      </c>
      <c r="C81" s="2">
        <f>+'s1'!AG82</f>
        <v>0</v>
      </c>
      <c r="D81" s="2">
        <f>+'s1'!AH82</f>
        <v>175196.78</v>
      </c>
      <c r="E81" s="2">
        <f>+'s1'!AI82</f>
        <v>0</v>
      </c>
      <c r="F81" s="2">
        <f>+'s1'!AJ82</f>
        <v>0</v>
      </c>
      <c r="G81" s="2">
        <f>+'s1'!AK82</f>
        <v>0</v>
      </c>
      <c r="H81" s="2">
        <f>+'s1'!AL82</f>
        <v>0</v>
      </c>
      <c r="I81" s="2">
        <f>+'s1'!AM82</f>
        <v>0</v>
      </c>
      <c r="J81" s="2">
        <f>+'s1'!AN82</f>
        <v>0</v>
      </c>
      <c r="K81" s="2">
        <f>+'s1'!AO82</f>
        <v>426.81</v>
      </c>
      <c r="L81" s="2">
        <f>+'s1'!AP82</f>
        <v>0</v>
      </c>
      <c r="M81" s="2">
        <f>+'s1'!AQ82</f>
        <v>0</v>
      </c>
      <c r="N81" s="2">
        <f>+'s1'!AR82</f>
        <v>5410.7</v>
      </c>
      <c r="O81" s="2">
        <f>+'s1'!AS82</f>
        <v>0</v>
      </c>
      <c r="P81" s="2">
        <f>+'s1'!AT82</f>
        <v>0</v>
      </c>
      <c r="Q81" s="2">
        <f>+'s1'!AU82</f>
        <v>0</v>
      </c>
      <c r="R81" s="2">
        <f>+'s1'!AV82</f>
        <v>0</v>
      </c>
      <c r="S81" s="2">
        <f>SUM(B81:R81)</f>
        <v>181034.29</v>
      </c>
      <c r="T81" s="18"/>
    </row>
    <row r="82" spans="1:20" x14ac:dyDescent="0.2">
      <c r="A82" s="1" t="s">
        <v>434</v>
      </c>
      <c r="B82" s="2">
        <f>+'s1'!AF83</f>
        <v>0</v>
      </c>
      <c r="C82" s="2">
        <f>+'s1'!AG83</f>
        <v>0</v>
      </c>
      <c r="D82" s="2">
        <f>+'s1'!AH83</f>
        <v>12066.99</v>
      </c>
      <c r="E82" s="2">
        <f>+'s1'!AI83</f>
        <v>0</v>
      </c>
      <c r="F82" s="2">
        <f>+'s1'!AJ83</f>
        <v>0</v>
      </c>
      <c r="G82" s="2">
        <f>+'s1'!AK83</f>
        <v>0</v>
      </c>
      <c r="H82" s="2">
        <f>+'s1'!AL83</f>
        <v>0</v>
      </c>
      <c r="I82" s="2">
        <f>+'s1'!AM83</f>
        <v>0</v>
      </c>
      <c r="J82" s="2">
        <f>+'s1'!AN83</f>
        <v>0</v>
      </c>
      <c r="K82" s="2">
        <f>+'s1'!AO83</f>
        <v>0</v>
      </c>
      <c r="L82" s="2">
        <f>+'s1'!AP83</f>
        <v>0</v>
      </c>
      <c r="M82" s="2">
        <f>+'s1'!AQ83</f>
        <v>0</v>
      </c>
      <c r="N82" s="2">
        <f>+'s1'!AR83</f>
        <v>0</v>
      </c>
      <c r="O82" s="2">
        <f>+'s1'!AS83</f>
        <v>0</v>
      </c>
      <c r="P82" s="2">
        <f>+'s1'!AT83</f>
        <v>0</v>
      </c>
      <c r="Q82" s="2">
        <f>+'s1'!AU83</f>
        <v>15050.45</v>
      </c>
      <c r="R82" s="2">
        <f>+'s1'!AV83</f>
        <v>0</v>
      </c>
      <c r="S82" s="2">
        <f t="shared" si="0"/>
        <v>27117.439999999999</v>
      </c>
      <c r="T82" s="2"/>
    </row>
    <row r="83" spans="1:20" s="20" customFormat="1" x14ac:dyDescent="0.2">
      <c r="A83" s="1" t="s">
        <v>58</v>
      </c>
      <c r="B83" s="2">
        <f>+'s1'!AF84</f>
        <v>0</v>
      </c>
      <c r="C83" s="2">
        <f>+'s1'!AG84</f>
        <v>0</v>
      </c>
      <c r="D83" s="2">
        <f>+'s1'!AH84</f>
        <v>149326.29999999999</v>
      </c>
      <c r="E83" s="2">
        <f>+'s1'!AI84</f>
        <v>0</v>
      </c>
      <c r="F83" s="2">
        <f>+'s1'!AJ84</f>
        <v>0</v>
      </c>
      <c r="G83" s="2">
        <f>+'s1'!AK84</f>
        <v>0</v>
      </c>
      <c r="H83" s="2">
        <f>+'s1'!AL84</f>
        <v>0</v>
      </c>
      <c r="I83" s="2">
        <f>+'s1'!AM84</f>
        <v>0</v>
      </c>
      <c r="J83" s="2">
        <f>+'s1'!AN84</f>
        <v>0</v>
      </c>
      <c r="K83" s="2">
        <f>+'s1'!AO84</f>
        <v>0</v>
      </c>
      <c r="L83" s="2">
        <f>+'s1'!AP84</f>
        <v>0</v>
      </c>
      <c r="M83" s="2">
        <f>+'s1'!AQ84</f>
        <v>0</v>
      </c>
      <c r="N83" s="2">
        <f>+'s1'!AR84</f>
        <v>0</v>
      </c>
      <c r="O83" s="2">
        <f>+'s1'!AS84</f>
        <v>0</v>
      </c>
      <c r="P83" s="2">
        <f>+'s1'!AT84</f>
        <v>0</v>
      </c>
      <c r="Q83" s="2">
        <f>+'s1'!AU84</f>
        <v>0</v>
      </c>
      <c r="R83" s="2">
        <f>+'s1'!AV84</f>
        <v>0</v>
      </c>
      <c r="S83" s="2">
        <f t="shared" si="0"/>
        <v>149326.29999999999</v>
      </c>
      <c r="T83" s="78"/>
    </row>
    <row r="84" spans="1:20" s="20" customFormat="1" x14ac:dyDescent="0.2">
      <c r="A84" s="1" t="s">
        <v>435</v>
      </c>
      <c r="B84" s="2">
        <f>+'s1'!AF85</f>
        <v>0</v>
      </c>
      <c r="C84" s="2">
        <f>+'s1'!AG85</f>
        <v>0</v>
      </c>
      <c r="D84" s="2">
        <f>+'s1'!AH85</f>
        <v>16451.150000000001</v>
      </c>
      <c r="E84" s="2">
        <f>+'s1'!AI85</f>
        <v>0</v>
      </c>
      <c r="F84" s="2">
        <f>+'s1'!AJ85</f>
        <v>10142.57</v>
      </c>
      <c r="G84" s="2">
        <f>+'s1'!AK85</f>
        <v>0</v>
      </c>
      <c r="H84" s="2">
        <f>+'s1'!AL85</f>
        <v>0</v>
      </c>
      <c r="I84" s="2">
        <f>+'s1'!AM85</f>
        <v>0</v>
      </c>
      <c r="J84" s="2">
        <f>+'s1'!AN85</f>
        <v>0</v>
      </c>
      <c r="K84" s="2">
        <f>+'s1'!AO85</f>
        <v>0</v>
      </c>
      <c r="L84" s="2">
        <f>+'s1'!AP85</f>
        <v>17373.46</v>
      </c>
      <c r="M84" s="2">
        <f>+'s1'!AQ85</f>
        <v>0</v>
      </c>
      <c r="N84" s="2">
        <f>+'s1'!AR85</f>
        <v>0</v>
      </c>
      <c r="O84" s="2">
        <f>+'s1'!AS85</f>
        <v>0</v>
      </c>
      <c r="P84" s="2">
        <f>+'s1'!AT85</f>
        <v>0</v>
      </c>
      <c r="Q84" s="2">
        <f>+'s1'!AU85</f>
        <v>0</v>
      </c>
      <c r="R84" s="2">
        <f>+'s1'!AV85</f>
        <v>0</v>
      </c>
      <c r="S84" s="2">
        <f t="shared" si="0"/>
        <v>43967.18</v>
      </c>
      <c r="T84" s="78"/>
    </row>
    <row r="85" spans="1:20" x14ac:dyDescent="0.2">
      <c r="A85" s="1" t="s">
        <v>436</v>
      </c>
      <c r="B85" s="2">
        <f>+'s1'!AF86</f>
        <v>3988.49</v>
      </c>
      <c r="C85" s="2">
        <f>+'s1'!AG86</f>
        <v>0</v>
      </c>
      <c r="D85" s="2">
        <f>+'s1'!AH86</f>
        <v>3651.83</v>
      </c>
      <c r="E85" s="2">
        <f>+'s1'!AI86</f>
        <v>0</v>
      </c>
      <c r="F85" s="2">
        <f>+'s1'!AJ86</f>
        <v>0</v>
      </c>
      <c r="G85" s="2">
        <f>+'s1'!AK86</f>
        <v>0</v>
      </c>
      <c r="H85" s="2">
        <f>+'s1'!AL86</f>
        <v>0</v>
      </c>
      <c r="I85" s="2">
        <f>+'s1'!AM86</f>
        <v>0</v>
      </c>
      <c r="J85" s="2">
        <f>+'s1'!AN86</f>
        <v>0</v>
      </c>
      <c r="K85" s="2">
        <f>+'s1'!AO86</f>
        <v>0</v>
      </c>
      <c r="L85" s="2">
        <f>+'s1'!AP86</f>
        <v>0</v>
      </c>
      <c r="M85" s="2">
        <f>+'s1'!AQ86</f>
        <v>0</v>
      </c>
      <c r="N85" s="2">
        <f>+'s1'!AR86</f>
        <v>0</v>
      </c>
      <c r="O85" s="2">
        <f>+'s1'!AS86</f>
        <v>0</v>
      </c>
      <c r="P85" s="2">
        <f>+'s1'!AT86</f>
        <v>0</v>
      </c>
      <c r="Q85" s="2">
        <f>+'s1'!AU86</f>
        <v>10458.58</v>
      </c>
      <c r="R85" s="2">
        <f>+'s1'!AV86</f>
        <v>0</v>
      </c>
      <c r="S85" s="2">
        <f t="shared" si="0"/>
        <v>18098.900000000001</v>
      </c>
      <c r="T85" s="2"/>
    </row>
    <row r="86" spans="1:20" x14ac:dyDescent="0.2">
      <c r="A86" s="1" t="s">
        <v>349</v>
      </c>
      <c r="B86" s="2">
        <f>+'s1'!AF87</f>
        <v>0</v>
      </c>
      <c r="C86" s="2">
        <f>+'s1'!AG87</f>
        <v>0</v>
      </c>
      <c r="D86" s="2">
        <f>+'s1'!AH87</f>
        <v>11263.85</v>
      </c>
      <c r="E86" s="2">
        <f>+'s1'!AI87</f>
        <v>0</v>
      </c>
      <c r="F86" s="2">
        <f>+'s1'!AJ87</f>
        <v>0</v>
      </c>
      <c r="G86" s="2">
        <f>+'s1'!AK87</f>
        <v>0</v>
      </c>
      <c r="H86" s="2">
        <f>+'s1'!AL87</f>
        <v>0</v>
      </c>
      <c r="I86" s="2">
        <f>+'s1'!AM87</f>
        <v>0</v>
      </c>
      <c r="J86" s="2">
        <f>+'s1'!AN87</f>
        <v>0</v>
      </c>
      <c r="K86" s="2">
        <f>+'s1'!AO87</f>
        <v>0</v>
      </c>
      <c r="L86" s="2">
        <f>+'s1'!AP87</f>
        <v>0</v>
      </c>
      <c r="M86" s="2">
        <f>+'s1'!AQ87</f>
        <v>0</v>
      </c>
      <c r="N86" s="2">
        <f>+'s1'!AR87</f>
        <v>3285.23</v>
      </c>
      <c r="O86" s="2">
        <f>+'s1'!AS87</f>
        <v>0</v>
      </c>
      <c r="P86" s="2">
        <f>+'s1'!AT87</f>
        <v>0</v>
      </c>
      <c r="Q86" s="2">
        <f>+'s1'!AU87</f>
        <v>0</v>
      </c>
      <c r="R86" s="2">
        <f>+'s1'!AV87</f>
        <v>0</v>
      </c>
      <c r="S86" s="2">
        <f t="shared" si="0"/>
        <v>14549.08</v>
      </c>
      <c r="T86" s="1"/>
    </row>
    <row r="87" spans="1:20" s="20" customFormat="1" x14ac:dyDescent="0.2">
      <c r="A87" s="1" t="s">
        <v>608</v>
      </c>
      <c r="B87" s="2">
        <f>+'s1'!AF88</f>
        <v>0</v>
      </c>
      <c r="C87" s="2">
        <f>+'s1'!AG88</f>
        <v>0</v>
      </c>
      <c r="D87" s="2">
        <f>+'s1'!AH88</f>
        <v>0</v>
      </c>
      <c r="E87" s="2">
        <f>+'s1'!AI88</f>
        <v>0</v>
      </c>
      <c r="F87" s="2">
        <f>+'s1'!AJ88</f>
        <v>0</v>
      </c>
      <c r="G87" s="2">
        <f>+'s1'!AK88</f>
        <v>0</v>
      </c>
      <c r="H87" s="2">
        <f>+'s1'!AL88</f>
        <v>0</v>
      </c>
      <c r="I87" s="2">
        <f>+'s1'!AM88</f>
        <v>0</v>
      </c>
      <c r="J87" s="2">
        <f>+'s1'!AN88</f>
        <v>0</v>
      </c>
      <c r="K87" s="2">
        <f>+'s1'!AO88</f>
        <v>0</v>
      </c>
      <c r="L87" s="2">
        <f>+'s1'!AP88</f>
        <v>0</v>
      </c>
      <c r="M87" s="2">
        <f>+'s1'!AQ88</f>
        <v>0</v>
      </c>
      <c r="N87" s="2">
        <f>+'s1'!AR88</f>
        <v>0</v>
      </c>
      <c r="O87" s="2">
        <f>+'s1'!AS88</f>
        <v>0</v>
      </c>
      <c r="P87" s="2">
        <f>+'s1'!AT88</f>
        <v>0</v>
      </c>
      <c r="Q87" s="2">
        <f>+'s1'!AU88</f>
        <v>1177.51</v>
      </c>
      <c r="R87" s="2">
        <f>+'s1'!AV88</f>
        <v>0</v>
      </c>
      <c r="S87" s="2">
        <f t="shared" si="0"/>
        <v>1177.51</v>
      </c>
      <c r="T87" s="18"/>
    </row>
    <row r="88" spans="1:20" x14ac:dyDescent="0.2">
      <c r="A88" s="18" t="s">
        <v>437</v>
      </c>
      <c r="B88" s="2">
        <f>+'s1'!AF89</f>
        <v>16967.39</v>
      </c>
      <c r="C88" s="2">
        <f>+'s1'!AG89</f>
        <v>0</v>
      </c>
      <c r="D88" s="2">
        <f>+'s1'!AH89</f>
        <v>0</v>
      </c>
      <c r="E88" s="2">
        <f>+'s1'!AI89</f>
        <v>0</v>
      </c>
      <c r="F88" s="2">
        <f>+'s1'!AJ89</f>
        <v>0</v>
      </c>
      <c r="G88" s="2">
        <f>+'s1'!AK89</f>
        <v>0</v>
      </c>
      <c r="H88" s="2">
        <f>+'s1'!AL89</f>
        <v>0</v>
      </c>
      <c r="I88" s="2">
        <f>+'s1'!AM89</f>
        <v>0</v>
      </c>
      <c r="J88" s="2">
        <f>+'s1'!AN89</f>
        <v>0</v>
      </c>
      <c r="K88" s="2">
        <f>+'s1'!AO89</f>
        <v>0</v>
      </c>
      <c r="L88" s="2">
        <f>+'s1'!AP89</f>
        <v>0</v>
      </c>
      <c r="M88" s="2">
        <f>+'s1'!AQ89</f>
        <v>0</v>
      </c>
      <c r="N88" s="2">
        <f>+'s1'!AR89</f>
        <v>0</v>
      </c>
      <c r="O88" s="2">
        <f>+'s1'!AS89</f>
        <v>0</v>
      </c>
      <c r="P88" s="2">
        <f>+'s1'!AT89</f>
        <v>0</v>
      </c>
      <c r="Q88" s="2">
        <f>+'s1'!AU89</f>
        <v>65448.72</v>
      </c>
      <c r="R88" s="2">
        <f>+'s1'!AV89</f>
        <v>0</v>
      </c>
      <c r="S88" s="2">
        <f t="shared" si="0"/>
        <v>82416.11</v>
      </c>
      <c r="T88" s="1"/>
    </row>
    <row r="89" spans="1:20" s="20" customFormat="1" x14ac:dyDescent="0.2">
      <c r="A89" s="18" t="s">
        <v>59</v>
      </c>
      <c r="B89" s="2">
        <f>+'s1'!AF90</f>
        <v>0</v>
      </c>
      <c r="C89" s="2">
        <f>+'s1'!AG90</f>
        <v>0</v>
      </c>
      <c r="D89" s="2">
        <f>+'s1'!AH90</f>
        <v>682423.51</v>
      </c>
      <c r="E89" s="2">
        <f>+'s1'!AI90</f>
        <v>0</v>
      </c>
      <c r="F89" s="2">
        <f>+'s1'!AJ90</f>
        <v>0</v>
      </c>
      <c r="G89" s="2">
        <f>+'s1'!AK90</f>
        <v>275.45999999999998</v>
      </c>
      <c r="H89" s="2">
        <f>+'s1'!AL90</f>
        <v>0</v>
      </c>
      <c r="I89" s="2">
        <f>+'s1'!AM90</f>
        <v>0</v>
      </c>
      <c r="J89" s="2">
        <f>+'s1'!AN90</f>
        <v>135.91999999999999</v>
      </c>
      <c r="K89" s="2">
        <f>+'s1'!AO90</f>
        <v>90.16</v>
      </c>
      <c r="L89" s="2">
        <f>+'s1'!AP90</f>
        <v>0</v>
      </c>
      <c r="M89" s="2">
        <f>+'s1'!AQ90</f>
        <v>0</v>
      </c>
      <c r="N89" s="2">
        <f>+'s1'!AR90</f>
        <v>17186.77</v>
      </c>
      <c r="O89" s="2">
        <f>+'s1'!AS90</f>
        <v>0</v>
      </c>
      <c r="P89" s="2">
        <f>+'s1'!AT90</f>
        <v>0</v>
      </c>
      <c r="Q89" s="2">
        <f>+'s1'!AU90</f>
        <v>0</v>
      </c>
      <c r="R89" s="2">
        <f>+'s1'!AV90</f>
        <v>0</v>
      </c>
      <c r="S89" s="2">
        <f t="shared" si="0"/>
        <v>700111.82</v>
      </c>
      <c r="T89" s="78"/>
    </row>
    <row r="90" spans="1:20" x14ac:dyDescent="0.2">
      <c r="A90" s="1" t="s">
        <v>60</v>
      </c>
      <c r="B90" s="2">
        <f>+'s1'!AF91</f>
        <v>0</v>
      </c>
      <c r="C90" s="2">
        <f>+'s1'!AG91</f>
        <v>0</v>
      </c>
      <c r="D90" s="2">
        <f>+'s1'!AH91</f>
        <v>0</v>
      </c>
      <c r="E90" s="2">
        <f>+'s1'!AI91</f>
        <v>0</v>
      </c>
      <c r="F90" s="2">
        <f>+'s1'!AJ91</f>
        <v>3158.62</v>
      </c>
      <c r="G90" s="2">
        <f>+'s1'!AK91</f>
        <v>0</v>
      </c>
      <c r="H90" s="2">
        <f>+'s1'!AL91</f>
        <v>0</v>
      </c>
      <c r="I90" s="2">
        <f>+'s1'!AM91</f>
        <v>88.11</v>
      </c>
      <c r="J90" s="2">
        <f>+'s1'!AN91</f>
        <v>0</v>
      </c>
      <c r="K90" s="2">
        <f>+'s1'!AO91</f>
        <v>2327.6999999999998</v>
      </c>
      <c r="L90" s="2">
        <f>+'s1'!AP91</f>
        <v>0</v>
      </c>
      <c r="M90" s="2">
        <f>+'s1'!AQ91</f>
        <v>0</v>
      </c>
      <c r="N90" s="2">
        <f>+'s1'!AR91</f>
        <v>0</v>
      </c>
      <c r="O90" s="2">
        <f>+'s1'!AS91</f>
        <v>0</v>
      </c>
      <c r="P90" s="2">
        <f>+'s1'!AT91</f>
        <v>0</v>
      </c>
      <c r="Q90" s="2">
        <f>+'s1'!AU91</f>
        <v>0</v>
      </c>
      <c r="R90" s="2">
        <f>+'s1'!AV91</f>
        <v>20898.55</v>
      </c>
      <c r="S90" s="2">
        <f t="shared" si="0"/>
        <v>26472.98</v>
      </c>
      <c r="T90" s="2"/>
    </row>
    <row r="91" spans="1:20" x14ac:dyDescent="0.2">
      <c r="A91" s="1" t="s">
        <v>459</v>
      </c>
      <c r="B91" s="2">
        <f>+'s1'!AF92</f>
        <v>0</v>
      </c>
      <c r="C91" s="2">
        <f>+'s1'!AG92</f>
        <v>0</v>
      </c>
      <c r="D91" s="2">
        <f>+'s1'!AH92</f>
        <v>0</v>
      </c>
      <c r="E91" s="2">
        <f>+'s1'!AI92</f>
        <v>0</v>
      </c>
      <c r="F91" s="2">
        <f>+'s1'!AJ92</f>
        <v>0</v>
      </c>
      <c r="G91" s="2">
        <f>+'s1'!AK92</f>
        <v>0</v>
      </c>
      <c r="H91" s="2">
        <f>+'s1'!AL92</f>
        <v>0</v>
      </c>
      <c r="I91" s="2">
        <f>+'s1'!AM92</f>
        <v>0</v>
      </c>
      <c r="J91" s="2">
        <f>+'s1'!AN92</f>
        <v>0</v>
      </c>
      <c r="K91" s="2">
        <f>+'s1'!AO92</f>
        <v>0</v>
      </c>
      <c r="L91" s="2">
        <f>+'s1'!AP92</f>
        <v>0</v>
      </c>
      <c r="M91" s="2">
        <f>+'s1'!AQ92</f>
        <v>0</v>
      </c>
      <c r="N91" s="2">
        <f>+'s1'!AR92</f>
        <v>0</v>
      </c>
      <c r="O91" s="2">
        <f>+'s1'!AS92</f>
        <v>0</v>
      </c>
      <c r="P91" s="2">
        <f>+'s1'!AT92</f>
        <v>0</v>
      </c>
      <c r="Q91" s="2">
        <f>+'s1'!AU92</f>
        <v>783.92</v>
      </c>
      <c r="R91" s="2">
        <f>+'s1'!AV92</f>
        <v>0</v>
      </c>
      <c r="S91" s="2">
        <f t="shared" ref="S91:S113" si="1">SUM(B91:R91)</f>
        <v>783.92</v>
      </c>
      <c r="T91" s="2"/>
    </row>
    <row r="92" spans="1:20" s="20" customFormat="1" x14ac:dyDescent="0.2">
      <c r="A92" s="18" t="s">
        <v>61</v>
      </c>
      <c r="B92" s="2">
        <f>+'s1'!AF93</f>
        <v>23377.59</v>
      </c>
      <c r="C92" s="2">
        <f>+'s1'!AG93</f>
        <v>6098.15</v>
      </c>
      <c r="D92" s="2">
        <f>+'s1'!AH93</f>
        <v>152761.87</v>
      </c>
      <c r="E92" s="2">
        <f>+'s1'!AI93</f>
        <v>2273.29</v>
      </c>
      <c r="F92" s="2">
        <f>+'s1'!AJ93</f>
        <v>0</v>
      </c>
      <c r="G92" s="2">
        <f>+'s1'!AK93</f>
        <v>157.15</v>
      </c>
      <c r="H92" s="2">
        <f>+'s1'!AL93</f>
        <v>0</v>
      </c>
      <c r="I92" s="2">
        <f>+'s1'!AM93</f>
        <v>0</v>
      </c>
      <c r="J92" s="2">
        <f>+'s1'!AN93</f>
        <v>0</v>
      </c>
      <c r="K92" s="2">
        <f>+'s1'!AO93</f>
        <v>0</v>
      </c>
      <c r="L92" s="2">
        <f>+'s1'!AP93</f>
        <v>11697.26</v>
      </c>
      <c r="M92" s="2">
        <f>+'s1'!AQ93</f>
        <v>352.62</v>
      </c>
      <c r="N92" s="2">
        <f>+'s1'!AR93</f>
        <v>608.97</v>
      </c>
      <c r="O92" s="2">
        <f>+'s1'!AS93</f>
        <v>2768.6</v>
      </c>
      <c r="P92" s="2">
        <f>+'s1'!AT93</f>
        <v>0</v>
      </c>
      <c r="Q92" s="2">
        <f>+'s1'!AU93</f>
        <v>34089.480000000003</v>
      </c>
      <c r="R92" s="2">
        <f>+'s1'!AV93</f>
        <v>0</v>
      </c>
      <c r="S92" s="2">
        <f t="shared" si="1"/>
        <v>234184.98</v>
      </c>
      <c r="T92" s="78"/>
    </row>
    <row r="93" spans="1:20" s="20" customFormat="1" x14ac:dyDescent="0.2">
      <c r="A93" s="1" t="s">
        <v>460</v>
      </c>
      <c r="B93" s="2">
        <f>+'s1'!AF94</f>
        <v>0</v>
      </c>
      <c r="C93" s="2">
        <f>+'s1'!AG94</f>
        <v>34.22</v>
      </c>
      <c r="D93" s="2">
        <f>+'s1'!AH94</f>
        <v>0</v>
      </c>
      <c r="E93" s="2">
        <f>+'s1'!AI94</f>
        <v>20.97</v>
      </c>
      <c r="F93" s="2">
        <f>+'s1'!AJ94</f>
        <v>0</v>
      </c>
      <c r="G93" s="2">
        <f>+'s1'!AK94</f>
        <v>0</v>
      </c>
      <c r="H93" s="2">
        <f>+'s1'!AL94</f>
        <v>0</v>
      </c>
      <c r="I93" s="2">
        <f>+'s1'!AM94</f>
        <v>0</v>
      </c>
      <c r="J93" s="2">
        <f>+'s1'!AN94</f>
        <v>0</v>
      </c>
      <c r="K93" s="2">
        <f>+'s1'!AO94</f>
        <v>0</v>
      </c>
      <c r="L93" s="2">
        <f>+'s1'!AP94</f>
        <v>5698.78</v>
      </c>
      <c r="M93" s="2">
        <f>+'s1'!AQ94</f>
        <v>72.5</v>
      </c>
      <c r="N93" s="2">
        <f>+'s1'!AR94</f>
        <v>0</v>
      </c>
      <c r="O93" s="2">
        <f>+'s1'!AS94</f>
        <v>0</v>
      </c>
      <c r="P93" s="2">
        <f>+'s1'!AT94</f>
        <v>0</v>
      </c>
      <c r="Q93" s="2">
        <f>+'s1'!AU94</f>
        <v>207.27</v>
      </c>
      <c r="R93" s="2">
        <f>+'s1'!AV94</f>
        <v>0</v>
      </c>
      <c r="S93" s="2">
        <f t="shared" si="1"/>
        <v>6033.74</v>
      </c>
      <c r="T93" s="18"/>
    </row>
    <row r="94" spans="1:20" s="20" customFormat="1" x14ac:dyDescent="0.2">
      <c r="A94" s="18" t="s">
        <v>62</v>
      </c>
      <c r="B94" s="2">
        <f>+'s1'!AF95</f>
        <v>0</v>
      </c>
      <c r="C94" s="2">
        <f>+'s1'!AG95</f>
        <v>0</v>
      </c>
      <c r="D94" s="2">
        <f>+'s1'!AH95</f>
        <v>0</v>
      </c>
      <c r="E94" s="2">
        <f>+'s1'!AI95</f>
        <v>0</v>
      </c>
      <c r="F94" s="2">
        <f>+'s1'!AJ95</f>
        <v>0</v>
      </c>
      <c r="G94" s="2">
        <f>+'s1'!AK95</f>
        <v>0</v>
      </c>
      <c r="H94" s="2">
        <f>+'s1'!AL95</f>
        <v>0</v>
      </c>
      <c r="I94" s="2">
        <f>+'s1'!AM95</f>
        <v>4272.41</v>
      </c>
      <c r="J94" s="2">
        <f>+'s1'!AN95</f>
        <v>0</v>
      </c>
      <c r="K94" s="2">
        <f>+'s1'!AO95</f>
        <v>0</v>
      </c>
      <c r="L94" s="2">
        <f>+'s1'!AP95</f>
        <v>0</v>
      </c>
      <c r="M94" s="2">
        <f>+'s1'!AQ95</f>
        <v>0</v>
      </c>
      <c r="N94" s="2">
        <f>+'s1'!AR95</f>
        <v>0</v>
      </c>
      <c r="O94" s="2">
        <f>+'s1'!AS95</f>
        <v>61.74</v>
      </c>
      <c r="P94" s="2">
        <f>+'s1'!AT95</f>
        <v>0</v>
      </c>
      <c r="Q94" s="2">
        <f>+'s1'!AU95</f>
        <v>0</v>
      </c>
      <c r="R94" s="2">
        <f>+'s1'!AV95</f>
        <v>0</v>
      </c>
      <c r="S94" s="2">
        <f t="shared" si="1"/>
        <v>4334.1499999999996</v>
      </c>
      <c r="T94" s="18"/>
    </row>
    <row r="95" spans="1:20" s="20" customFormat="1" x14ac:dyDescent="0.2">
      <c r="A95" s="1" t="s">
        <v>63</v>
      </c>
      <c r="B95" s="2">
        <f>+'s1'!AF96</f>
        <v>0</v>
      </c>
      <c r="C95" s="2">
        <f>+'s1'!AG96</f>
        <v>0</v>
      </c>
      <c r="D95" s="2">
        <f>+'s1'!AH96</f>
        <v>0</v>
      </c>
      <c r="E95" s="2">
        <f>+'s1'!AI96</f>
        <v>0</v>
      </c>
      <c r="F95" s="2">
        <f>+'s1'!AJ96</f>
        <v>0</v>
      </c>
      <c r="G95" s="2">
        <f>+'s1'!AK96</f>
        <v>0</v>
      </c>
      <c r="H95" s="2">
        <f>+'s1'!AL96</f>
        <v>0</v>
      </c>
      <c r="I95" s="2">
        <f>+'s1'!AM96</f>
        <v>0</v>
      </c>
      <c r="J95" s="2">
        <f>+'s1'!AN96</f>
        <v>0</v>
      </c>
      <c r="K95" s="2">
        <f>+'s1'!AO96</f>
        <v>0</v>
      </c>
      <c r="L95" s="2">
        <f>+'s1'!AP96</f>
        <v>0</v>
      </c>
      <c r="M95" s="2">
        <f>+'s1'!AQ96</f>
        <v>0</v>
      </c>
      <c r="N95" s="2">
        <f>+'s1'!AR96</f>
        <v>0</v>
      </c>
      <c r="O95" s="2">
        <f>+'s1'!AS96</f>
        <v>0</v>
      </c>
      <c r="P95" s="2">
        <f>+'s1'!AT96</f>
        <v>0</v>
      </c>
      <c r="Q95" s="2">
        <f>+'s1'!AU96</f>
        <v>0</v>
      </c>
      <c r="R95" s="2">
        <f>+'s1'!AV96</f>
        <v>1117.76</v>
      </c>
      <c r="S95" s="2">
        <f t="shared" si="1"/>
        <v>1117.76</v>
      </c>
      <c r="T95" s="18"/>
    </row>
    <row r="96" spans="1:20" s="20" customFormat="1" x14ac:dyDescent="0.2">
      <c r="A96" s="1" t="s">
        <v>64</v>
      </c>
      <c r="B96" s="2">
        <f>+'s1'!AF97</f>
        <v>0</v>
      </c>
      <c r="C96" s="2">
        <f>+'s1'!AG97</f>
        <v>0</v>
      </c>
      <c r="D96" s="2">
        <f>+'s1'!AH97</f>
        <v>0</v>
      </c>
      <c r="E96" s="2">
        <f>+'s1'!AI97</f>
        <v>0</v>
      </c>
      <c r="F96" s="2">
        <f>+'s1'!AJ97</f>
        <v>0</v>
      </c>
      <c r="G96" s="2">
        <f>+'s1'!AK97</f>
        <v>0</v>
      </c>
      <c r="H96" s="2">
        <f>+'s1'!AL97</f>
        <v>0</v>
      </c>
      <c r="I96" s="2">
        <f>+'s1'!AM97</f>
        <v>2406.36</v>
      </c>
      <c r="J96" s="2">
        <f>+'s1'!AN97</f>
        <v>0</v>
      </c>
      <c r="K96" s="2">
        <f>+'s1'!AO97</f>
        <v>0</v>
      </c>
      <c r="L96" s="2">
        <f>+'s1'!AP97</f>
        <v>0</v>
      </c>
      <c r="M96" s="2">
        <f>+'s1'!AQ97</f>
        <v>0</v>
      </c>
      <c r="N96" s="2">
        <f>+'s1'!AR97</f>
        <v>0</v>
      </c>
      <c r="O96" s="2">
        <f>+'s1'!AS97</f>
        <v>94.82</v>
      </c>
      <c r="P96" s="2">
        <f>+'s1'!AT97</f>
        <v>0</v>
      </c>
      <c r="Q96" s="2">
        <f>+'s1'!AU97</f>
        <v>0</v>
      </c>
      <c r="R96" s="2">
        <f>+'s1'!AV97</f>
        <v>0</v>
      </c>
      <c r="S96" s="2">
        <f t="shared" si="1"/>
        <v>2501.1799999999998</v>
      </c>
      <c r="T96" s="78"/>
    </row>
    <row r="97" spans="1:20" x14ac:dyDescent="0.2">
      <c r="A97" s="18" t="s">
        <v>723</v>
      </c>
      <c r="B97" s="2">
        <f>+'s1'!AF98</f>
        <v>0</v>
      </c>
      <c r="C97" s="2">
        <f>+'s1'!AG98</f>
        <v>0</v>
      </c>
      <c r="D97" s="2">
        <f>+'s1'!AH98</f>
        <v>0</v>
      </c>
      <c r="E97" s="2">
        <f>+'s1'!AI98</f>
        <v>0</v>
      </c>
      <c r="F97" s="2">
        <f>+'s1'!AJ98</f>
        <v>0</v>
      </c>
      <c r="G97" s="2">
        <f>+'s1'!AK98</f>
        <v>0</v>
      </c>
      <c r="H97" s="2">
        <f>+'s1'!AL98</f>
        <v>0</v>
      </c>
      <c r="I97" s="2">
        <f>+'s1'!AM98</f>
        <v>0</v>
      </c>
      <c r="J97" s="2">
        <f>+'s1'!AN98</f>
        <v>0</v>
      </c>
      <c r="K97" s="2">
        <f>+'s1'!AO98</f>
        <v>0</v>
      </c>
      <c r="L97" s="2">
        <f>+'s1'!AP98</f>
        <v>0</v>
      </c>
      <c r="M97" s="2">
        <f>+'s1'!AQ98</f>
        <v>0</v>
      </c>
      <c r="N97" s="2">
        <f>+'s1'!AR98</f>
        <v>0</v>
      </c>
      <c r="O97" s="2">
        <f>+'s1'!AS98</f>
        <v>0</v>
      </c>
      <c r="P97" s="2">
        <f>+'s1'!AT98</f>
        <v>0</v>
      </c>
      <c r="Q97" s="2">
        <f>+'s1'!AU98</f>
        <v>40018.550000000003</v>
      </c>
      <c r="R97" s="2">
        <f>+'s1'!AV98</f>
        <v>0</v>
      </c>
      <c r="S97" s="2">
        <f>SUM(B97:R97)</f>
        <v>40018.550000000003</v>
      </c>
      <c r="T97" s="1"/>
    </row>
    <row r="98" spans="1:20" s="20" customFormat="1" x14ac:dyDescent="0.2">
      <c r="A98" s="18" t="s">
        <v>65</v>
      </c>
      <c r="B98" s="2">
        <f>+'s1'!AF99</f>
        <v>0</v>
      </c>
      <c r="C98" s="2">
        <f>+'s1'!AG99</f>
        <v>0</v>
      </c>
      <c r="D98" s="2">
        <f>+'s1'!AH99</f>
        <v>162.99</v>
      </c>
      <c r="E98" s="2">
        <f>+'s1'!AI99</f>
        <v>0</v>
      </c>
      <c r="F98" s="2">
        <f>+'s1'!AJ99</f>
        <v>0</v>
      </c>
      <c r="G98" s="2">
        <f>+'s1'!AK99</f>
        <v>0</v>
      </c>
      <c r="H98" s="2">
        <f>+'s1'!AL99</f>
        <v>0</v>
      </c>
      <c r="I98" s="2">
        <f>+'s1'!AM99</f>
        <v>0</v>
      </c>
      <c r="J98" s="2">
        <f>+'s1'!AN99</f>
        <v>0</v>
      </c>
      <c r="K98" s="2">
        <f>+'s1'!AO99</f>
        <v>0</v>
      </c>
      <c r="L98" s="2">
        <f>+'s1'!AP99</f>
        <v>0</v>
      </c>
      <c r="M98" s="2">
        <f>+'s1'!AQ99</f>
        <v>0</v>
      </c>
      <c r="N98" s="2">
        <f>+'s1'!AR99</f>
        <v>0</v>
      </c>
      <c r="O98" s="2">
        <f>+'s1'!AS99</f>
        <v>0</v>
      </c>
      <c r="P98" s="2">
        <f>+'s1'!AT99</f>
        <v>0</v>
      </c>
      <c r="Q98" s="2">
        <f>+'s1'!AU99</f>
        <v>0</v>
      </c>
      <c r="R98" s="2">
        <f>+'s1'!AV99</f>
        <v>0</v>
      </c>
      <c r="S98" s="2">
        <f t="shared" si="1"/>
        <v>162.99</v>
      </c>
      <c r="T98" s="78"/>
    </row>
    <row r="99" spans="1:20" s="20" customFormat="1" x14ac:dyDescent="0.2">
      <c r="A99" s="18" t="s">
        <v>573</v>
      </c>
      <c r="B99" s="2">
        <f>+'s1'!AF100</f>
        <v>0</v>
      </c>
      <c r="C99" s="2">
        <f>+'s1'!AG100</f>
        <v>0</v>
      </c>
      <c r="D99" s="2">
        <f>+'s1'!AH100</f>
        <v>0</v>
      </c>
      <c r="E99" s="2">
        <f>+'s1'!AI100</f>
        <v>0</v>
      </c>
      <c r="F99" s="2">
        <f>+'s1'!AJ100</f>
        <v>0</v>
      </c>
      <c r="G99" s="2">
        <f>+'s1'!AK100</f>
        <v>0</v>
      </c>
      <c r="H99" s="2">
        <f>+'s1'!AL100</f>
        <v>1093.44</v>
      </c>
      <c r="I99" s="2">
        <f>+'s1'!AM100</f>
        <v>0</v>
      </c>
      <c r="J99" s="2">
        <f>+'s1'!AN100</f>
        <v>0</v>
      </c>
      <c r="K99" s="2">
        <f>+'s1'!AO100</f>
        <v>0</v>
      </c>
      <c r="L99" s="2">
        <f>+'s1'!AP100</f>
        <v>0</v>
      </c>
      <c r="M99" s="2">
        <f>+'s1'!AQ100</f>
        <v>0</v>
      </c>
      <c r="N99" s="2">
        <f>+'s1'!AR100</f>
        <v>0</v>
      </c>
      <c r="O99" s="2">
        <f>+'s1'!AS100</f>
        <v>0</v>
      </c>
      <c r="P99" s="2">
        <f>+'s1'!AT100</f>
        <v>0</v>
      </c>
      <c r="Q99" s="2">
        <f>+'s1'!AU100</f>
        <v>0</v>
      </c>
      <c r="R99" s="2">
        <f>+'s1'!AV100</f>
        <v>0</v>
      </c>
      <c r="S99" s="2">
        <f t="shared" si="1"/>
        <v>1093.44</v>
      </c>
      <c r="T99" s="78"/>
    </row>
    <row r="100" spans="1:20" s="20" customFormat="1" x14ac:dyDescent="0.2">
      <c r="A100" s="18" t="s">
        <v>438</v>
      </c>
      <c r="B100" s="2">
        <f>+'s1'!AF101</f>
        <v>0</v>
      </c>
      <c r="C100" s="2">
        <f>+'s1'!AG101</f>
        <v>0</v>
      </c>
      <c r="D100" s="2">
        <f>+'s1'!AH101</f>
        <v>84074.27</v>
      </c>
      <c r="E100" s="2">
        <f>+'s1'!AI101</f>
        <v>0</v>
      </c>
      <c r="F100" s="2">
        <f>+'s1'!AJ101</f>
        <v>8834.35</v>
      </c>
      <c r="G100" s="2">
        <f>+'s1'!AK101</f>
        <v>0</v>
      </c>
      <c r="H100" s="2">
        <f>+'s1'!AL101</f>
        <v>0</v>
      </c>
      <c r="I100" s="2">
        <f>+'s1'!AM101</f>
        <v>0</v>
      </c>
      <c r="J100" s="2">
        <f>+'s1'!AN101</f>
        <v>0</v>
      </c>
      <c r="K100" s="2">
        <f>+'s1'!AO101</f>
        <v>0</v>
      </c>
      <c r="L100" s="2">
        <f>+'s1'!AP101</f>
        <v>19809.28</v>
      </c>
      <c r="M100" s="2">
        <f>+'s1'!AQ101</f>
        <v>0</v>
      </c>
      <c r="N100" s="2">
        <f>+'s1'!AR101</f>
        <v>9264.25</v>
      </c>
      <c r="O100" s="2">
        <f>+'s1'!AS101</f>
        <v>0</v>
      </c>
      <c r="P100" s="2">
        <f>+'s1'!AT101</f>
        <v>0</v>
      </c>
      <c r="Q100" s="2">
        <f>+'s1'!AU101</f>
        <v>0</v>
      </c>
      <c r="R100" s="2">
        <f>+'s1'!AV101</f>
        <v>0</v>
      </c>
      <c r="S100" s="2">
        <f t="shared" si="1"/>
        <v>121982.15</v>
      </c>
      <c r="T100" s="78"/>
    </row>
    <row r="101" spans="1:20" x14ac:dyDescent="0.2">
      <c r="A101" s="18" t="s">
        <v>751</v>
      </c>
      <c r="B101" s="2">
        <f>+'s1'!AF102</f>
        <v>0</v>
      </c>
      <c r="C101" s="2">
        <f>+'s1'!AG102</f>
        <v>0</v>
      </c>
      <c r="D101" s="2">
        <f>+'s1'!AH102</f>
        <v>576.09</v>
      </c>
      <c r="E101" s="2">
        <f>+'s1'!AI102</f>
        <v>0</v>
      </c>
      <c r="F101" s="2">
        <f>+'s1'!AJ102</f>
        <v>-29.32</v>
      </c>
      <c r="G101" s="2">
        <f>+'s1'!AK102</f>
        <v>0</v>
      </c>
      <c r="H101" s="2">
        <f>+'s1'!AL102</f>
        <v>0</v>
      </c>
      <c r="I101" s="2">
        <f>+'s1'!AM102</f>
        <v>0</v>
      </c>
      <c r="J101" s="2">
        <f>+'s1'!AN102</f>
        <v>0</v>
      </c>
      <c r="K101" s="2">
        <f>+'s1'!AO102</f>
        <v>0</v>
      </c>
      <c r="L101" s="2">
        <f>+'s1'!AP102</f>
        <v>-68.36</v>
      </c>
      <c r="M101" s="2">
        <f>+'s1'!AQ102</f>
        <v>0</v>
      </c>
      <c r="N101" s="2">
        <f>+'s1'!AR102</f>
        <v>77.239999999999995</v>
      </c>
      <c r="O101" s="2">
        <f>+'s1'!AS102</f>
        <v>0</v>
      </c>
      <c r="P101" s="2">
        <f>+'s1'!AT102</f>
        <v>0</v>
      </c>
      <c r="Q101" s="2">
        <f>+'s1'!AU102</f>
        <v>0</v>
      </c>
      <c r="R101" s="2">
        <f>+'s1'!AV102</f>
        <v>0</v>
      </c>
      <c r="S101" s="2">
        <f>SUM(B101:R101)</f>
        <v>555.65</v>
      </c>
      <c r="T101" s="1"/>
    </row>
    <row r="102" spans="1:20" x14ac:dyDescent="0.2">
      <c r="A102" s="18" t="s">
        <v>66</v>
      </c>
      <c r="B102" s="2">
        <f>+'s1'!AF103</f>
        <v>0</v>
      </c>
      <c r="C102" s="2">
        <f>+'s1'!AG103</f>
        <v>13057.22</v>
      </c>
      <c r="D102" s="2">
        <f>+'s1'!AH103</f>
        <v>0</v>
      </c>
      <c r="E102" s="2">
        <f>+'s1'!AI103</f>
        <v>0</v>
      </c>
      <c r="F102" s="2">
        <f>+'s1'!AJ103</f>
        <v>0</v>
      </c>
      <c r="G102" s="2">
        <f>+'s1'!AK103</f>
        <v>0</v>
      </c>
      <c r="H102" s="2">
        <f>+'s1'!AL103</f>
        <v>0</v>
      </c>
      <c r="I102" s="2">
        <f>+'s1'!AM103</f>
        <v>0</v>
      </c>
      <c r="J102" s="2">
        <f>+'s1'!AN103</f>
        <v>0</v>
      </c>
      <c r="K102" s="2">
        <f>+'s1'!AO103</f>
        <v>0</v>
      </c>
      <c r="L102" s="2">
        <f>+'s1'!AP103</f>
        <v>0</v>
      </c>
      <c r="M102" s="2">
        <f>+'s1'!AQ103</f>
        <v>0</v>
      </c>
      <c r="N102" s="2">
        <f>+'s1'!AR103</f>
        <v>0</v>
      </c>
      <c r="O102" s="2">
        <f>+'s1'!AS103</f>
        <v>0</v>
      </c>
      <c r="P102" s="2">
        <f>+'s1'!AT103</f>
        <v>0</v>
      </c>
      <c r="Q102" s="2">
        <f>+'s1'!AU103</f>
        <v>0</v>
      </c>
      <c r="R102" s="2">
        <f>+'s1'!AV103</f>
        <v>0</v>
      </c>
      <c r="S102" s="2">
        <f t="shared" si="1"/>
        <v>13057.22</v>
      </c>
      <c r="T102" s="2"/>
    </row>
    <row r="103" spans="1:20" x14ac:dyDescent="0.2">
      <c r="A103" s="18" t="s">
        <v>477</v>
      </c>
      <c r="B103" s="2">
        <f>+'s1'!AF104</f>
        <v>32948.26</v>
      </c>
      <c r="C103" s="2">
        <f>+'s1'!AG104</f>
        <v>0</v>
      </c>
      <c r="D103" s="2">
        <f>+'s1'!AH104</f>
        <v>101021.1</v>
      </c>
      <c r="E103" s="2">
        <f>+'s1'!AI104</f>
        <v>4499.26</v>
      </c>
      <c r="F103" s="2">
        <f>+'s1'!AJ104</f>
        <v>0</v>
      </c>
      <c r="G103" s="2">
        <f>+'s1'!AK104</f>
        <v>0</v>
      </c>
      <c r="H103" s="2">
        <f>+'s1'!AL104</f>
        <v>0</v>
      </c>
      <c r="I103" s="2">
        <f>+'s1'!AM104</f>
        <v>0</v>
      </c>
      <c r="J103" s="2">
        <f>+'s1'!AN104</f>
        <v>0</v>
      </c>
      <c r="K103" s="2">
        <f>+'s1'!AO104</f>
        <v>0</v>
      </c>
      <c r="L103" s="2">
        <f>+'s1'!AP104</f>
        <v>820.44</v>
      </c>
      <c r="M103" s="2">
        <f>+'s1'!AQ104</f>
        <v>1455.83</v>
      </c>
      <c r="N103" s="2">
        <f>+'s1'!AR104</f>
        <v>270.56</v>
      </c>
      <c r="O103" s="2">
        <f>+'s1'!AS104</f>
        <v>0</v>
      </c>
      <c r="P103" s="2">
        <f>+'s1'!AT104</f>
        <v>0</v>
      </c>
      <c r="Q103" s="2">
        <f>+'s1'!AU104</f>
        <v>75422.55</v>
      </c>
      <c r="R103" s="2">
        <f>+'s1'!AV104</f>
        <v>0</v>
      </c>
      <c r="S103" s="2">
        <f t="shared" si="1"/>
        <v>216438</v>
      </c>
      <c r="T103" s="2"/>
    </row>
    <row r="104" spans="1:20" s="20" customFormat="1" x14ac:dyDescent="0.2">
      <c r="A104" s="18" t="s">
        <v>67</v>
      </c>
      <c r="B104" s="2">
        <f>+'s1'!AF105</f>
        <v>0</v>
      </c>
      <c r="C104" s="2">
        <f>+'s1'!AG105</f>
        <v>0</v>
      </c>
      <c r="D104" s="2">
        <f>+'s1'!AH105</f>
        <v>0</v>
      </c>
      <c r="E104" s="2">
        <f>+'s1'!AI105</f>
        <v>0</v>
      </c>
      <c r="F104" s="2">
        <f>+'s1'!AJ105</f>
        <v>953.97</v>
      </c>
      <c r="G104" s="2">
        <f>+'s1'!AK105</f>
        <v>0</v>
      </c>
      <c r="H104" s="2">
        <f>+'s1'!AL105</f>
        <v>0</v>
      </c>
      <c r="I104" s="2">
        <f>+'s1'!AM105</f>
        <v>0</v>
      </c>
      <c r="J104" s="2">
        <f>+'s1'!AN105</f>
        <v>0</v>
      </c>
      <c r="K104" s="2">
        <f>+'s1'!AO105</f>
        <v>0</v>
      </c>
      <c r="L104" s="2">
        <f>+'s1'!AP105</f>
        <v>0</v>
      </c>
      <c r="M104" s="2">
        <f>+'s1'!AQ105</f>
        <v>0</v>
      </c>
      <c r="N104" s="2">
        <f>+'s1'!AR105</f>
        <v>0</v>
      </c>
      <c r="O104" s="2">
        <f>+'s1'!AS105</f>
        <v>0</v>
      </c>
      <c r="P104" s="2">
        <f>+'s1'!AT105</f>
        <v>0</v>
      </c>
      <c r="Q104" s="2">
        <f>+'s1'!AU105</f>
        <v>0</v>
      </c>
      <c r="R104" s="2">
        <f>+'s1'!AV105</f>
        <v>68</v>
      </c>
      <c r="S104" s="2">
        <f t="shared" si="1"/>
        <v>1021.97</v>
      </c>
      <c r="T104" s="18"/>
    </row>
    <row r="105" spans="1:20" s="20" customFormat="1" x14ac:dyDescent="0.2">
      <c r="A105" s="18" t="s">
        <v>83</v>
      </c>
      <c r="B105" s="2">
        <f>+'s1'!AF106</f>
        <v>0</v>
      </c>
      <c r="C105" s="2">
        <f>+'s1'!AG106</f>
        <v>0</v>
      </c>
      <c r="D105" s="2">
        <f>+'s1'!AH106</f>
        <v>13820.76</v>
      </c>
      <c r="E105" s="2">
        <f>+'s1'!AI106</f>
        <v>0</v>
      </c>
      <c r="F105" s="2">
        <f>+'s1'!AJ106</f>
        <v>0</v>
      </c>
      <c r="G105" s="2">
        <f>+'s1'!AK106</f>
        <v>0</v>
      </c>
      <c r="H105" s="2">
        <f>+'s1'!AL106</f>
        <v>0</v>
      </c>
      <c r="I105" s="2">
        <f>+'s1'!AM106</f>
        <v>0</v>
      </c>
      <c r="J105" s="2">
        <f>+'s1'!AN106</f>
        <v>0</v>
      </c>
      <c r="K105" s="2">
        <f>+'s1'!AO106</f>
        <v>0</v>
      </c>
      <c r="L105" s="2">
        <f>+'s1'!AP106</f>
        <v>0</v>
      </c>
      <c r="M105" s="2">
        <f>+'s1'!AQ106</f>
        <v>0</v>
      </c>
      <c r="N105" s="2">
        <f>+'s1'!AR106</f>
        <v>0</v>
      </c>
      <c r="O105" s="2">
        <f>+'s1'!AS106</f>
        <v>0</v>
      </c>
      <c r="P105" s="2">
        <f>+'s1'!AT106</f>
        <v>0</v>
      </c>
      <c r="Q105" s="2">
        <f>+'s1'!AU106</f>
        <v>0</v>
      </c>
      <c r="R105" s="2">
        <f>+'s1'!AV106</f>
        <v>0</v>
      </c>
      <c r="S105" s="2">
        <f t="shared" si="1"/>
        <v>13820.76</v>
      </c>
      <c r="T105" s="78"/>
    </row>
    <row r="106" spans="1:20" x14ac:dyDescent="0.2">
      <c r="A106" s="18" t="s">
        <v>350</v>
      </c>
      <c r="B106" s="2">
        <f>+'s1'!AF107</f>
        <v>0</v>
      </c>
      <c r="C106" s="2">
        <f>+'s1'!AG107</f>
        <v>0</v>
      </c>
      <c r="D106" s="2">
        <f>+'s1'!AH107</f>
        <v>14377.83</v>
      </c>
      <c r="E106" s="2">
        <f>+'s1'!AI107</f>
        <v>0</v>
      </c>
      <c r="F106" s="2">
        <f>+'s1'!AJ107</f>
        <v>0</v>
      </c>
      <c r="G106" s="2">
        <f>+'s1'!AK107</f>
        <v>0</v>
      </c>
      <c r="H106" s="2">
        <f>+'s1'!AL107</f>
        <v>0</v>
      </c>
      <c r="I106" s="2">
        <f>+'s1'!AM107</f>
        <v>0</v>
      </c>
      <c r="J106" s="2">
        <f>+'s1'!AN107</f>
        <v>0</v>
      </c>
      <c r="K106" s="2">
        <f>+'s1'!AO107</f>
        <v>0</v>
      </c>
      <c r="L106" s="2">
        <f>+'s1'!AP107</f>
        <v>0</v>
      </c>
      <c r="M106" s="2">
        <f>+'s1'!AQ107</f>
        <v>0</v>
      </c>
      <c r="N106" s="2">
        <f>+'s1'!AR107</f>
        <v>0</v>
      </c>
      <c r="O106" s="2">
        <f>+'s1'!AS107</f>
        <v>7904.66</v>
      </c>
      <c r="P106" s="2">
        <f>+'s1'!AT107</f>
        <v>0</v>
      </c>
      <c r="Q106" s="2">
        <f>+'s1'!AU107</f>
        <v>15320.52</v>
      </c>
      <c r="R106" s="2">
        <f>+'s1'!AV107</f>
        <v>0</v>
      </c>
      <c r="S106" s="2">
        <f t="shared" si="1"/>
        <v>37603.01</v>
      </c>
      <c r="T106" s="1"/>
    </row>
    <row r="107" spans="1:20" x14ac:dyDescent="0.2">
      <c r="A107" s="18" t="s">
        <v>363</v>
      </c>
      <c r="B107" s="2">
        <f>+'s1'!AF108</f>
        <v>0</v>
      </c>
      <c r="C107" s="2">
        <f>+'s1'!AG108</f>
        <v>0</v>
      </c>
      <c r="D107" s="2">
        <f>+'s1'!AH108</f>
        <v>7279.76</v>
      </c>
      <c r="E107" s="2">
        <f>+'s1'!AI108</f>
        <v>7804.99</v>
      </c>
      <c r="F107" s="2">
        <f>+'s1'!AJ108</f>
        <v>0</v>
      </c>
      <c r="G107" s="2">
        <f>+'s1'!AK108</f>
        <v>0</v>
      </c>
      <c r="H107" s="2">
        <f>+'s1'!AL108</f>
        <v>0</v>
      </c>
      <c r="I107" s="2">
        <f>+'s1'!AM108</f>
        <v>8543.49</v>
      </c>
      <c r="J107" s="2">
        <f>+'s1'!AN108</f>
        <v>0</v>
      </c>
      <c r="K107" s="2">
        <f>+'s1'!AO108</f>
        <v>0</v>
      </c>
      <c r="L107" s="2">
        <f>+'s1'!AP108</f>
        <v>0</v>
      </c>
      <c r="M107" s="2">
        <f>+'s1'!AQ108</f>
        <v>0</v>
      </c>
      <c r="N107" s="2">
        <f>+'s1'!AR108</f>
        <v>0</v>
      </c>
      <c r="O107" s="2">
        <f>+'s1'!AS108</f>
        <v>0</v>
      </c>
      <c r="P107" s="2">
        <f>+'s1'!AT108</f>
        <v>0</v>
      </c>
      <c r="Q107" s="2">
        <f>+'s1'!AU108</f>
        <v>47594.66</v>
      </c>
      <c r="R107" s="2">
        <f>+'s1'!AV108</f>
        <v>0</v>
      </c>
      <c r="S107" s="2">
        <f t="shared" si="1"/>
        <v>71222.899999999994</v>
      </c>
      <c r="T107" s="2"/>
    </row>
    <row r="108" spans="1:20" x14ac:dyDescent="0.2">
      <c r="A108" s="1" t="s">
        <v>68</v>
      </c>
      <c r="B108" s="2">
        <f>+'s1'!AF109</f>
        <v>0</v>
      </c>
      <c r="C108" s="2">
        <f>+'s1'!AG109</f>
        <v>0</v>
      </c>
      <c r="D108" s="2">
        <f>+'s1'!AH109</f>
        <v>2450.73</v>
      </c>
      <c r="E108" s="2">
        <f>+'s1'!AI109</f>
        <v>0</v>
      </c>
      <c r="F108" s="2">
        <f>+'s1'!AJ109</f>
        <v>0</v>
      </c>
      <c r="G108" s="2">
        <f>+'s1'!AK109</f>
        <v>0</v>
      </c>
      <c r="H108" s="2">
        <f>+'s1'!AL109</f>
        <v>0</v>
      </c>
      <c r="I108" s="2">
        <f>+'s1'!AM109</f>
        <v>0</v>
      </c>
      <c r="J108" s="2">
        <f>+'s1'!AN109</f>
        <v>0</v>
      </c>
      <c r="K108" s="2">
        <f>+'s1'!AO109</f>
        <v>0</v>
      </c>
      <c r="L108" s="2">
        <f>+'s1'!AP109</f>
        <v>0</v>
      </c>
      <c r="M108" s="2">
        <f>+'s1'!AQ109</f>
        <v>0</v>
      </c>
      <c r="N108" s="2">
        <f>+'s1'!AR109</f>
        <v>0</v>
      </c>
      <c r="O108" s="2">
        <f>+'s1'!AS109</f>
        <v>0</v>
      </c>
      <c r="P108" s="2">
        <f>+'s1'!AT109</f>
        <v>0</v>
      </c>
      <c r="Q108" s="2">
        <f>+'s1'!AU109</f>
        <v>0</v>
      </c>
      <c r="R108" s="2">
        <f>+'s1'!AV109</f>
        <v>0</v>
      </c>
      <c r="S108" s="2">
        <f t="shared" si="1"/>
        <v>2450.73</v>
      </c>
      <c r="T108" s="1"/>
    </row>
    <row r="109" spans="1:20" x14ac:dyDescent="0.2">
      <c r="A109" s="1" t="s">
        <v>69</v>
      </c>
      <c r="B109" s="2">
        <f>+'s1'!AF110</f>
        <v>0</v>
      </c>
      <c r="C109" s="2">
        <f>+'s1'!AG110</f>
        <v>4279.0200000000004</v>
      </c>
      <c r="D109" s="2">
        <f>+'s1'!AH110</f>
        <v>0</v>
      </c>
      <c r="E109" s="2">
        <f>+'s1'!AI110</f>
        <v>0</v>
      </c>
      <c r="F109" s="2">
        <f>+'s1'!AJ110</f>
        <v>0</v>
      </c>
      <c r="G109" s="2">
        <f>+'s1'!AK110</f>
        <v>0</v>
      </c>
      <c r="H109" s="2">
        <f>+'s1'!AL110</f>
        <v>0</v>
      </c>
      <c r="I109" s="2">
        <f>+'s1'!AM110</f>
        <v>0</v>
      </c>
      <c r="J109" s="2">
        <f>+'s1'!AN110</f>
        <v>0</v>
      </c>
      <c r="K109" s="2">
        <f>+'s1'!AO110</f>
        <v>0</v>
      </c>
      <c r="L109" s="2">
        <f>+'s1'!AP110</f>
        <v>4357.5200000000004</v>
      </c>
      <c r="M109" s="2">
        <f>+'s1'!AQ110</f>
        <v>5319.08</v>
      </c>
      <c r="N109" s="2">
        <f>+'s1'!AR110</f>
        <v>0</v>
      </c>
      <c r="O109" s="2">
        <f>+'s1'!AS110</f>
        <v>0</v>
      </c>
      <c r="P109" s="2">
        <f>+'s1'!AT110</f>
        <v>0</v>
      </c>
      <c r="Q109" s="2">
        <f>+'s1'!AU110</f>
        <v>6095.15</v>
      </c>
      <c r="R109" s="2">
        <f>+'s1'!AV110</f>
        <v>0</v>
      </c>
      <c r="S109" s="2">
        <f t="shared" si="1"/>
        <v>20050.77</v>
      </c>
      <c r="T109" s="1"/>
    </row>
    <row r="110" spans="1:20" x14ac:dyDescent="0.2">
      <c r="A110" s="1" t="s">
        <v>574</v>
      </c>
      <c r="B110" s="2">
        <f>+'s1'!AF111</f>
        <v>16928.84</v>
      </c>
      <c r="C110" s="2">
        <f>+'s1'!AG111</f>
        <v>0</v>
      </c>
      <c r="D110" s="2">
        <f>+'s1'!AH111</f>
        <v>439248.97</v>
      </c>
      <c r="E110" s="2">
        <f>+'s1'!AI111</f>
        <v>6466.28</v>
      </c>
      <c r="F110" s="2">
        <f>+'s1'!AJ111</f>
        <v>0</v>
      </c>
      <c r="G110" s="2">
        <f>+'s1'!AK111</f>
        <v>0</v>
      </c>
      <c r="H110" s="2">
        <f>+'s1'!AL111</f>
        <v>0</v>
      </c>
      <c r="I110" s="2">
        <f>+'s1'!AM111</f>
        <v>0</v>
      </c>
      <c r="J110" s="2">
        <f>+'s1'!AN111</f>
        <v>0</v>
      </c>
      <c r="K110" s="2">
        <f>+'s1'!AO111</f>
        <v>0</v>
      </c>
      <c r="L110" s="2">
        <f>+'s1'!AP111</f>
        <v>8295.1200000000008</v>
      </c>
      <c r="M110" s="2">
        <f>+'s1'!AQ111</f>
        <v>0</v>
      </c>
      <c r="N110" s="2">
        <f>+'s1'!AR111</f>
        <v>0</v>
      </c>
      <c r="O110" s="2">
        <f>+'s1'!AS111</f>
        <v>0</v>
      </c>
      <c r="P110" s="2">
        <f>+'s1'!AT111</f>
        <v>0</v>
      </c>
      <c r="Q110" s="2">
        <f>+'s1'!AU111</f>
        <v>153805.1</v>
      </c>
      <c r="R110" s="2">
        <f>+'s1'!AV111</f>
        <v>0</v>
      </c>
      <c r="S110" s="2">
        <f t="shared" si="1"/>
        <v>624744.31000000006</v>
      </c>
      <c r="T110" s="1"/>
    </row>
    <row r="111" spans="1:20" x14ac:dyDescent="0.2">
      <c r="A111" s="1" t="s">
        <v>712</v>
      </c>
      <c r="B111" s="2">
        <f>+'s1'!AF112</f>
        <v>0</v>
      </c>
      <c r="C111" s="2">
        <f>+'s1'!AG112</f>
        <v>0</v>
      </c>
      <c r="D111" s="2">
        <f>+'s1'!AH112</f>
        <v>4290.3999999999996</v>
      </c>
      <c r="E111" s="2">
        <f>+'s1'!AI112</f>
        <v>0</v>
      </c>
      <c r="F111" s="2">
        <f>+'s1'!AJ112</f>
        <v>0</v>
      </c>
      <c r="G111" s="2">
        <f>+'s1'!AK112</f>
        <v>0</v>
      </c>
      <c r="H111" s="2">
        <f>+'s1'!AL112</f>
        <v>0</v>
      </c>
      <c r="I111" s="2">
        <f>+'s1'!AM112</f>
        <v>0</v>
      </c>
      <c r="J111" s="2">
        <f>+'s1'!AN112</f>
        <v>0</v>
      </c>
      <c r="K111" s="2">
        <f>+'s1'!AO112</f>
        <v>0</v>
      </c>
      <c r="L111" s="2">
        <f>+'s1'!AP112</f>
        <v>0</v>
      </c>
      <c r="M111" s="2">
        <f>+'s1'!AQ112</f>
        <v>0</v>
      </c>
      <c r="N111" s="2">
        <f>+'s1'!AR112</f>
        <v>0</v>
      </c>
      <c r="O111" s="2">
        <f>+'s1'!AS112</f>
        <v>0</v>
      </c>
      <c r="P111" s="2">
        <f>+'s1'!AT112</f>
        <v>0</v>
      </c>
      <c r="Q111" s="2">
        <f>+'s1'!AU112</f>
        <v>0</v>
      </c>
      <c r="R111" s="2">
        <f>+'s1'!AV112</f>
        <v>0</v>
      </c>
      <c r="S111" s="2">
        <f>SUM(B111:R111)</f>
        <v>4290.3999999999996</v>
      </c>
      <c r="T111" s="1"/>
    </row>
    <row r="112" spans="1:20" x14ac:dyDescent="0.2">
      <c r="A112" s="1" t="s">
        <v>716</v>
      </c>
      <c r="B112" s="2">
        <f>+'s1'!AF113</f>
        <v>0</v>
      </c>
      <c r="C112" s="2">
        <f>+'s1'!AG113</f>
        <v>0</v>
      </c>
      <c r="D112" s="2">
        <f>+'s1'!AH113</f>
        <v>73161.990000000005</v>
      </c>
      <c r="E112" s="2">
        <f>+'s1'!AI113</f>
        <v>0</v>
      </c>
      <c r="F112" s="2">
        <f>+'s1'!AJ113</f>
        <v>3239.29</v>
      </c>
      <c r="G112" s="2">
        <f>+'s1'!AK113</f>
        <v>0</v>
      </c>
      <c r="H112" s="2">
        <f>+'s1'!AL113</f>
        <v>0</v>
      </c>
      <c r="I112" s="2">
        <f>+'s1'!AM113</f>
        <v>0</v>
      </c>
      <c r="J112" s="2">
        <f>+'s1'!AN113</f>
        <v>0</v>
      </c>
      <c r="K112" s="2">
        <f>+'s1'!AO113</f>
        <v>196.2</v>
      </c>
      <c r="L112" s="2">
        <f>+'s1'!AP113</f>
        <v>0</v>
      </c>
      <c r="M112" s="2">
        <f>+'s1'!AQ113</f>
        <v>0</v>
      </c>
      <c r="N112" s="2">
        <f>+'s1'!AR113</f>
        <v>1296.07</v>
      </c>
      <c r="O112" s="2">
        <f>+'s1'!AS113</f>
        <v>0</v>
      </c>
      <c r="P112" s="2">
        <f>+'s1'!AT113</f>
        <v>0</v>
      </c>
      <c r="Q112" s="2">
        <f>+'s1'!AU113</f>
        <v>0</v>
      </c>
      <c r="R112" s="2">
        <f>+'s1'!AV113</f>
        <v>0</v>
      </c>
      <c r="S112" s="2">
        <f t="shared" si="1"/>
        <v>77893.55</v>
      </c>
      <c r="T112" s="1"/>
    </row>
    <row r="113" spans="1:20" x14ac:dyDescent="0.2">
      <c r="A113" s="1" t="s">
        <v>440</v>
      </c>
      <c r="B113" s="2">
        <f>+'s1'!AF114</f>
        <v>0</v>
      </c>
      <c r="C113" s="2">
        <f>+'s1'!AG114</f>
        <v>0</v>
      </c>
      <c r="D113" s="2">
        <f>+'s1'!AH114</f>
        <v>9628.8799999999992</v>
      </c>
      <c r="E113" s="2">
        <f>+'s1'!AI114</f>
        <v>0</v>
      </c>
      <c r="F113" s="2">
        <f>+'s1'!AJ114</f>
        <v>0</v>
      </c>
      <c r="G113" s="2">
        <f>+'s1'!AK114</f>
        <v>0</v>
      </c>
      <c r="H113" s="2">
        <f>+'s1'!AL114</f>
        <v>0</v>
      </c>
      <c r="I113" s="2">
        <f>+'s1'!AM114</f>
        <v>0</v>
      </c>
      <c r="J113" s="2">
        <f>+'s1'!AN114</f>
        <v>0</v>
      </c>
      <c r="K113" s="2">
        <f>+'s1'!AO114</f>
        <v>0</v>
      </c>
      <c r="L113" s="2">
        <f>+'s1'!AP114</f>
        <v>0</v>
      </c>
      <c r="M113" s="2">
        <f>+'s1'!AQ114</f>
        <v>0</v>
      </c>
      <c r="N113" s="2">
        <f>+'s1'!AR114</f>
        <v>0</v>
      </c>
      <c r="O113" s="2">
        <f>+'s1'!AS114</f>
        <v>0</v>
      </c>
      <c r="P113" s="2">
        <f>+'s1'!AT114</f>
        <v>0</v>
      </c>
      <c r="Q113" s="2">
        <f>+'s1'!AU114</f>
        <v>1041.82</v>
      </c>
      <c r="R113" s="2">
        <f>+'s1'!AV114</f>
        <v>0</v>
      </c>
      <c r="S113" s="2">
        <f t="shared" si="1"/>
        <v>10670.7</v>
      </c>
      <c r="T113" s="1"/>
    </row>
    <row r="114" spans="1:20" x14ac:dyDescent="0.2">
      <c r="A114" s="1" t="s">
        <v>494</v>
      </c>
      <c r="B114" s="2">
        <f>+'s1'!AF115</f>
        <v>0</v>
      </c>
      <c r="C114" s="2">
        <f>+'s1'!AG115</f>
        <v>0</v>
      </c>
      <c r="D114" s="2">
        <f>+'s1'!AH115</f>
        <v>19.489999999999998</v>
      </c>
      <c r="E114" s="2">
        <f>+'s1'!AI115</f>
        <v>0</v>
      </c>
      <c r="F114" s="2">
        <f>+'s1'!AJ115</f>
        <v>0</v>
      </c>
      <c r="G114" s="2">
        <f>+'s1'!AK115</f>
        <v>0</v>
      </c>
      <c r="H114" s="2">
        <f>+'s1'!AL115</f>
        <v>0</v>
      </c>
      <c r="I114" s="2">
        <f>+'s1'!AM115</f>
        <v>0</v>
      </c>
      <c r="J114" s="2">
        <f>+'s1'!AN115</f>
        <v>0</v>
      </c>
      <c r="K114" s="2">
        <f>+'s1'!AO115</f>
        <v>0</v>
      </c>
      <c r="L114" s="2">
        <f>+'s1'!AP115</f>
        <v>0</v>
      </c>
      <c r="M114" s="2">
        <f>+'s1'!AQ115</f>
        <v>0</v>
      </c>
      <c r="N114" s="2">
        <f>+'s1'!AR115</f>
        <v>0</v>
      </c>
      <c r="O114" s="2">
        <f>+'s1'!AS115</f>
        <v>0</v>
      </c>
      <c r="P114" s="2">
        <f>+'s1'!AT115</f>
        <v>0</v>
      </c>
      <c r="Q114" s="2">
        <f>+'s1'!AU115</f>
        <v>0</v>
      </c>
      <c r="R114" s="2">
        <f>+'s1'!AV115</f>
        <v>0</v>
      </c>
      <c r="S114" s="2">
        <f t="shared" ref="S114:S121" si="2">SUM(B114:R114)</f>
        <v>19.489999999999998</v>
      </c>
      <c r="T114" s="1"/>
    </row>
    <row r="115" spans="1:20" x14ac:dyDescent="0.2">
      <c r="A115" s="1" t="s">
        <v>84</v>
      </c>
      <c r="B115" s="2">
        <f>+'s1'!AF116</f>
        <v>0</v>
      </c>
      <c r="C115" s="2">
        <f>+'s1'!AG116</f>
        <v>0</v>
      </c>
      <c r="D115" s="2">
        <f>+'s1'!AH116</f>
        <v>0</v>
      </c>
      <c r="E115" s="2">
        <f>+'s1'!AI116</f>
        <v>0</v>
      </c>
      <c r="F115" s="2">
        <f>+'s1'!AJ116</f>
        <v>72.209999999999994</v>
      </c>
      <c r="G115" s="2">
        <f>+'s1'!AK116</f>
        <v>0</v>
      </c>
      <c r="H115" s="2">
        <f>+'s1'!AL116</f>
        <v>0</v>
      </c>
      <c r="I115" s="2">
        <f>+'s1'!AM116</f>
        <v>1331.82</v>
      </c>
      <c r="J115" s="2">
        <f>+'s1'!AN116</f>
        <v>0</v>
      </c>
      <c r="K115" s="2">
        <f>+'s1'!AO116</f>
        <v>0</v>
      </c>
      <c r="L115" s="2">
        <f>+'s1'!AP116</f>
        <v>0</v>
      </c>
      <c r="M115" s="2">
        <f>+'s1'!AQ116</f>
        <v>0</v>
      </c>
      <c r="N115" s="2">
        <f>+'s1'!AR116</f>
        <v>0</v>
      </c>
      <c r="O115" s="2">
        <f>+'s1'!AS116</f>
        <v>0</v>
      </c>
      <c r="P115" s="2">
        <f>+'s1'!AT116</f>
        <v>0</v>
      </c>
      <c r="Q115" s="2">
        <f>+'s1'!AU116</f>
        <v>0</v>
      </c>
      <c r="R115" s="2">
        <f>+'s1'!AV116</f>
        <v>0</v>
      </c>
      <c r="S115" s="2">
        <f t="shared" si="2"/>
        <v>1404.03</v>
      </c>
      <c r="T115" s="1"/>
    </row>
    <row r="116" spans="1:20" x14ac:dyDescent="0.2">
      <c r="A116" s="18" t="s">
        <v>575</v>
      </c>
      <c r="B116" s="2">
        <f>+'s1'!AF117</f>
        <v>0</v>
      </c>
      <c r="C116" s="2">
        <f>+'s1'!AG117</f>
        <v>0</v>
      </c>
      <c r="D116" s="2">
        <f>+'s1'!AH117</f>
        <v>34953.4</v>
      </c>
      <c r="E116" s="2">
        <f>+'s1'!AI117</f>
        <v>0</v>
      </c>
      <c r="F116" s="2">
        <f>+'s1'!AJ117</f>
        <v>0</v>
      </c>
      <c r="G116" s="2">
        <f>+'s1'!AK117</f>
        <v>0</v>
      </c>
      <c r="H116" s="2">
        <f>+'s1'!AL117</f>
        <v>0</v>
      </c>
      <c r="I116" s="2">
        <f>+'s1'!AM117</f>
        <v>0</v>
      </c>
      <c r="J116" s="2">
        <f>+'s1'!AN117</f>
        <v>0</v>
      </c>
      <c r="K116" s="2">
        <f>+'s1'!AO117</f>
        <v>0</v>
      </c>
      <c r="L116" s="2">
        <f>+'s1'!AP117</f>
        <v>0</v>
      </c>
      <c r="M116" s="2">
        <f>+'s1'!AQ117</f>
        <v>0</v>
      </c>
      <c r="N116" s="2">
        <f>+'s1'!AR117</f>
        <v>0</v>
      </c>
      <c r="O116" s="2">
        <f>+'s1'!AS117</f>
        <v>0</v>
      </c>
      <c r="P116" s="2">
        <f>+'s1'!AT117</f>
        <v>0</v>
      </c>
      <c r="Q116" s="2">
        <f>+'s1'!AU117</f>
        <v>18347.28</v>
      </c>
      <c r="R116" s="2">
        <f>+'s1'!AV117</f>
        <v>0</v>
      </c>
      <c r="S116" s="2">
        <f t="shared" si="2"/>
        <v>53300.68</v>
      </c>
      <c r="T116" s="1"/>
    </row>
    <row r="117" spans="1:20" x14ac:dyDescent="0.2">
      <c r="A117" s="18" t="s">
        <v>738</v>
      </c>
      <c r="B117" s="2">
        <f>+'s1'!AF118</f>
        <v>0</v>
      </c>
      <c r="C117" s="2">
        <f>+'s1'!AG118</f>
        <v>-45813.02</v>
      </c>
      <c r="D117" s="2">
        <f>+'s1'!AH118</f>
        <v>45813.02</v>
      </c>
      <c r="E117" s="2">
        <f>+'s1'!AI118</f>
        <v>0</v>
      </c>
      <c r="F117" s="2">
        <f>+'s1'!AJ118</f>
        <v>0</v>
      </c>
      <c r="G117" s="2">
        <f>+'s1'!AK118</f>
        <v>0</v>
      </c>
      <c r="H117" s="2">
        <f>+'s1'!AL118</f>
        <v>0</v>
      </c>
      <c r="I117" s="2">
        <f>+'s1'!AM118</f>
        <v>0</v>
      </c>
      <c r="J117" s="2">
        <f>+'s1'!AN118</f>
        <v>0</v>
      </c>
      <c r="K117" s="2">
        <f>+'s1'!AO118</f>
        <v>0</v>
      </c>
      <c r="L117" s="2">
        <f>+'s1'!AP118</f>
        <v>0</v>
      </c>
      <c r="M117" s="2">
        <f>+'s1'!AQ118</f>
        <v>0</v>
      </c>
      <c r="N117" s="2">
        <f>+'s1'!AR118</f>
        <v>0</v>
      </c>
      <c r="O117" s="2">
        <f>+'s1'!AS118</f>
        <v>0</v>
      </c>
      <c r="P117" s="2">
        <f>+'s1'!AT118</f>
        <v>0</v>
      </c>
      <c r="Q117" s="2">
        <f>+'s1'!AU118</f>
        <v>0</v>
      </c>
      <c r="R117" s="2">
        <f>+'s1'!AV118</f>
        <v>0</v>
      </c>
      <c r="S117" s="2">
        <f t="shared" si="2"/>
        <v>0</v>
      </c>
      <c r="T117" s="1"/>
    </row>
    <row r="118" spans="1:20" x14ac:dyDescent="0.2">
      <c r="A118" s="18" t="s">
        <v>476</v>
      </c>
      <c r="B118" s="2">
        <f>+'s1'!AF119</f>
        <v>0</v>
      </c>
      <c r="C118" s="2">
        <f>+'s1'!AG119</f>
        <v>0</v>
      </c>
      <c r="D118" s="2">
        <f>+'s1'!AH119</f>
        <v>19.05</v>
      </c>
      <c r="E118" s="2">
        <f>+'s1'!AI119</f>
        <v>0</v>
      </c>
      <c r="F118" s="2">
        <f>+'s1'!AJ119</f>
        <v>0</v>
      </c>
      <c r="G118" s="2">
        <f>+'s1'!AK119</f>
        <v>0</v>
      </c>
      <c r="H118" s="2">
        <f>+'s1'!AL119</f>
        <v>0</v>
      </c>
      <c r="I118" s="2">
        <f>+'s1'!AM119</f>
        <v>0</v>
      </c>
      <c r="J118" s="2">
        <f>+'s1'!AN119</f>
        <v>0</v>
      </c>
      <c r="K118" s="2">
        <f>+'s1'!AO119</f>
        <v>0</v>
      </c>
      <c r="L118" s="2">
        <f>+'s1'!AP119</f>
        <v>0</v>
      </c>
      <c r="M118" s="2">
        <f>+'s1'!AQ119</f>
        <v>0</v>
      </c>
      <c r="N118" s="2">
        <f>+'s1'!AR119</f>
        <v>0</v>
      </c>
      <c r="O118" s="2">
        <f>+'s1'!AS119</f>
        <v>0</v>
      </c>
      <c r="P118" s="2">
        <f>+'s1'!AT119</f>
        <v>0</v>
      </c>
      <c r="Q118" s="2">
        <f>+'s1'!AU119</f>
        <v>0</v>
      </c>
      <c r="R118" s="2">
        <f>+'s1'!AV119</f>
        <v>0</v>
      </c>
      <c r="S118" s="2">
        <f>SUM(B118:R118)</f>
        <v>19.05</v>
      </c>
      <c r="T118" s="1"/>
    </row>
    <row r="119" spans="1:20" x14ac:dyDescent="0.2">
      <c r="A119" s="18" t="s">
        <v>70</v>
      </c>
      <c r="B119" s="2">
        <f>+'s1'!AF120</f>
        <v>0</v>
      </c>
      <c r="C119" s="2">
        <f>+'s1'!AG120</f>
        <v>0</v>
      </c>
      <c r="D119" s="2">
        <f>+'s1'!AH120</f>
        <v>0</v>
      </c>
      <c r="E119" s="2">
        <f>+'s1'!AI120</f>
        <v>0</v>
      </c>
      <c r="F119" s="2">
        <f>+'s1'!AJ120</f>
        <v>0</v>
      </c>
      <c r="G119" s="2">
        <f>+'s1'!AK120</f>
        <v>0</v>
      </c>
      <c r="H119" s="2">
        <f>+'s1'!AL120</f>
        <v>0</v>
      </c>
      <c r="I119" s="2">
        <f>+'s1'!AM120</f>
        <v>0</v>
      </c>
      <c r="J119" s="2">
        <f>+'s1'!AN120</f>
        <v>0</v>
      </c>
      <c r="K119" s="2">
        <f>+'s1'!AO120</f>
        <v>0</v>
      </c>
      <c r="L119" s="2">
        <f>+'s1'!AP120</f>
        <v>0</v>
      </c>
      <c r="M119" s="2">
        <f>+'s1'!AQ120</f>
        <v>0</v>
      </c>
      <c r="N119" s="2">
        <f>+'s1'!AR120</f>
        <v>0</v>
      </c>
      <c r="O119" s="2">
        <f>+'s1'!AS120</f>
        <v>0</v>
      </c>
      <c r="P119" s="2">
        <f>+'s1'!AT120</f>
        <v>0</v>
      </c>
      <c r="Q119" s="2">
        <f>+'s1'!AU120</f>
        <v>12951.2</v>
      </c>
      <c r="R119" s="2">
        <f>+'s1'!AV120</f>
        <v>0</v>
      </c>
      <c r="S119" s="2">
        <f t="shared" si="2"/>
        <v>12951.2</v>
      </c>
      <c r="T119" s="1"/>
    </row>
    <row r="120" spans="1:20" x14ac:dyDescent="0.2">
      <c r="A120" s="1" t="s">
        <v>71</v>
      </c>
      <c r="B120" s="2">
        <f>+'s1'!AF121</f>
        <v>0</v>
      </c>
      <c r="C120" s="2">
        <f>+'s1'!AG121</f>
        <v>13999.72</v>
      </c>
      <c r="D120" s="2">
        <f>+'s1'!AH121</f>
        <v>0</v>
      </c>
      <c r="E120" s="2">
        <f>+'s1'!AI121</f>
        <v>0</v>
      </c>
      <c r="F120" s="2">
        <f>+'s1'!AJ121</f>
        <v>0</v>
      </c>
      <c r="G120" s="2">
        <f>+'s1'!AK121</f>
        <v>58.8</v>
      </c>
      <c r="H120" s="2">
        <f>+'s1'!AL121</f>
        <v>0</v>
      </c>
      <c r="I120" s="2">
        <f>+'s1'!AM121</f>
        <v>0</v>
      </c>
      <c r="J120" s="2">
        <f>+'s1'!AN121</f>
        <v>0</v>
      </c>
      <c r="K120" s="2">
        <f>+'s1'!AO121</f>
        <v>0</v>
      </c>
      <c r="L120" s="2">
        <f>+'s1'!AP121</f>
        <v>0</v>
      </c>
      <c r="M120" s="2">
        <f>+'s1'!AQ121</f>
        <v>5561.1</v>
      </c>
      <c r="N120" s="2">
        <f>+'s1'!AR121</f>
        <v>0</v>
      </c>
      <c r="O120" s="2">
        <f>+'s1'!AS121</f>
        <v>0</v>
      </c>
      <c r="P120" s="2">
        <f>+'s1'!AT121</f>
        <v>0</v>
      </c>
      <c r="Q120" s="2">
        <f>+'s1'!AU121</f>
        <v>0</v>
      </c>
      <c r="R120" s="2">
        <f>+'s1'!AV121</f>
        <v>0</v>
      </c>
      <c r="S120" s="2">
        <f t="shared" si="2"/>
        <v>19619.62</v>
      </c>
      <c r="T120" s="1"/>
    </row>
    <row r="121" spans="1:20" x14ac:dyDescent="0.2">
      <c r="A121" s="1" t="s">
        <v>361</v>
      </c>
      <c r="B121" s="2">
        <f>+'s1'!AF122</f>
        <v>0</v>
      </c>
      <c r="C121" s="2">
        <f>+'s1'!AG122</f>
        <v>0</v>
      </c>
      <c r="D121" s="2">
        <f>+'s1'!AH122</f>
        <v>13833.02</v>
      </c>
      <c r="E121" s="2">
        <f>+'s1'!AI122</f>
        <v>0</v>
      </c>
      <c r="F121" s="2">
        <f>+'s1'!AJ122</f>
        <v>0</v>
      </c>
      <c r="G121" s="2">
        <f>+'s1'!AK122</f>
        <v>0</v>
      </c>
      <c r="H121" s="2">
        <f>+'s1'!AL122</f>
        <v>0</v>
      </c>
      <c r="I121" s="2">
        <f>+'s1'!AM122</f>
        <v>0</v>
      </c>
      <c r="J121" s="2">
        <f>+'s1'!AN122</f>
        <v>0</v>
      </c>
      <c r="K121" s="2">
        <f>+'s1'!AO122</f>
        <v>0</v>
      </c>
      <c r="L121" s="2">
        <f>+'s1'!AP122</f>
        <v>0</v>
      </c>
      <c r="M121" s="2">
        <f>+'s1'!AQ122</f>
        <v>0</v>
      </c>
      <c r="N121" s="2">
        <f>+'s1'!AR122</f>
        <v>0</v>
      </c>
      <c r="O121" s="2">
        <f>+'s1'!AS122</f>
        <v>0</v>
      </c>
      <c r="P121" s="2">
        <f>+'s1'!AT122</f>
        <v>0</v>
      </c>
      <c r="Q121" s="2">
        <f>+'s1'!AU122</f>
        <v>0</v>
      </c>
      <c r="R121" s="2">
        <f>+'s1'!AV122</f>
        <v>0</v>
      </c>
      <c r="S121" s="2">
        <f t="shared" si="2"/>
        <v>13833.02</v>
      </c>
      <c r="T121" s="1"/>
    </row>
    <row r="122" spans="1:20" ht="27.75" customHeight="1" thickBot="1" x14ac:dyDescent="0.25">
      <c r="A122" s="21" t="s">
        <v>12</v>
      </c>
      <c r="B122" s="36">
        <f t="shared" ref="B122:S122" si="3">SUM(B11:B121)</f>
        <v>276243.02</v>
      </c>
      <c r="C122" s="36">
        <f t="shared" si="3"/>
        <v>32200.15</v>
      </c>
      <c r="D122" s="36">
        <f t="shared" si="3"/>
        <v>5556864.8099999996</v>
      </c>
      <c r="E122" s="36">
        <f t="shared" si="3"/>
        <v>83810.23</v>
      </c>
      <c r="F122" s="36">
        <f t="shared" si="3"/>
        <v>96269.41</v>
      </c>
      <c r="G122" s="36">
        <f t="shared" si="3"/>
        <v>821.43</v>
      </c>
      <c r="H122" s="36">
        <f t="shared" si="3"/>
        <v>3602.44</v>
      </c>
      <c r="I122" s="36">
        <f t="shared" si="3"/>
        <v>95007.8</v>
      </c>
      <c r="J122" s="36">
        <f t="shared" si="3"/>
        <v>30850.67</v>
      </c>
      <c r="K122" s="36">
        <f t="shared" si="3"/>
        <v>6873.57</v>
      </c>
      <c r="L122" s="36">
        <f t="shared" si="3"/>
        <v>146980.97</v>
      </c>
      <c r="M122" s="36">
        <f t="shared" si="3"/>
        <v>27472.81</v>
      </c>
      <c r="N122" s="36">
        <f t="shared" si="3"/>
        <v>80402.5</v>
      </c>
      <c r="O122" s="36">
        <f t="shared" si="3"/>
        <v>20984.639999999999</v>
      </c>
      <c r="P122" s="36">
        <f t="shared" si="3"/>
        <v>1005.45</v>
      </c>
      <c r="Q122" s="36">
        <f t="shared" si="3"/>
        <v>1406550.93</v>
      </c>
      <c r="R122" s="36">
        <f t="shared" si="3"/>
        <v>43774.99</v>
      </c>
      <c r="S122" s="36">
        <f t="shared" si="3"/>
        <v>7909715.8200000003</v>
      </c>
      <c r="T122" s="9">
        <f>SUM(B122:R122)</f>
        <v>7909715.8200000003</v>
      </c>
    </row>
    <row r="123" spans="1:20" hidden="1" x14ac:dyDescent="0.2">
      <c r="D123" t="s">
        <v>82</v>
      </c>
    </row>
    <row r="124" spans="1:20" hidden="1" x14ac:dyDescent="0.2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7"/>
    </row>
    <row r="125" spans="1:20" hidden="1" x14ac:dyDescent="0.2">
      <c r="A125" s="1" t="s">
        <v>497</v>
      </c>
      <c r="B125" s="2">
        <f>CAG+_CAG1</f>
        <v>306936.69</v>
      </c>
      <c r="C125" s="2">
        <f>CHG+_CHG1</f>
        <v>35777.94</v>
      </c>
      <c r="D125" s="2">
        <f>CLG+_CLG1</f>
        <v>6174294.25</v>
      </c>
      <c r="E125" s="2">
        <f>DOG+_DOG1</f>
        <v>104762.79</v>
      </c>
      <c r="F125" s="2">
        <f>ELG+_ELG1</f>
        <v>120336.74</v>
      </c>
      <c r="G125" s="2">
        <f>ESG+_ESG1</f>
        <v>1026.79</v>
      </c>
      <c r="H125" s="2">
        <f>EUG+_EUG1</f>
        <v>4503.0600000000004</v>
      </c>
      <c r="I125" s="2">
        <f>HUG+_HUG1</f>
        <v>105564.23</v>
      </c>
      <c r="J125" s="2">
        <f>LAG+_LAG1</f>
        <v>34456.300000000003</v>
      </c>
      <c r="K125" s="2">
        <f>LIG+_LIG1</f>
        <v>8591.9599999999991</v>
      </c>
      <c r="L125" s="2">
        <f>LYG+_LYG1</f>
        <v>163312.20000000001</v>
      </c>
      <c r="M125" s="2">
        <f>MIG+_MIG1</f>
        <v>30525.360000000001</v>
      </c>
      <c r="N125" s="2">
        <f>NYG+_NYG1</f>
        <v>100503.11</v>
      </c>
      <c r="O125" s="2">
        <f>PEG+_PEG1</f>
        <v>23316.27</v>
      </c>
      <c r="P125" s="2">
        <f>STG+_STG1</f>
        <v>1256.81</v>
      </c>
      <c r="Q125" s="2">
        <f>WAG+_WAG1+'s1'!I126</f>
        <v>1628512.48</v>
      </c>
      <c r="R125" s="2">
        <f>WHG+_WHG1</f>
        <v>48638.89</v>
      </c>
      <c r="S125" s="2">
        <f>COUNTYOPTION+COUNTY1+'s1'!I126</f>
        <v>8892315.8699999992</v>
      </c>
    </row>
    <row r="126" spans="1:20" hidden="1" x14ac:dyDescent="0.2"/>
    <row r="127" spans="1:20" hidden="1" x14ac:dyDescent="0.2">
      <c r="A127" s="1"/>
      <c r="B127" s="2">
        <v>306936.69</v>
      </c>
      <c r="C127" s="2">
        <v>35777.94</v>
      </c>
      <c r="D127" s="2">
        <v>6174294.25</v>
      </c>
      <c r="E127" s="2">
        <v>104762.79</v>
      </c>
      <c r="F127" s="2">
        <v>120336.74</v>
      </c>
      <c r="G127" s="2">
        <v>1026.79</v>
      </c>
      <c r="H127" s="2">
        <v>4503.0600000000004</v>
      </c>
      <c r="I127" s="2">
        <v>105564.23</v>
      </c>
      <c r="J127" s="2">
        <v>34456.300000000003</v>
      </c>
      <c r="K127" s="2">
        <v>8591.9599999999991</v>
      </c>
      <c r="L127" s="2">
        <v>163312.20000000001</v>
      </c>
      <c r="M127" s="2">
        <v>30525.360000000001</v>
      </c>
      <c r="N127" s="2">
        <v>100503.11</v>
      </c>
      <c r="O127" s="2">
        <v>23316.27</v>
      </c>
      <c r="P127" s="2">
        <v>1256.81</v>
      </c>
      <c r="Q127" s="2">
        <f>1562834.36+65678.12</f>
        <v>1628512.48</v>
      </c>
      <c r="R127" s="2">
        <v>48638.89</v>
      </c>
      <c r="S127" s="2">
        <v>8892315.8699999992</v>
      </c>
    </row>
    <row r="128" spans="1:20" hidden="1" x14ac:dyDescent="0.2"/>
    <row r="129" spans="2:19" hidden="1" x14ac:dyDescent="0.2">
      <c r="B129" s="11">
        <f>B125-B127</f>
        <v>0</v>
      </c>
      <c r="C129" s="11">
        <f t="shared" ref="C129:S129" si="4">C125-C127</f>
        <v>0</v>
      </c>
      <c r="D129" s="11">
        <f t="shared" si="4"/>
        <v>0</v>
      </c>
      <c r="E129" s="11">
        <f t="shared" si="4"/>
        <v>0</v>
      </c>
      <c r="F129" s="11">
        <f t="shared" si="4"/>
        <v>0</v>
      </c>
      <c r="G129" s="11">
        <f t="shared" si="4"/>
        <v>0</v>
      </c>
      <c r="H129" s="11">
        <f t="shared" si="4"/>
        <v>0</v>
      </c>
      <c r="I129" s="11">
        <f t="shared" si="4"/>
        <v>0</v>
      </c>
      <c r="J129" s="11">
        <f t="shared" si="4"/>
        <v>0</v>
      </c>
      <c r="K129" s="11">
        <f t="shared" si="4"/>
        <v>0</v>
      </c>
      <c r="L129" s="11">
        <f t="shared" si="4"/>
        <v>0</v>
      </c>
      <c r="M129" s="11">
        <f t="shared" si="4"/>
        <v>0</v>
      </c>
      <c r="N129" s="11">
        <f t="shared" si="4"/>
        <v>0</v>
      </c>
      <c r="O129" s="11">
        <f t="shared" si="4"/>
        <v>0</v>
      </c>
      <c r="P129" s="11">
        <f t="shared" si="4"/>
        <v>0</v>
      </c>
      <c r="Q129" s="11">
        <f t="shared" si="4"/>
        <v>0</v>
      </c>
      <c r="R129" s="11">
        <f t="shared" si="4"/>
        <v>0</v>
      </c>
      <c r="S129" s="11">
        <f t="shared" si="4"/>
        <v>0</v>
      </c>
    </row>
    <row r="130" spans="2:19" hidden="1" x14ac:dyDescent="0.2"/>
    <row r="131" spans="2:19" hidden="1" x14ac:dyDescent="0.2"/>
    <row r="132" spans="2:19" hidden="1" x14ac:dyDescent="0.2"/>
    <row r="133" spans="2:19" hidden="1" x14ac:dyDescent="0.2"/>
    <row r="134" spans="2:19" hidden="1" x14ac:dyDescent="0.2"/>
    <row r="135" spans="2:19" hidden="1" x14ac:dyDescent="0.2"/>
    <row r="136" spans="2:19" hidden="1" x14ac:dyDescent="0.2"/>
    <row r="137" spans="2:19" hidden="1" x14ac:dyDescent="0.2"/>
    <row r="138" spans="2:19" hidden="1" x14ac:dyDescent="0.2"/>
    <row r="139" spans="2:19" hidden="1" x14ac:dyDescent="0.2"/>
    <row r="140" spans="2:19" hidden="1" x14ac:dyDescent="0.2"/>
    <row r="141" spans="2:19" hidden="1" x14ac:dyDescent="0.2"/>
    <row r="142" spans="2:19" hidden="1" x14ac:dyDescent="0.2"/>
    <row r="143" spans="2:19" hidden="1" x14ac:dyDescent="0.2"/>
    <row r="144" spans="2:19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hidden="1" x14ac:dyDescent="0.2"/>
    <row r="226" hidden="1" x14ac:dyDescent="0.2"/>
    <row r="227" hidden="1" x14ac:dyDescent="0.2"/>
    <row r="228" hidden="1" x14ac:dyDescent="0.2"/>
    <row r="229" hidden="1" x14ac:dyDescent="0.2"/>
    <row r="230" hidden="1" x14ac:dyDescent="0.2"/>
    <row r="231" hidden="1" x14ac:dyDescent="0.2"/>
    <row r="232" hidden="1" x14ac:dyDescent="0.2"/>
    <row r="233" hidden="1" x14ac:dyDescent="0.2"/>
    <row r="234" hidden="1" x14ac:dyDescent="0.2"/>
    <row r="235" hidden="1" x14ac:dyDescent="0.2"/>
    <row r="236" hidden="1" x14ac:dyDescent="0.2"/>
    <row r="237" hidden="1" x14ac:dyDescent="0.2"/>
    <row r="238" hidden="1" x14ac:dyDescent="0.2"/>
    <row r="239" hidden="1" x14ac:dyDescent="0.2"/>
    <row r="240" hidden="1" x14ac:dyDescent="0.2"/>
    <row r="241" hidden="1" x14ac:dyDescent="0.2"/>
    <row r="242" hidden="1" x14ac:dyDescent="0.2"/>
    <row r="243" hidden="1" x14ac:dyDescent="0.2"/>
    <row r="244" hidden="1" x14ac:dyDescent="0.2"/>
    <row r="245" hidden="1" x14ac:dyDescent="0.2"/>
    <row r="246" hidden="1" x14ac:dyDescent="0.2"/>
    <row r="247" hidden="1" x14ac:dyDescent="0.2"/>
    <row r="248" hidden="1" x14ac:dyDescent="0.2"/>
    <row r="249" hidden="1" x14ac:dyDescent="0.2"/>
    <row r="250" hidden="1" x14ac:dyDescent="0.2"/>
    <row r="251" hidden="1" x14ac:dyDescent="0.2"/>
    <row r="252" hidden="1" x14ac:dyDescent="0.2"/>
    <row r="253" hidden="1" x14ac:dyDescent="0.2"/>
    <row r="254" hidden="1" x14ac:dyDescent="0.2"/>
    <row r="255" hidden="1" x14ac:dyDescent="0.2"/>
    <row r="256" hidden="1" x14ac:dyDescent="0.2"/>
    <row r="257" hidden="1" x14ac:dyDescent="0.2"/>
    <row r="258" hidden="1" x14ac:dyDescent="0.2"/>
    <row r="259" hidden="1" x14ac:dyDescent="0.2"/>
    <row r="260" hidden="1" x14ac:dyDescent="0.2"/>
    <row r="261" hidden="1" x14ac:dyDescent="0.2"/>
    <row r="262" hidden="1" x14ac:dyDescent="0.2"/>
    <row r="263" hidden="1" x14ac:dyDescent="0.2"/>
    <row r="264" hidden="1" x14ac:dyDescent="0.2"/>
    <row r="265" hidden="1" x14ac:dyDescent="0.2"/>
    <row r="266" hidden="1" x14ac:dyDescent="0.2"/>
    <row r="267" hidden="1" x14ac:dyDescent="0.2"/>
    <row r="268" hidden="1" x14ac:dyDescent="0.2"/>
    <row r="269" hidden="1" x14ac:dyDescent="0.2"/>
    <row r="270" hidden="1" x14ac:dyDescent="0.2"/>
    <row r="271" hidden="1" x14ac:dyDescent="0.2"/>
    <row r="272" hidden="1" x14ac:dyDescent="0.2"/>
    <row r="273" hidden="1" x14ac:dyDescent="0.2"/>
    <row r="274" hidden="1" x14ac:dyDescent="0.2"/>
    <row r="275" hidden="1" x14ac:dyDescent="0.2"/>
    <row r="276" hidden="1" x14ac:dyDescent="0.2"/>
    <row r="277" hidden="1" x14ac:dyDescent="0.2"/>
    <row r="278" hidden="1" x14ac:dyDescent="0.2"/>
    <row r="279" hidden="1" x14ac:dyDescent="0.2"/>
    <row r="280" hidden="1" x14ac:dyDescent="0.2"/>
    <row r="281" hidden="1" x14ac:dyDescent="0.2"/>
    <row r="282" hidden="1" x14ac:dyDescent="0.2"/>
    <row r="283" hidden="1" x14ac:dyDescent="0.2"/>
    <row r="284" hidden="1" x14ac:dyDescent="0.2"/>
    <row r="285" hidden="1" x14ac:dyDescent="0.2"/>
    <row r="286" hidden="1" x14ac:dyDescent="0.2"/>
    <row r="287" hidden="1" x14ac:dyDescent="0.2"/>
    <row r="288" hidden="1" x14ac:dyDescent="0.2"/>
    <row r="289" hidden="1" x14ac:dyDescent="0.2"/>
    <row r="290" hidden="1" x14ac:dyDescent="0.2"/>
    <row r="291" hidden="1" x14ac:dyDescent="0.2"/>
    <row r="292" hidden="1" x14ac:dyDescent="0.2"/>
    <row r="293" hidden="1" x14ac:dyDescent="0.2"/>
    <row r="294" hidden="1" x14ac:dyDescent="0.2"/>
    <row r="295" hidden="1" x14ac:dyDescent="0.2"/>
    <row r="296" hidden="1" x14ac:dyDescent="0.2"/>
    <row r="297" hidden="1" x14ac:dyDescent="0.2"/>
    <row r="298" hidden="1" x14ac:dyDescent="0.2"/>
    <row r="299" hidden="1" x14ac:dyDescent="0.2"/>
    <row r="300" hidden="1" x14ac:dyDescent="0.2"/>
    <row r="301" hidden="1" x14ac:dyDescent="0.2"/>
    <row r="302" hidden="1" x14ac:dyDescent="0.2"/>
    <row r="303" hidden="1" x14ac:dyDescent="0.2"/>
    <row r="304" hidden="1" x14ac:dyDescent="0.2"/>
    <row r="305" hidden="1" x14ac:dyDescent="0.2"/>
    <row r="306" hidden="1" x14ac:dyDescent="0.2"/>
    <row r="307" hidden="1" x14ac:dyDescent="0.2"/>
    <row r="308" hidden="1" x14ac:dyDescent="0.2"/>
    <row r="309" hidden="1" x14ac:dyDescent="0.2"/>
    <row r="310" hidden="1" x14ac:dyDescent="0.2"/>
    <row r="311" hidden="1" x14ac:dyDescent="0.2"/>
    <row r="312" hidden="1" x14ac:dyDescent="0.2"/>
    <row r="313" hidden="1" x14ac:dyDescent="0.2"/>
    <row r="314" hidden="1" x14ac:dyDescent="0.2"/>
    <row r="315" hidden="1" x14ac:dyDescent="0.2"/>
    <row r="316" hidden="1" x14ac:dyDescent="0.2"/>
    <row r="317" hidden="1" x14ac:dyDescent="0.2"/>
    <row r="318" hidden="1" x14ac:dyDescent="0.2"/>
    <row r="319" hidden="1" x14ac:dyDescent="0.2"/>
    <row r="320" hidden="1" x14ac:dyDescent="0.2"/>
    <row r="321" hidden="1" x14ac:dyDescent="0.2"/>
    <row r="322" hidden="1" x14ac:dyDescent="0.2"/>
    <row r="323" hidden="1" x14ac:dyDescent="0.2"/>
    <row r="324" hidden="1" x14ac:dyDescent="0.2"/>
    <row r="325" hidden="1" x14ac:dyDescent="0.2"/>
    <row r="326" hidden="1" x14ac:dyDescent="0.2"/>
    <row r="327" hidden="1" x14ac:dyDescent="0.2"/>
    <row r="328" hidden="1" x14ac:dyDescent="0.2"/>
    <row r="329" hidden="1" x14ac:dyDescent="0.2"/>
    <row r="330" hidden="1" x14ac:dyDescent="0.2"/>
    <row r="331" hidden="1" x14ac:dyDescent="0.2"/>
    <row r="332" hidden="1" x14ac:dyDescent="0.2"/>
    <row r="333" hidden="1" x14ac:dyDescent="0.2"/>
    <row r="334" hidden="1" x14ac:dyDescent="0.2"/>
    <row r="335" hidden="1" x14ac:dyDescent="0.2"/>
    <row r="336" hidden="1" x14ac:dyDescent="0.2"/>
    <row r="337" hidden="1" x14ac:dyDescent="0.2"/>
    <row r="338" hidden="1" x14ac:dyDescent="0.2"/>
    <row r="339" hidden="1" x14ac:dyDescent="0.2"/>
    <row r="340" hidden="1" x14ac:dyDescent="0.2"/>
    <row r="341" hidden="1" x14ac:dyDescent="0.2"/>
    <row r="342" hidden="1" x14ac:dyDescent="0.2"/>
    <row r="343" hidden="1" x14ac:dyDescent="0.2"/>
    <row r="344" hidden="1" x14ac:dyDescent="0.2"/>
    <row r="345" hidden="1" x14ac:dyDescent="0.2"/>
    <row r="346" hidden="1" x14ac:dyDescent="0.2"/>
    <row r="347" hidden="1" x14ac:dyDescent="0.2"/>
    <row r="348" hidden="1" x14ac:dyDescent="0.2"/>
    <row r="349" hidden="1" x14ac:dyDescent="0.2"/>
    <row r="350" hidden="1" x14ac:dyDescent="0.2"/>
    <row r="351" hidden="1" x14ac:dyDescent="0.2"/>
    <row r="352" hidden="1" x14ac:dyDescent="0.2"/>
    <row r="353" hidden="1" x14ac:dyDescent="0.2"/>
    <row r="354" hidden="1" x14ac:dyDescent="0.2"/>
    <row r="355" hidden="1" x14ac:dyDescent="0.2"/>
    <row r="356" hidden="1" x14ac:dyDescent="0.2"/>
    <row r="357" hidden="1" x14ac:dyDescent="0.2"/>
    <row r="358" hidden="1" x14ac:dyDescent="0.2"/>
    <row r="359" hidden="1" x14ac:dyDescent="0.2"/>
    <row r="360" hidden="1" x14ac:dyDescent="0.2"/>
    <row r="361" hidden="1" x14ac:dyDescent="0.2"/>
    <row r="362" hidden="1" x14ac:dyDescent="0.2"/>
    <row r="363" hidden="1" x14ac:dyDescent="0.2"/>
    <row r="364" hidden="1" x14ac:dyDescent="0.2"/>
    <row r="365" hidden="1" x14ac:dyDescent="0.2"/>
    <row r="366" hidden="1" x14ac:dyDescent="0.2"/>
    <row r="367" hidden="1" x14ac:dyDescent="0.2"/>
    <row r="368" hidden="1" x14ac:dyDescent="0.2"/>
    <row r="369" hidden="1" x14ac:dyDescent="0.2"/>
    <row r="370" hidden="1" x14ac:dyDescent="0.2"/>
    <row r="371" hidden="1" x14ac:dyDescent="0.2"/>
    <row r="372" hidden="1" x14ac:dyDescent="0.2"/>
    <row r="373" hidden="1" x14ac:dyDescent="0.2"/>
    <row r="374" hidden="1" x14ac:dyDescent="0.2"/>
    <row r="375" hidden="1" x14ac:dyDescent="0.2"/>
    <row r="376" hidden="1" x14ac:dyDescent="0.2"/>
    <row r="377" hidden="1" x14ac:dyDescent="0.2"/>
    <row r="378" hidden="1" x14ac:dyDescent="0.2"/>
    <row r="379" hidden="1" x14ac:dyDescent="0.2"/>
    <row r="380" hidden="1" x14ac:dyDescent="0.2"/>
    <row r="381" hidden="1" x14ac:dyDescent="0.2"/>
    <row r="382" hidden="1" x14ac:dyDescent="0.2"/>
    <row r="383" hidden="1" x14ac:dyDescent="0.2"/>
    <row r="384" hidden="1" x14ac:dyDescent="0.2"/>
    <row r="385" hidden="1" x14ac:dyDescent="0.2"/>
    <row r="386" hidden="1" x14ac:dyDescent="0.2"/>
    <row r="387" hidden="1" x14ac:dyDescent="0.2"/>
    <row r="388" hidden="1" x14ac:dyDescent="0.2"/>
    <row r="389" hidden="1" x14ac:dyDescent="0.2"/>
    <row r="390" hidden="1" x14ac:dyDescent="0.2"/>
    <row r="391" hidden="1" x14ac:dyDescent="0.2"/>
    <row r="392" hidden="1" x14ac:dyDescent="0.2"/>
    <row r="393" hidden="1" x14ac:dyDescent="0.2"/>
    <row r="394" hidden="1" x14ac:dyDescent="0.2"/>
    <row r="395" hidden="1" x14ac:dyDescent="0.2"/>
    <row r="396" hidden="1" x14ac:dyDescent="0.2"/>
    <row r="397" hidden="1" x14ac:dyDescent="0.2"/>
    <row r="398" hidden="1" x14ac:dyDescent="0.2"/>
    <row r="399" hidden="1" x14ac:dyDescent="0.2"/>
    <row r="400" hidden="1" x14ac:dyDescent="0.2"/>
    <row r="401" hidden="1" x14ac:dyDescent="0.2"/>
    <row r="402" hidden="1" x14ac:dyDescent="0.2"/>
    <row r="403" hidden="1" x14ac:dyDescent="0.2"/>
    <row r="404" hidden="1" x14ac:dyDescent="0.2"/>
    <row r="405" hidden="1" x14ac:dyDescent="0.2"/>
    <row r="406" hidden="1" x14ac:dyDescent="0.2"/>
    <row r="407" hidden="1" x14ac:dyDescent="0.2"/>
    <row r="408" hidden="1" x14ac:dyDescent="0.2"/>
    <row r="409" hidden="1" x14ac:dyDescent="0.2"/>
    <row r="410" hidden="1" x14ac:dyDescent="0.2"/>
    <row r="411" hidden="1" x14ac:dyDescent="0.2"/>
    <row r="412" hidden="1" x14ac:dyDescent="0.2"/>
    <row r="413" hidden="1" x14ac:dyDescent="0.2"/>
    <row r="414" hidden="1" x14ac:dyDescent="0.2"/>
    <row r="415" hidden="1" x14ac:dyDescent="0.2"/>
    <row r="416" hidden="1" x14ac:dyDescent="0.2"/>
    <row r="417" hidden="1" x14ac:dyDescent="0.2"/>
    <row r="418" hidden="1" x14ac:dyDescent="0.2"/>
    <row r="419" hidden="1" x14ac:dyDescent="0.2"/>
    <row r="420" hidden="1" x14ac:dyDescent="0.2"/>
    <row r="421" hidden="1" x14ac:dyDescent="0.2"/>
    <row r="422" hidden="1" x14ac:dyDescent="0.2"/>
    <row r="423" hidden="1" x14ac:dyDescent="0.2"/>
    <row r="424" hidden="1" x14ac:dyDescent="0.2"/>
    <row r="425" hidden="1" x14ac:dyDescent="0.2"/>
    <row r="426" hidden="1" x14ac:dyDescent="0.2"/>
    <row r="427" hidden="1" x14ac:dyDescent="0.2"/>
    <row r="428" hidden="1" x14ac:dyDescent="0.2"/>
    <row r="429" hidden="1" x14ac:dyDescent="0.2"/>
    <row r="430" hidden="1" x14ac:dyDescent="0.2"/>
    <row r="431" hidden="1" x14ac:dyDescent="0.2"/>
    <row r="432" hidden="1" x14ac:dyDescent="0.2"/>
    <row r="433" hidden="1" x14ac:dyDescent="0.2"/>
    <row r="434" hidden="1" x14ac:dyDescent="0.2"/>
    <row r="435" hidden="1" x14ac:dyDescent="0.2"/>
    <row r="436" hidden="1" x14ac:dyDescent="0.2"/>
    <row r="437" hidden="1" x14ac:dyDescent="0.2"/>
    <row r="438" hidden="1" x14ac:dyDescent="0.2"/>
    <row r="439" hidden="1" x14ac:dyDescent="0.2"/>
    <row r="440" hidden="1" x14ac:dyDescent="0.2"/>
    <row r="441" hidden="1" x14ac:dyDescent="0.2"/>
    <row r="442" hidden="1" x14ac:dyDescent="0.2"/>
    <row r="443" hidden="1" x14ac:dyDescent="0.2"/>
    <row r="444" hidden="1" x14ac:dyDescent="0.2"/>
    <row r="445" hidden="1" x14ac:dyDescent="0.2"/>
    <row r="446" hidden="1" x14ac:dyDescent="0.2"/>
  </sheetData>
  <phoneticPr fontId="0" type="noConversion"/>
  <printOptions horizontalCentered="1"/>
  <pageMargins left="0.2" right="0.2" top="0.5" bottom="0.5" header="0.25" footer="0.25"/>
  <pageSetup scale="55" fitToHeight="3" orientation="landscape" r:id="rId1"/>
  <headerFooter alignWithMargins="0"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33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A9" sqref="A9"/>
    </sheetView>
  </sheetViews>
  <sheetFormatPr defaultRowHeight="12.75" x14ac:dyDescent="0.2"/>
  <cols>
    <col min="1" max="1" width="27.85546875" customWidth="1"/>
    <col min="2" max="2" width="13.42578125" customWidth="1"/>
    <col min="3" max="3" width="12.140625" customWidth="1"/>
    <col min="4" max="4" width="12.5703125" customWidth="1"/>
    <col min="5" max="5" width="10.42578125" customWidth="1"/>
    <col min="6" max="6" width="10.5703125" customWidth="1"/>
    <col min="7" max="7" width="13.85546875" customWidth="1"/>
    <col min="8" max="8" width="10.28515625" customWidth="1"/>
    <col min="9" max="9" width="12.140625" customWidth="1"/>
    <col min="10" max="10" width="9.85546875" customWidth="1"/>
    <col min="11" max="11" width="10.140625" customWidth="1"/>
    <col min="12" max="12" width="10.28515625" customWidth="1"/>
    <col min="13" max="13" width="10.5703125" customWidth="1"/>
    <col min="14" max="14" width="9.7109375" customWidth="1"/>
    <col min="15" max="15" width="11.140625" customWidth="1"/>
    <col min="16" max="16" width="10" customWidth="1"/>
    <col min="17" max="17" width="11.28515625" customWidth="1"/>
    <col min="18" max="18" width="11.7109375" customWidth="1"/>
    <col min="19" max="19" width="13.7109375" customWidth="1"/>
    <col min="20" max="20" width="11" hidden="1" customWidth="1"/>
  </cols>
  <sheetData>
    <row r="1" spans="1:20" ht="15.75" x14ac:dyDescent="0.25">
      <c r="A1" s="63" t="s">
        <v>99</v>
      </c>
      <c r="B1" s="1"/>
      <c r="C1" s="1"/>
      <c r="D1" s="1"/>
      <c r="E1" s="1"/>
      <c r="F1" s="62"/>
      <c r="I1" s="62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5">
      <c r="A2" s="115" t="str">
        <f>ReportMonth</f>
        <v>MAY 2004</v>
      </c>
      <c r="B2" s="1"/>
      <c r="C2" s="1"/>
      <c r="D2" s="1"/>
      <c r="E2" s="1"/>
      <c r="F2" s="62"/>
      <c r="I2" s="62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5" x14ac:dyDescent="0.2">
      <c r="A3" s="86" t="s">
        <v>3</v>
      </c>
      <c r="B3" s="42"/>
      <c r="C3" s="42"/>
      <c r="D3" s="42"/>
      <c r="E3" s="42"/>
      <c r="F3" s="86"/>
      <c r="G3" s="43"/>
      <c r="H3" s="86"/>
      <c r="I3" s="86"/>
      <c r="J3" s="42"/>
      <c r="K3" s="42"/>
      <c r="L3" s="42"/>
      <c r="M3" s="42"/>
      <c r="N3" s="42"/>
      <c r="O3" s="42"/>
      <c r="P3" s="42"/>
      <c r="Q3" s="42"/>
      <c r="R3" s="42"/>
      <c r="S3" s="42"/>
      <c r="T3" s="1"/>
    </row>
    <row r="4" spans="1:20" ht="15" x14ac:dyDescent="0.2">
      <c r="A4" s="86" t="s">
        <v>442</v>
      </c>
      <c r="B4" s="42"/>
      <c r="C4" s="42"/>
      <c r="D4" s="42"/>
      <c r="E4" s="42"/>
      <c r="F4" s="86"/>
      <c r="G4" s="43"/>
      <c r="H4" s="86"/>
      <c r="I4" s="86"/>
      <c r="J4" s="42"/>
      <c r="K4" s="42"/>
      <c r="L4" s="42"/>
      <c r="M4" s="42"/>
      <c r="N4" s="42"/>
      <c r="O4" s="42"/>
      <c r="P4" s="42"/>
      <c r="Q4" s="42"/>
      <c r="R4" s="42"/>
      <c r="S4" s="42"/>
      <c r="T4" s="1"/>
    </row>
    <row r="5" spans="1:20" ht="15" x14ac:dyDescent="0.2">
      <c r="A5" s="86" t="s">
        <v>87</v>
      </c>
      <c r="B5" s="42"/>
      <c r="C5" s="42"/>
      <c r="D5" s="42"/>
      <c r="E5" s="42"/>
      <c r="F5" s="43"/>
      <c r="G5" s="86"/>
      <c r="H5" s="86"/>
      <c r="I5" s="86"/>
      <c r="J5" s="42"/>
      <c r="K5" s="42"/>
      <c r="L5" s="42"/>
      <c r="M5" s="42"/>
      <c r="N5" s="42"/>
      <c r="O5" s="42"/>
      <c r="P5" s="42"/>
      <c r="Q5" s="42"/>
      <c r="R5" s="42"/>
      <c r="S5" s="42"/>
      <c r="T5" s="1"/>
    </row>
    <row r="6" spans="1:20" x14ac:dyDescent="0.2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</row>
    <row r="7" spans="1:20" ht="19.5" customHeight="1" x14ac:dyDescent="0.25">
      <c r="A7" s="116" t="s">
        <v>100</v>
      </c>
      <c r="B7" s="42"/>
      <c r="C7" s="42"/>
      <c r="D7" s="42"/>
      <c r="E7" s="42"/>
      <c r="F7" s="43"/>
      <c r="G7" s="42"/>
      <c r="H7" s="43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1"/>
    </row>
    <row r="9" spans="1:20" x14ac:dyDescent="0.2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6"/>
      <c r="S9" s="5"/>
      <c r="T9" s="1"/>
    </row>
    <row r="10" spans="1:20" x14ac:dyDescent="0.2">
      <c r="A10" s="1"/>
      <c r="B10" s="90" t="s">
        <v>21</v>
      </c>
      <c r="C10" s="39" t="s">
        <v>22</v>
      </c>
      <c r="D10" s="39" t="s">
        <v>23</v>
      </c>
      <c r="E10" s="39" t="s">
        <v>24</v>
      </c>
      <c r="F10" s="39" t="s">
        <v>25</v>
      </c>
      <c r="G10" s="39" t="s">
        <v>26</v>
      </c>
      <c r="H10" s="39" t="s">
        <v>27</v>
      </c>
      <c r="I10" s="39" t="s">
        <v>28</v>
      </c>
      <c r="J10" s="39" t="s">
        <v>29</v>
      </c>
      <c r="K10" s="39" t="s">
        <v>30</v>
      </c>
      <c r="L10" s="39" t="s">
        <v>31</v>
      </c>
      <c r="M10" s="39" t="s">
        <v>32</v>
      </c>
      <c r="N10" s="39" t="s">
        <v>33</v>
      </c>
      <c r="O10" s="39" t="s">
        <v>34</v>
      </c>
      <c r="P10" s="39" t="s">
        <v>35</v>
      </c>
      <c r="Q10" s="39" t="s">
        <v>36</v>
      </c>
      <c r="R10" s="90" t="s">
        <v>37</v>
      </c>
      <c r="S10" s="107" t="s">
        <v>12</v>
      </c>
      <c r="T10" s="1"/>
    </row>
    <row r="11" spans="1:20" x14ac:dyDescent="0.2">
      <c r="A11" s="108" t="s">
        <v>13</v>
      </c>
      <c r="B11" s="38" t="s">
        <v>19</v>
      </c>
      <c r="C11" s="38" t="s">
        <v>19</v>
      </c>
      <c r="D11" s="38" t="s">
        <v>19</v>
      </c>
      <c r="E11" s="38" t="s">
        <v>19</v>
      </c>
      <c r="F11" s="38" t="s">
        <v>19</v>
      </c>
      <c r="G11" s="38" t="s">
        <v>19</v>
      </c>
      <c r="H11" s="38" t="s">
        <v>19</v>
      </c>
      <c r="I11" s="38" t="s">
        <v>19</v>
      </c>
      <c r="J11" s="38" t="s">
        <v>19</v>
      </c>
      <c r="K11" s="38" t="s">
        <v>19</v>
      </c>
      <c r="L11" s="38" t="s">
        <v>19</v>
      </c>
      <c r="M11" s="38" t="s">
        <v>19</v>
      </c>
      <c r="N11" s="38" t="s">
        <v>19</v>
      </c>
      <c r="O11" s="38" t="s">
        <v>19</v>
      </c>
      <c r="P11" s="38" t="s">
        <v>19</v>
      </c>
      <c r="Q11" s="38" t="s">
        <v>19</v>
      </c>
      <c r="R11" s="38" t="s">
        <v>19</v>
      </c>
      <c r="S11" s="96" t="s">
        <v>101</v>
      </c>
      <c r="T11" s="1"/>
    </row>
    <row r="12" spans="1:20" x14ac:dyDescent="0.2">
      <c r="A12" s="1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1"/>
    </row>
    <row r="13" spans="1:20" x14ac:dyDescent="0.2">
      <c r="A13" s="1" t="s">
        <v>38</v>
      </c>
      <c r="B13" s="2">
        <f>+'s1'!M13*0.0098</f>
        <v>0</v>
      </c>
      <c r="C13" s="2">
        <f>+'s1'!N13*0.0098</f>
        <v>0</v>
      </c>
      <c r="D13" s="2">
        <f>+'s1'!O13*0.0098</f>
        <v>0</v>
      </c>
      <c r="E13" s="2">
        <f>+'s1'!P13*0.0098</f>
        <v>0</v>
      </c>
      <c r="F13" s="2">
        <f>+'s1'!Q13*0.0098</f>
        <v>0</v>
      </c>
      <c r="G13" s="2">
        <f>+'s1'!R13*0.0098</f>
        <v>0</v>
      </c>
      <c r="H13" s="2">
        <f>+'s1'!S13*0.0098</f>
        <v>0</v>
      </c>
      <c r="I13" s="2">
        <f>+'s1'!T13*0.0098</f>
        <v>0</v>
      </c>
      <c r="J13" s="2">
        <f>+'s1'!U13*0.0098</f>
        <v>0</v>
      </c>
      <c r="K13" s="2">
        <f>+'s1'!V13*0.0098</f>
        <v>0</v>
      </c>
      <c r="L13" s="2">
        <f>+'s1'!W13*0.0098</f>
        <v>0</v>
      </c>
      <c r="M13" s="2">
        <f>+'s1'!X13*0.0098</f>
        <v>0</v>
      </c>
      <c r="N13" s="2">
        <f>+'s1'!Y13*0.0098</f>
        <v>0</v>
      </c>
      <c r="O13" s="2">
        <f>+'s1'!Z13*0.0098</f>
        <v>0</v>
      </c>
      <c r="P13" s="2">
        <f>+'s1'!AA13*0.0098</f>
        <v>0</v>
      </c>
      <c r="Q13" s="2">
        <f>+'s1'!AB13*0.0098</f>
        <v>0</v>
      </c>
      <c r="R13" s="2">
        <f>+'s1'!AC13*0.0098</f>
        <v>0</v>
      </c>
      <c r="S13" s="2">
        <f t="shared" ref="S13:S18" si="0">SUM(B13:R13)</f>
        <v>0</v>
      </c>
      <c r="T13" s="2"/>
    </row>
    <row r="14" spans="1:20" x14ac:dyDescent="0.2">
      <c r="A14" s="1" t="s">
        <v>719</v>
      </c>
      <c r="B14" s="2">
        <f>+'s1'!M14*0.0098</f>
        <v>0</v>
      </c>
      <c r="C14" s="2">
        <f>+'s1'!N14*0.0098</f>
        <v>0</v>
      </c>
      <c r="D14" s="2">
        <f>+'s1'!O14*0.0098</f>
        <v>25.33</v>
      </c>
      <c r="E14" s="2">
        <f>+'s1'!P14*0.0098</f>
        <v>0</v>
      </c>
      <c r="F14" s="2">
        <f>+'s1'!Q14*0.0098</f>
        <v>0</v>
      </c>
      <c r="G14" s="2">
        <f>+'s1'!R14*0.0098</f>
        <v>0</v>
      </c>
      <c r="H14" s="2">
        <f>+'s1'!S14*0.0098</f>
        <v>0</v>
      </c>
      <c r="I14" s="2">
        <f>+'s1'!T14*0.0098</f>
        <v>0</v>
      </c>
      <c r="J14" s="2">
        <f>+'s1'!U14*0.0098</f>
        <v>0</v>
      </c>
      <c r="K14" s="2">
        <f>+'s1'!V14*0.0098</f>
        <v>0</v>
      </c>
      <c r="L14" s="2">
        <f>+'s1'!W14*0.0098</f>
        <v>0</v>
      </c>
      <c r="M14" s="2">
        <f>+'s1'!X14*0.0098</f>
        <v>0</v>
      </c>
      <c r="N14" s="2">
        <f>+'s1'!Y14*0.0098</f>
        <v>0</v>
      </c>
      <c r="O14" s="2">
        <f>+'s1'!Z14*0.0098</f>
        <v>0</v>
      </c>
      <c r="P14" s="2">
        <f>+'s1'!AA14*0.0098</f>
        <v>0</v>
      </c>
      <c r="Q14" s="2">
        <f>+'s1'!AB14*0.0098</f>
        <v>0</v>
      </c>
      <c r="R14" s="2">
        <f>+'s1'!AC14*0.0098</f>
        <v>0</v>
      </c>
      <c r="S14" s="2">
        <f t="shared" si="0"/>
        <v>25.33</v>
      </c>
      <c r="T14" s="2"/>
    </row>
    <row r="15" spans="1:20" x14ac:dyDescent="0.2">
      <c r="A15" s="1" t="s">
        <v>39</v>
      </c>
      <c r="B15" s="2">
        <f>+'s1'!M15*0.0098</f>
        <v>0</v>
      </c>
      <c r="C15" s="2">
        <f>+'s1'!N15*0.0098</f>
        <v>0</v>
      </c>
      <c r="D15" s="2">
        <f>+'s1'!O15*0.0098</f>
        <v>0</v>
      </c>
      <c r="E15" s="2">
        <f>+'s1'!P15*0.0098</f>
        <v>0</v>
      </c>
      <c r="F15" s="2">
        <f>+'s1'!Q15*0.0098</f>
        <v>2569.42</v>
      </c>
      <c r="G15" s="2">
        <f>+'s1'!R15*0.0098</f>
        <v>0</v>
      </c>
      <c r="H15" s="2">
        <f>+'s1'!S15*0.0098</f>
        <v>103.08</v>
      </c>
      <c r="I15" s="2">
        <f>+'s1'!T15*0.0098</f>
        <v>173.77</v>
      </c>
      <c r="J15" s="2">
        <f>+'s1'!U15*0.0098</f>
        <v>861.7</v>
      </c>
      <c r="K15" s="2">
        <f>+'s1'!V15*0.0098</f>
        <v>0</v>
      </c>
      <c r="L15" s="2">
        <f>+'s1'!W15*0.0098</f>
        <v>0</v>
      </c>
      <c r="M15" s="2">
        <f>+'s1'!X15*0.0098</f>
        <v>34.31</v>
      </c>
      <c r="N15" s="2">
        <f>+'s1'!Y15*0.0098</f>
        <v>0</v>
      </c>
      <c r="O15" s="2">
        <f>+'s1'!Z15*0.0098</f>
        <v>0</v>
      </c>
      <c r="P15" s="2">
        <f>+'s1'!AA15*0.0098</f>
        <v>0</v>
      </c>
      <c r="Q15" s="2">
        <f>+'s1'!AB15*0.0098</f>
        <v>0</v>
      </c>
      <c r="R15" s="2">
        <f>+'s1'!AC15*0.0098</f>
        <v>100.6</v>
      </c>
      <c r="S15" s="2">
        <f t="shared" si="0"/>
        <v>3842.88</v>
      </c>
      <c r="T15" s="2"/>
    </row>
    <row r="16" spans="1:20" x14ac:dyDescent="0.2">
      <c r="A16" s="1" t="s">
        <v>343</v>
      </c>
      <c r="B16" s="2">
        <f>+'s1'!M16*0.0098</f>
        <v>0</v>
      </c>
      <c r="C16" s="2">
        <f>+'s1'!N16*0.0098</f>
        <v>0</v>
      </c>
      <c r="D16" s="2">
        <f>+'s1'!O16*0.0098</f>
        <v>0</v>
      </c>
      <c r="E16" s="2">
        <f>+'s1'!P16*0.0098</f>
        <v>0</v>
      </c>
      <c r="F16" s="2">
        <f>+'s1'!Q16*0.0098</f>
        <v>0</v>
      </c>
      <c r="G16" s="2">
        <f>+'s1'!R16*0.0098</f>
        <v>0</v>
      </c>
      <c r="H16" s="2">
        <f>+'s1'!S16*0.0098</f>
        <v>0</v>
      </c>
      <c r="I16" s="2">
        <f>+'s1'!T16*0.0098</f>
        <v>0</v>
      </c>
      <c r="J16" s="2">
        <f>+'s1'!U16*0.0098</f>
        <v>244.2</v>
      </c>
      <c r="K16" s="2">
        <f>+'s1'!V16*0.0098</f>
        <v>0</v>
      </c>
      <c r="L16" s="2">
        <f>+'s1'!W16*0.0098</f>
        <v>0</v>
      </c>
      <c r="M16" s="2">
        <f>+'s1'!X16*0.0098</f>
        <v>0</v>
      </c>
      <c r="N16" s="2">
        <f>+'s1'!Y16*0.0098</f>
        <v>0</v>
      </c>
      <c r="O16" s="2">
        <f>+'s1'!Z16*0.0098</f>
        <v>0</v>
      </c>
      <c r="P16" s="2">
        <f>+'s1'!AA16*0.0098</f>
        <v>0</v>
      </c>
      <c r="Q16" s="2">
        <f>+'s1'!AB16*0.0098</f>
        <v>0</v>
      </c>
      <c r="R16" s="2">
        <f>+'s1'!AC16*0.0098</f>
        <v>0</v>
      </c>
      <c r="S16" s="2">
        <f t="shared" si="0"/>
        <v>244.2</v>
      </c>
      <c r="T16" s="2"/>
    </row>
    <row r="17" spans="1:20" x14ac:dyDescent="0.2">
      <c r="A17" s="7" t="s">
        <v>40</v>
      </c>
      <c r="B17" s="2">
        <f>+'s1'!M17*0.0098</f>
        <v>0</v>
      </c>
      <c r="C17" s="2">
        <f>+'s1'!N17*0.0098</f>
        <v>0</v>
      </c>
      <c r="D17" s="2">
        <f>+'s1'!O17*0.0098</f>
        <v>1.53</v>
      </c>
      <c r="E17" s="2">
        <f>+'s1'!P17*0.0098</f>
        <v>0</v>
      </c>
      <c r="F17" s="2">
        <f>+'s1'!Q17*0.0098</f>
        <v>0</v>
      </c>
      <c r="G17" s="2">
        <f>+'s1'!R17*0.0098</f>
        <v>0</v>
      </c>
      <c r="H17" s="2">
        <f>+'s1'!S17*0.0098</f>
        <v>0</v>
      </c>
      <c r="I17" s="2">
        <f>+'s1'!T17*0.0098</f>
        <v>0</v>
      </c>
      <c r="J17" s="2">
        <f>+'s1'!U17*0.0098</f>
        <v>0</v>
      </c>
      <c r="K17" s="2">
        <f>+'s1'!V17*0.0098</f>
        <v>0</v>
      </c>
      <c r="L17" s="2">
        <f>+'s1'!W17*0.0098</f>
        <v>0</v>
      </c>
      <c r="M17" s="2">
        <f>+'s1'!X17*0.0098</f>
        <v>0</v>
      </c>
      <c r="N17" s="2">
        <f>+'s1'!Y17*0.0098</f>
        <v>0</v>
      </c>
      <c r="O17" s="2">
        <f>+'s1'!Z17*0.0098</f>
        <v>0</v>
      </c>
      <c r="P17" s="2">
        <f>+'s1'!AA17*0.0098</f>
        <v>0</v>
      </c>
      <c r="Q17" s="2">
        <f>+'s1'!AB17*0.0098</f>
        <v>0</v>
      </c>
      <c r="R17" s="2">
        <f>+'s1'!AC17*0.0098</f>
        <v>0</v>
      </c>
      <c r="S17" s="2">
        <f t="shared" si="0"/>
        <v>1.53</v>
      </c>
      <c r="T17" s="2"/>
    </row>
    <row r="18" spans="1:20" s="88" customFormat="1" x14ac:dyDescent="0.2">
      <c r="A18" s="18" t="s">
        <v>609</v>
      </c>
      <c r="B18" s="2">
        <f>+'s1'!M18*0.0098</f>
        <v>0</v>
      </c>
      <c r="C18" s="2">
        <f>+'s1'!N18*0.0098</f>
        <v>0</v>
      </c>
      <c r="D18" s="2">
        <f>+'s1'!O18*0.0098</f>
        <v>0</v>
      </c>
      <c r="E18" s="2">
        <f>+'s1'!P18*0.0098</f>
        <v>0</v>
      </c>
      <c r="F18" s="2">
        <f>+'s1'!Q18*0.0098</f>
        <v>0</v>
      </c>
      <c r="G18" s="2">
        <f>+'s1'!R18*0.0098</f>
        <v>0</v>
      </c>
      <c r="H18" s="2">
        <f>+'s1'!S18*0.0098</f>
        <v>0</v>
      </c>
      <c r="I18" s="2">
        <f>+'s1'!T18*0.0098</f>
        <v>0</v>
      </c>
      <c r="J18" s="2">
        <f>+'s1'!U18*0.0098</f>
        <v>0</v>
      </c>
      <c r="K18" s="2">
        <f>+'s1'!V18*0.0098</f>
        <v>0</v>
      </c>
      <c r="L18" s="2">
        <f>+'s1'!W18*0.0098</f>
        <v>0</v>
      </c>
      <c r="M18" s="2">
        <f>+'s1'!X18*0.0098</f>
        <v>0</v>
      </c>
      <c r="N18" s="2">
        <f>+'s1'!Y18*0.0098</f>
        <v>0</v>
      </c>
      <c r="O18" s="2">
        <f>+'s1'!Z18*0.0098</f>
        <v>0</v>
      </c>
      <c r="P18" s="2">
        <f>+'s1'!AA18*0.0098</f>
        <v>0</v>
      </c>
      <c r="Q18" s="2">
        <f>+'s1'!AB18*0.0098</f>
        <v>2.23</v>
      </c>
      <c r="R18" s="2">
        <f>+'s1'!AC18*0.0098</f>
        <v>0</v>
      </c>
      <c r="S18" s="78">
        <f t="shared" si="0"/>
        <v>2.23</v>
      </c>
      <c r="T18" s="10"/>
    </row>
    <row r="19" spans="1:20" s="20" customFormat="1" x14ac:dyDescent="0.2">
      <c r="A19" s="1" t="s">
        <v>492</v>
      </c>
      <c r="B19" s="2">
        <f>+'s1'!M19*0.0098</f>
        <v>0</v>
      </c>
      <c r="C19" s="2">
        <f>+'s1'!N19*0.0098</f>
        <v>0</v>
      </c>
      <c r="D19" s="2">
        <f>+'s1'!O19*0.0098</f>
        <v>2330.3000000000002</v>
      </c>
      <c r="E19" s="2">
        <f>+'s1'!P19*0.0098</f>
        <v>0</v>
      </c>
      <c r="F19" s="2">
        <f>+'s1'!Q19*0.0098</f>
        <v>0</v>
      </c>
      <c r="G19" s="2">
        <f>+'s1'!R19*0.0098</f>
        <v>0</v>
      </c>
      <c r="H19" s="2">
        <f>+'s1'!S19*0.0098</f>
        <v>0</v>
      </c>
      <c r="I19" s="2">
        <f>+'s1'!T19*0.0098</f>
        <v>0</v>
      </c>
      <c r="J19" s="2">
        <f>+'s1'!U19*0.0098</f>
        <v>0</v>
      </c>
      <c r="K19" s="2">
        <f>+'s1'!V19*0.0098</f>
        <v>0</v>
      </c>
      <c r="L19" s="2">
        <f>+'s1'!W19*0.0098</f>
        <v>0</v>
      </c>
      <c r="M19" s="2">
        <f>+'s1'!X19*0.0098</f>
        <v>0</v>
      </c>
      <c r="N19" s="2">
        <f>+'s1'!Y19*0.0098</f>
        <v>0</v>
      </c>
      <c r="O19" s="2">
        <f>+'s1'!Z19*0.0098</f>
        <v>0</v>
      </c>
      <c r="P19" s="2">
        <f>+'s1'!AA19*0.0098</f>
        <v>0</v>
      </c>
      <c r="Q19" s="2">
        <f>+'s1'!AB19*0.0098</f>
        <v>0</v>
      </c>
      <c r="R19" s="2">
        <f>+'s1'!AC19*0.0098</f>
        <v>0</v>
      </c>
      <c r="S19" s="78">
        <f t="shared" ref="S19:S32" si="1">SUM(B19:R19)</f>
        <v>2330.3000000000002</v>
      </c>
      <c r="T19" s="18"/>
    </row>
    <row r="20" spans="1:20" x14ac:dyDescent="0.2">
      <c r="A20" s="7" t="s">
        <v>605</v>
      </c>
      <c r="B20" s="2">
        <f>+'s1'!M20*0.0098</f>
        <v>0</v>
      </c>
      <c r="C20" s="2">
        <f>+'s1'!N20*0.0098</f>
        <v>0</v>
      </c>
      <c r="D20" s="2">
        <f>+'s1'!O20*0.0098</f>
        <v>0</v>
      </c>
      <c r="E20" s="2">
        <f>+'s1'!P20*0.0098</f>
        <v>0</v>
      </c>
      <c r="F20" s="2">
        <f>+'s1'!Q20*0.0098</f>
        <v>0</v>
      </c>
      <c r="G20" s="2">
        <f>+'s1'!R20*0.0098</f>
        <v>0</v>
      </c>
      <c r="H20" s="2">
        <f>+'s1'!S20*0.0098</f>
        <v>0</v>
      </c>
      <c r="I20" s="2">
        <f>+'s1'!T20*0.0098</f>
        <v>0</v>
      </c>
      <c r="J20" s="2">
        <f>+'s1'!U20*0.0098-28.44</f>
        <v>319.99</v>
      </c>
      <c r="K20" s="2">
        <f>+'s1'!V20*0.0098</f>
        <v>0</v>
      </c>
      <c r="L20" s="2">
        <f>+'s1'!W20*0.0098</f>
        <v>0</v>
      </c>
      <c r="M20" s="2">
        <f>+'s1'!X20*0.0098</f>
        <v>0</v>
      </c>
      <c r="N20" s="2">
        <f>+'s1'!Y20*0.0098</f>
        <v>0</v>
      </c>
      <c r="O20" s="2">
        <f>+'s1'!Z20*0.0098</f>
        <v>0</v>
      </c>
      <c r="P20" s="2">
        <f>+'s1'!AA20*0.0098</f>
        <v>0</v>
      </c>
      <c r="Q20" s="2">
        <f>+'s1'!AB20*0.0098</f>
        <v>0</v>
      </c>
      <c r="R20" s="2">
        <f>+'s1'!AC20*0.0098</f>
        <v>0</v>
      </c>
      <c r="S20" s="2">
        <f t="shared" si="1"/>
        <v>319.99</v>
      </c>
      <c r="T20" s="1"/>
    </row>
    <row r="21" spans="1:20" x14ac:dyDescent="0.2">
      <c r="A21" s="1" t="s">
        <v>701</v>
      </c>
      <c r="B21" s="2">
        <f>+'s1'!M21*0.0098</f>
        <v>0</v>
      </c>
      <c r="C21" s="2">
        <f>+'s1'!N21*0.0098</f>
        <v>0</v>
      </c>
      <c r="D21" s="2">
        <f>+'s1'!O21*0.0098</f>
        <v>0</v>
      </c>
      <c r="E21" s="2">
        <f>+'s1'!P21*0.0098</f>
        <v>0</v>
      </c>
      <c r="F21" s="2">
        <f>+'s1'!Q21*0.0098</f>
        <v>0</v>
      </c>
      <c r="G21" s="2">
        <f>+'s1'!R21*0.0098</f>
        <v>0</v>
      </c>
      <c r="H21" s="2">
        <f>+'s1'!S21*0.0098</f>
        <v>0</v>
      </c>
      <c r="I21" s="2">
        <f>+'s1'!T21*0.0098</f>
        <v>463.76</v>
      </c>
      <c r="J21" s="2">
        <f>+'s1'!U21*0.0098</f>
        <v>0</v>
      </c>
      <c r="K21" s="2">
        <f>+'s1'!V21*0.0098</f>
        <v>0</v>
      </c>
      <c r="L21" s="2">
        <f>+'s1'!W21*0.0098</f>
        <v>0</v>
      </c>
      <c r="M21" s="2">
        <f>+'s1'!X21*0.0098</f>
        <v>0</v>
      </c>
      <c r="N21" s="2">
        <f>+'s1'!Y21*0.0098</f>
        <v>0</v>
      </c>
      <c r="O21" s="2">
        <f>+'s1'!Z21*0.0098</f>
        <v>0</v>
      </c>
      <c r="P21" s="2">
        <f>+'s1'!AA21*0.0098</f>
        <v>0</v>
      </c>
      <c r="Q21" s="2">
        <f>+'s1'!AB21*0.0098</f>
        <v>929.35</v>
      </c>
      <c r="R21" s="2">
        <f>+'s1'!AC21*0.0098</f>
        <v>0</v>
      </c>
      <c r="S21" s="2">
        <f>SUM(B21:R21)</f>
        <v>1393.11</v>
      </c>
      <c r="T21" s="1"/>
    </row>
    <row r="22" spans="1:20" x14ac:dyDescent="0.2">
      <c r="A22" s="1" t="s">
        <v>41</v>
      </c>
      <c r="B22" s="2">
        <f>+'s1'!M22*0.0098</f>
        <v>0</v>
      </c>
      <c r="C22" s="2">
        <f>+'s1'!N22*0.0098</f>
        <v>0</v>
      </c>
      <c r="D22" s="2">
        <f>+'s1'!O22*0.0098</f>
        <v>0</v>
      </c>
      <c r="E22" s="2">
        <f>+'s1'!P22*0.0098</f>
        <v>0</v>
      </c>
      <c r="F22" s="2">
        <f>+'s1'!Q22*0.0098</f>
        <v>0</v>
      </c>
      <c r="G22" s="2">
        <f>+'s1'!R22*0.0098</f>
        <v>0</v>
      </c>
      <c r="H22" s="2">
        <f>+'s1'!S22*0.0098</f>
        <v>0</v>
      </c>
      <c r="I22" s="2">
        <f>+'s1'!T22*0.0098</f>
        <v>0</v>
      </c>
      <c r="J22" s="2">
        <f>+'s1'!U22*0.0098</f>
        <v>40.29</v>
      </c>
      <c r="K22" s="2">
        <f>+'s1'!V22*0.0098</f>
        <v>0</v>
      </c>
      <c r="L22" s="2">
        <f>+'s1'!W22*0.0098</f>
        <v>0</v>
      </c>
      <c r="M22" s="2">
        <f>+'s1'!X22*0.0098</f>
        <v>0</v>
      </c>
      <c r="N22" s="2">
        <f>+'s1'!Y22*0.0098</f>
        <v>0</v>
      </c>
      <c r="O22" s="2">
        <f>+'s1'!Z22*0.0098</f>
        <v>0</v>
      </c>
      <c r="P22" s="2">
        <f>+'s1'!AA22*0.0098</f>
        <v>0</v>
      </c>
      <c r="Q22" s="2">
        <f>+'s1'!AB22*0.0098</f>
        <v>0</v>
      </c>
      <c r="R22" s="2">
        <f>+'s1'!AC22*0.0098</f>
        <v>0</v>
      </c>
      <c r="S22" s="2">
        <f t="shared" si="1"/>
        <v>40.29</v>
      </c>
      <c r="T22" s="1"/>
    </row>
    <row r="23" spans="1:20" x14ac:dyDescent="0.2">
      <c r="A23" s="1" t="s">
        <v>429</v>
      </c>
      <c r="B23" s="2">
        <f>+'s1'!M23*0.0098</f>
        <v>0</v>
      </c>
      <c r="C23" s="2">
        <f>+'s1'!N23*0.0098</f>
        <v>0</v>
      </c>
      <c r="D23" s="2">
        <f>+'s1'!O23*0.0098</f>
        <v>14052.4</v>
      </c>
      <c r="E23" s="2">
        <f>+'s1'!P23*0.0098</f>
        <v>0</v>
      </c>
      <c r="F23" s="2">
        <f>+'s1'!Q23*0.0098</f>
        <v>0</v>
      </c>
      <c r="G23" s="2">
        <f>+'s1'!R23*0.0098</f>
        <v>0</v>
      </c>
      <c r="H23" s="2">
        <f>+'s1'!S23*0.0098</f>
        <v>0</v>
      </c>
      <c r="I23" s="2">
        <f>+'s1'!T23*0.0098</f>
        <v>0</v>
      </c>
      <c r="J23" s="2">
        <f>+'s1'!U23*0.0098</f>
        <v>0</v>
      </c>
      <c r="K23" s="2">
        <f>+'s1'!V23*0.0098</f>
        <v>0</v>
      </c>
      <c r="L23" s="2">
        <f>+'s1'!W23*0.0098</f>
        <v>0</v>
      </c>
      <c r="M23" s="2">
        <f>+'s1'!X23*0.0098</f>
        <v>0</v>
      </c>
      <c r="N23" s="2">
        <f>+'s1'!Y23*0.0098</f>
        <v>0</v>
      </c>
      <c r="O23" s="2">
        <f>+'s1'!Z23*0.0098</f>
        <v>0</v>
      </c>
      <c r="P23" s="2">
        <f>+'s1'!AA23*0.0098</f>
        <v>0</v>
      </c>
      <c r="Q23" s="2">
        <f>+'s1'!AB23*0.0098</f>
        <v>4736.3100000000004</v>
      </c>
      <c r="R23" s="2">
        <f>+'s1'!AC23*0.0098</f>
        <v>0</v>
      </c>
      <c r="S23" s="2">
        <f t="shared" si="1"/>
        <v>18788.71</v>
      </c>
      <c r="T23" s="1"/>
    </row>
    <row r="24" spans="1:20" s="88" customFormat="1" x14ac:dyDescent="0.2">
      <c r="A24" s="18" t="s">
        <v>740</v>
      </c>
      <c r="B24" s="2">
        <f>+'s1'!M24*0.0098</f>
        <v>0</v>
      </c>
      <c r="C24" s="2">
        <f>+'s1'!N24*0.0098</f>
        <v>0</v>
      </c>
      <c r="D24" s="2">
        <f>+'s1'!O24*0.0098</f>
        <v>0</v>
      </c>
      <c r="E24" s="2">
        <f>+'s1'!P24*0.0098</f>
        <v>0</v>
      </c>
      <c r="F24" s="2">
        <f>+'s1'!Q24*0.0098</f>
        <v>0</v>
      </c>
      <c r="G24" s="2">
        <f>+'s1'!R24*0.0098</f>
        <v>0</v>
      </c>
      <c r="H24" s="2">
        <f>+'s1'!S24*0.0098</f>
        <v>0</v>
      </c>
      <c r="I24" s="2">
        <f>+'s1'!T24*0.0098</f>
        <v>0</v>
      </c>
      <c r="J24" s="2">
        <f>+'s1'!U24*0.0098</f>
        <v>0</v>
      </c>
      <c r="K24" s="2">
        <f>+'s1'!V24*0.0098</f>
        <v>0</v>
      </c>
      <c r="L24" s="2">
        <f>+'s1'!W24*0.0098</f>
        <v>0</v>
      </c>
      <c r="M24" s="2">
        <f>+'s1'!X24*0.0098</f>
        <v>0</v>
      </c>
      <c r="N24" s="2">
        <f>+'s1'!Y24*0.0098</f>
        <v>0</v>
      </c>
      <c r="O24" s="2">
        <f>+'s1'!Z24*0.0098</f>
        <v>0</v>
      </c>
      <c r="P24" s="2">
        <f>+'s1'!AA24*0.0098</f>
        <v>0</v>
      </c>
      <c r="Q24" s="2">
        <f>+'s1'!AB24*0.0098</f>
        <v>0</v>
      </c>
      <c r="R24" s="2">
        <f>+'s1'!AC24*0.0098</f>
        <v>0</v>
      </c>
      <c r="S24" s="78">
        <f>SUM(B24:R24)</f>
        <v>0</v>
      </c>
      <c r="T24" s="10"/>
    </row>
    <row r="25" spans="1:20" x14ac:dyDescent="0.2">
      <c r="A25" s="1" t="s">
        <v>702</v>
      </c>
      <c r="B25" s="2">
        <f>+'s1'!M25*0.0098</f>
        <v>184.6</v>
      </c>
      <c r="C25" s="2">
        <f>+'s1'!N25*0.0098</f>
        <v>0</v>
      </c>
      <c r="D25" s="2">
        <f>+'s1'!O25*0.0098</f>
        <v>0</v>
      </c>
      <c r="E25" s="2">
        <f>+'s1'!P25*0.0098</f>
        <v>0</v>
      </c>
      <c r="F25" s="2">
        <f>+'s1'!Q25*0.0098</f>
        <v>0</v>
      </c>
      <c r="G25" s="2">
        <f>+'s1'!R25*0.0098</f>
        <v>0</v>
      </c>
      <c r="H25" s="2">
        <f>+'s1'!S25*0.0098</f>
        <v>0</v>
      </c>
      <c r="I25" s="2">
        <f>+'s1'!T25*0.0098</f>
        <v>0</v>
      </c>
      <c r="J25" s="2">
        <f>+'s1'!U25*0.0098</f>
        <v>0</v>
      </c>
      <c r="K25" s="2">
        <f>+'s1'!V25*0.0098</f>
        <v>0</v>
      </c>
      <c r="L25" s="2">
        <f>+'s1'!W25*0.0098</f>
        <v>0</v>
      </c>
      <c r="M25" s="2">
        <f>+'s1'!X25*0.0098</f>
        <v>0</v>
      </c>
      <c r="N25" s="2">
        <f>+'s1'!Y25*0.0098</f>
        <v>0</v>
      </c>
      <c r="O25" s="2">
        <f>+'s1'!Z25*0.0098</f>
        <v>0</v>
      </c>
      <c r="P25" s="2">
        <f>+'s1'!AA25*0.0098</f>
        <v>0</v>
      </c>
      <c r="Q25" s="2">
        <f>+'s1'!AB25*0.0098</f>
        <v>0</v>
      </c>
      <c r="R25" s="2">
        <f>+'s1'!AC25*0.0098</f>
        <v>0</v>
      </c>
      <c r="S25" s="2">
        <f>SUM(B25:R25)</f>
        <v>184.6</v>
      </c>
      <c r="T25" s="2"/>
    </row>
    <row r="26" spans="1:20" x14ac:dyDescent="0.2">
      <c r="A26" s="1" t="s">
        <v>444</v>
      </c>
      <c r="B26" s="2">
        <f>+'s1'!M26*0.0098</f>
        <v>0</v>
      </c>
      <c r="C26" s="2">
        <f>+'s1'!N26*0.0098</f>
        <v>2637.62</v>
      </c>
      <c r="D26" s="2">
        <f>+'s1'!O26*0.0098</f>
        <v>0</v>
      </c>
      <c r="E26" s="2">
        <f>+'s1'!P26*0.0098</f>
        <v>353.03</v>
      </c>
      <c r="F26" s="2">
        <f>+'s1'!Q26*0.0098</f>
        <v>0</v>
      </c>
      <c r="G26" s="2">
        <f>+'s1'!R26*0.0098</f>
        <v>0</v>
      </c>
      <c r="H26" s="2">
        <f>+'s1'!S26*0.0098</f>
        <v>0</v>
      </c>
      <c r="I26" s="2">
        <f>+'s1'!T26*0.0098</f>
        <v>0</v>
      </c>
      <c r="J26" s="2">
        <f>+'s1'!U26*0.0098</f>
        <v>0</v>
      </c>
      <c r="K26" s="2">
        <f>+'s1'!V26*0.0098</f>
        <v>0</v>
      </c>
      <c r="L26" s="2">
        <f>+'s1'!W26*0.0098</f>
        <v>0</v>
      </c>
      <c r="M26" s="2">
        <f>+'s1'!X26*0.0098</f>
        <v>0</v>
      </c>
      <c r="N26" s="2">
        <f>+'s1'!Y26*0.0098</f>
        <v>0</v>
      </c>
      <c r="O26" s="2">
        <f>+'s1'!Z26*0.0098</f>
        <v>0</v>
      </c>
      <c r="P26" s="2">
        <f>+'s1'!AA26*0.0098</f>
        <v>0</v>
      </c>
      <c r="Q26" s="2">
        <f>+'s1'!AB26*0.0098</f>
        <v>0</v>
      </c>
      <c r="R26" s="2">
        <f>+'s1'!AC26*0.0098</f>
        <v>0</v>
      </c>
      <c r="S26" s="2">
        <f t="shared" si="1"/>
        <v>2990.65</v>
      </c>
      <c r="T26" s="2"/>
    </row>
    <row r="27" spans="1:20" x14ac:dyDescent="0.2">
      <c r="A27" s="1" t="s">
        <v>445</v>
      </c>
      <c r="B27" s="2">
        <f>+'s1'!M27*0.0098</f>
        <v>5328.33</v>
      </c>
      <c r="C27" s="2">
        <f>+'s1'!N27*0.0098</f>
        <v>1079</v>
      </c>
      <c r="D27" s="2">
        <f>+'s1'!O27*0.0098</f>
        <v>62.35</v>
      </c>
      <c r="E27" s="2">
        <f>+'s1'!P27*0.0098</f>
        <v>5843.68</v>
      </c>
      <c r="F27" s="2">
        <f>+'s1'!Q27*0.0098</f>
        <v>3117.35</v>
      </c>
      <c r="G27" s="2">
        <f>+'s1'!R27*0.0098</f>
        <v>0</v>
      </c>
      <c r="H27" s="2">
        <f>+'s1'!S27*0.0098</f>
        <v>395.34</v>
      </c>
      <c r="I27" s="2">
        <f>+'s1'!T27*0.0098</f>
        <v>2118.19</v>
      </c>
      <c r="J27" s="2">
        <f>+'s1'!U27*0.0098</f>
        <v>1604.46</v>
      </c>
      <c r="K27" s="2">
        <f>+'s1'!V27*0.0098</f>
        <v>0</v>
      </c>
      <c r="L27" s="2">
        <f>+'s1'!W27*0.0098</f>
        <v>2967.53</v>
      </c>
      <c r="M27" s="2">
        <f>+'s1'!X27*0.0098</f>
        <v>431.39</v>
      </c>
      <c r="N27" s="2">
        <f>+'s1'!Y27*0.0098</f>
        <v>136.38</v>
      </c>
      <c r="O27" s="2">
        <f>+'s1'!Z27*0.0098</f>
        <v>1102.79</v>
      </c>
      <c r="P27" s="2">
        <f>+'s1'!AA27*0.0098</f>
        <v>0</v>
      </c>
      <c r="Q27" s="2">
        <f>+'s1'!AB27*0.0098</f>
        <v>53063.32</v>
      </c>
      <c r="R27" s="2">
        <f>+'s1'!AC27*0.0098</f>
        <v>505.06</v>
      </c>
      <c r="S27" s="2">
        <f t="shared" si="1"/>
        <v>77755.17</v>
      </c>
      <c r="T27" s="1"/>
    </row>
    <row r="28" spans="1:20" x14ac:dyDescent="0.2">
      <c r="A28" s="1" t="s">
        <v>362</v>
      </c>
      <c r="B28" s="2">
        <f>+'s1'!M28*0.0098</f>
        <v>0</v>
      </c>
      <c r="C28" s="2">
        <f>+'s1'!N28*0.0098</f>
        <v>0</v>
      </c>
      <c r="D28" s="2">
        <f>+'s1'!O28*0.0098</f>
        <v>0</v>
      </c>
      <c r="E28" s="2">
        <f>+'s1'!P28*0.0098</f>
        <v>0</v>
      </c>
      <c r="F28" s="2">
        <f>+'s1'!Q28*0.0098</f>
        <v>0</v>
      </c>
      <c r="G28" s="2">
        <f>+'s1'!R28*0.0098</f>
        <v>0</v>
      </c>
      <c r="H28" s="2">
        <f>+'s1'!S28*0.0098</f>
        <v>0</v>
      </c>
      <c r="I28" s="2">
        <f>+'s1'!T28*0.0098</f>
        <v>0</v>
      </c>
      <c r="J28" s="2">
        <f>+'s1'!U28*0.0098</f>
        <v>0</v>
      </c>
      <c r="K28" s="2">
        <f>+'s1'!V28*0.0098</f>
        <v>0</v>
      </c>
      <c r="L28" s="2">
        <f>+'s1'!W28*0.0098</f>
        <v>1437.73</v>
      </c>
      <c r="M28" s="2">
        <f>+'s1'!X28*0.0098</f>
        <v>0</v>
      </c>
      <c r="N28" s="2">
        <f>+'s1'!Y28*0.0098</f>
        <v>0</v>
      </c>
      <c r="O28" s="2">
        <f>+'s1'!Z28*0.0098</f>
        <v>0</v>
      </c>
      <c r="P28" s="2">
        <f>+'s1'!AA28*0.0098</f>
        <v>0</v>
      </c>
      <c r="Q28" s="2">
        <f>+'s1'!AB28*0.0098</f>
        <v>0</v>
      </c>
      <c r="R28" s="2">
        <f>+'s1'!AC28*0.0098</f>
        <v>0</v>
      </c>
      <c r="S28" s="2">
        <f t="shared" si="1"/>
        <v>1437.73</v>
      </c>
      <c r="T28" s="2"/>
    </row>
    <row r="29" spans="1:20" s="20" customFormat="1" x14ac:dyDescent="0.2">
      <c r="A29" s="1" t="s">
        <v>446</v>
      </c>
      <c r="B29" s="2">
        <f>+'s1'!M29*0.0098</f>
        <v>12073.36</v>
      </c>
      <c r="C29" s="2">
        <f>+'s1'!N29*0.0098</f>
        <v>0</v>
      </c>
      <c r="D29" s="2">
        <f>+'s1'!O29*0.0098</f>
        <v>95384.81</v>
      </c>
      <c r="E29" s="2">
        <f>+'s1'!P29*0.0098</f>
        <v>7608.41</v>
      </c>
      <c r="F29" s="2">
        <f>+'s1'!Q29*0.0098</f>
        <v>0</v>
      </c>
      <c r="G29" s="2">
        <f>+'s1'!R29*0.0098</f>
        <v>0</v>
      </c>
      <c r="H29" s="2">
        <f>+'s1'!S29*0.0098</f>
        <v>0</v>
      </c>
      <c r="I29" s="2">
        <f>+'s1'!T29*0.0098</f>
        <v>0</v>
      </c>
      <c r="J29" s="2">
        <f>+'s1'!U29*0.0098</f>
        <v>0</v>
      </c>
      <c r="K29" s="2">
        <f>+'s1'!V29*0.0098</f>
        <v>0</v>
      </c>
      <c r="L29" s="2">
        <f>+'s1'!W29*0.0098</f>
        <v>0</v>
      </c>
      <c r="M29" s="2">
        <f>+'s1'!X29*0.0098</f>
        <v>0</v>
      </c>
      <c r="N29" s="2">
        <f>+'s1'!Y29*0.0098</f>
        <v>0</v>
      </c>
      <c r="O29" s="2">
        <f>+'s1'!Z29*0.0098</f>
        <v>0</v>
      </c>
      <c r="P29" s="2">
        <f>+'s1'!AA29*0.0098</f>
        <v>0</v>
      </c>
      <c r="Q29" s="2">
        <f>+'s1'!AB29*0.0098</f>
        <v>25968.47</v>
      </c>
      <c r="R29" s="2">
        <f>+'s1'!AC29*0.0098</f>
        <v>0</v>
      </c>
      <c r="S29" s="78">
        <f t="shared" si="1"/>
        <v>141035.04999999999</v>
      </c>
      <c r="T29" s="18"/>
    </row>
    <row r="30" spans="1:20" x14ac:dyDescent="0.2">
      <c r="A30" s="1" t="s">
        <v>347</v>
      </c>
      <c r="B30" s="2">
        <f>+'s1'!M30*0.0098</f>
        <v>0</v>
      </c>
      <c r="C30" s="2">
        <f>+'s1'!N30*0.0098</f>
        <v>0</v>
      </c>
      <c r="D30" s="2">
        <f>+'s1'!O30*0.0098</f>
        <v>3824.1</v>
      </c>
      <c r="E30" s="2">
        <f>+'s1'!P30*0.0098</f>
        <v>0</v>
      </c>
      <c r="F30" s="2">
        <f>+'s1'!Q30*0.0098</f>
        <v>0</v>
      </c>
      <c r="G30" s="2">
        <f>+'s1'!R30*0.0098</f>
        <v>0</v>
      </c>
      <c r="H30" s="2">
        <f>+'s1'!S30*0.0098</f>
        <v>0</v>
      </c>
      <c r="I30" s="2">
        <f>+'s1'!T30*0.0098</f>
        <v>0</v>
      </c>
      <c r="J30" s="2">
        <f>+'s1'!U30*0.0098</f>
        <v>0</v>
      </c>
      <c r="K30" s="2">
        <f>+'s1'!V30*0.0098</f>
        <v>0</v>
      </c>
      <c r="L30" s="2">
        <f>+'s1'!W30*0.0098</f>
        <v>49.41</v>
      </c>
      <c r="M30" s="2">
        <f>+'s1'!X30*0.0098</f>
        <v>0</v>
      </c>
      <c r="N30" s="2">
        <f>+'s1'!Y30*0.0098</f>
        <v>0</v>
      </c>
      <c r="O30" s="2">
        <f>+'s1'!Z30*0.0098</f>
        <v>0</v>
      </c>
      <c r="P30" s="2">
        <f>+'s1'!AA30*0.0098</f>
        <v>0</v>
      </c>
      <c r="Q30" s="2">
        <f>+'s1'!AB30*0.0098</f>
        <v>0</v>
      </c>
      <c r="R30" s="2">
        <f>+'s1'!AC30*0.0098</f>
        <v>0</v>
      </c>
      <c r="S30" s="2">
        <f>SUM(B30:R30)</f>
        <v>3873.51</v>
      </c>
      <c r="T30" s="1"/>
    </row>
    <row r="31" spans="1:20" x14ac:dyDescent="0.2">
      <c r="A31" s="18" t="s">
        <v>493</v>
      </c>
      <c r="B31" s="2">
        <f>+'s1'!M31*0.0098</f>
        <v>0</v>
      </c>
      <c r="C31" s="2">
        <f>+'s1'!N31*0.0098</f>
        <v>0</v>
      </c>
      <c r="D31" s="2">
        <f>+'s1'!O31*0.0098</f>
        <v>0</v>
      </c>
      <c r="E31" s="2">
        <f>+'s1'!P31*0.0098</f>
        <v>0</v>
      </c>
      <c r="F31" s="2">
        <f>+'s1'!Q31*0.0098</f>
        <v>441.91</v>
      </c>
      <c r="G31" s="2">
        <f>+'s1'!R31*0.0098</f>
        <v>0</v>
      </c>
      <c r="H31" s="2">
        <f>+'s1'!S31*0.0098</f>
        <v>0</v>
      </c>
      <c r="I31" s="2">
        <f>+'s1'!T31*0.0098</f>
        <v>0</v>
      </c>
      <c r="J31" s="2">
        <f>+'s1'!U31*0.0098</f>
        <v>0</v>
      </c>
      <c r="K31" s="2">
        <f>+'s1'!V31*0.0098</f>
        <v>0</v>
      </c>
      <c r="L31" s="2">
        <f>+'s1'!W31*0.0098</f>
        <v>0</v>
      </c>
      <c r="M31" s="2">
        <f>+'s1'!X31*0.0098</f>
        <v>0</v>
      </c>
      <c r="N31" s="2">
        <f>+'s1'!Y31*0.0098</f>
        <v>0</v>
      </c>
      <c r="O31" s="2">
        <f>+'s1'!Z31*0.0098</f>
        <v>0</v>
      </c>
      <c r="P31" s="2">
        <f>+'s1'!AA31*0.0098</f>
        <v>0</v>
      </c>
      <c r="Q31" s="2">
        <f>+'s1'!AB31*0.0098</f>
        <v>0</v>
      </c>
      <c r="R31" s="2">
        <f>+'s1'!AC31*0.0098</f>
        <v>0</v>
      </c>
      <c r="S31" s="2">
        <f t="shared" si="1"/>
        <v>441.91</v>
      </c>
      <c r="T31" s="2"/>
    </row>
    <row r="32" spans="1:20" x14ac:dyDescent="0.2">
      <c r="A32" s="1" t="s">
        <v>293</v>
      </c>
      <c r="B32" s="2">
        <f>+'s1'!M32*0.0098</f>
        <v>0</v>
      </c>
      <c r="C32" s="2">
        <f>+'s1'!N32*0.0098</f>
        <v>0</v>
      </c>
      <c r="D32" s="2">
        <f>+'s1'!O32*0.0098</f>
        <v>1219.3</v>
      </c>
      <c r="E32" s="2">
        <f>+'s1'!P32*0.0098</f>
        <v>0</v>
      </c>
      <c r="F32" s="2">
        <f>+'s1'!Q32*0.0098</f>
        <v>0</v>
      </c>
      <c r="G32" s="2">
        <f>+'s1'!R32*0.0098</f>
        <v>0</v>
      </c>
      <c r="H32" s="2">
        <f>+'s1'!S32*0.0098</f>
        <v>0</v>
      </c>
      <c r="I32" s="2">
        <f>+'s1'!T32*0.0098</f>
        <v>0</v>
      </c>
      <c r="J32" s="2">
        <f>+'s1'!U32*0.0098</f>
        <v>0</v>
      </c>
      <c r="K32" s="2">
        <f>+'s1'!V32*0.0098</f>
        <v>0</v>
      </c>
      <c r="L32" s="2">
        <f>+'s1'!W32*0.0098</f>
        <v>0</v>
      </c>
      <c r="M32" s="2">
        <f>+'s1'!X32*0.0098</f>
        <v>0</v>
      </c>
      <c r="N32" s="2">
        <f>+'s1'!Y32*0.0098</f>
        <v>0</v>
      </c>
      <c r="O32" s="2">
        <f>+'s1'!Z32*0.0098</f>
        <v>0</v>
      </c>
      <c r="P32" s="2">
        <f>+'s1'!AA32*0.0098</f>
        <v>0</v>
      </c>
      <c r="Q32" s="2">
        <f>+'s1'!AB32*0.0098</f>
        <v>0</v>
      </c>
      <c r="R32" s="2">
        <f>+'s1'!AC32*0.0098</f>
        <v>0</v>
      </c>
      <c r="S32" s="2">
        <f t="shared" si="1"/>
        <v>1219.3</v>
      </c>
      <c r="T32" s="2"/>
    </row>
    <row r="33" spans="1:20" s="88" customFormat="1" x14ac:dyDescent="0.2">
      <c r="A33" s="18" t="s">
        <v>636</v>
      </c>
      <c r="B33" s="2">
        <f>+'s1'!M33*0.0098</f>
        <v>0</v>
      </c>
      <c r="C33" s="2">
        <f>+'s1'!N33*0.0098</f>
        <v>0</v>
      </c>
      <c r="D33" s="2">
        <f>+'s1'!O33*0.0098</f>
        <v>0</v>
      </c>
      <c r="E33" s="2">
        <f>+'s1'!P33*0.0098</f>
        <v>0</v>
      </c>
      <c r="F33" s="2">
        <f>+'s1'!Q33*0.0098</f>
        <v>7.77</v>
      </c>
      <c r="G33" s="2">
        <f>+'s1'!R33*0.0098</f>
        <v>0</v>
      </c>
      <c r="H33" s="2">
        <f>+'s1'!S33*0.0098</f>
        <v>0</v>
      </c>
      <c r="I33" s="2">
        <f>+'s1'!T33*0.0098</f>
        <v>0</v>
      </c>
      <c r="J33" s="2">
        <f>+'s1'!U33*0.0098</f>
        <v>0</v>
      </c>
      <c r="K33" s="2">
        <f>+'s1'!V33*0.0098</f>
        <v>0</v>
      </c>
      <c r="L33" s="2">
        <f>+'s1'!W33*0.0098</f>
        <v>0</v>
      </c>
      <c r="M33" s="2">
        <f>+'s1'!X33*0.0098</f>
        <v>0</v>
      </c>
      <c r="N33" s="2">
        <f>+'s1'!Y33*0.0098</f>
        <v>0</v>
      </c>
      <c r="O33" s="2">
        <f>+'s1'!Z33*0.0098</f>
        <v>0</v>
      </c>
      <c r="P33" s="2">
        <f>+'s1'!AA33*0.0098</f>
        <v>0</v>
      </c>
      <c r="Q33" s="2">
        <f>+'s1'!AB33*0.0098</f>
        <v>0</v>
      </c>
      <c r="R33" s="2">
        <f>+'s1'!AC33*0.0098</f>
        <v>0</v>
      </c>
      <c r="S33" s="78">
        <f>SUM(B33:R33)</f>
        <v>7.77</v>
      </c>
      <c r="T33" s="10"/>
    </row>
    <row r="34" spans="1:20" x14ac:dyDescent="0.2">
      <c r="A34" s="1" t="s">
        <v>42</v>
      </c>
      <c r="B34" s="2">
        <f>+'s1'!M34*0.0098</f>
        <v>1684.9</v>
      </c>
      <c r="C34" s="2">
        <f>+'s1'!N34*0.0098</f>
        <v>0</v>
      </c>
      <c r="D34" s="2">
        <f>+'s1'!O34*0.0098</f>
        <v>0</v>
      </c>
      <c r="E34" s="2">
        <f>+'s1'!P34*0.0098</f>
        <v>1177.99</v>
      </c>
      <c r="F34" s="2">
        <f>+'s1'!Q34*0.0098</f>
        <v>0</v>
      </c>
      <c r="G34" s="2">
        <f>+'s1'!R34*0.0098</f>
        <v>0</v>
      </c>
      <c r="H34" s="2">
        <f>+'s1'!S34*0.0098</f>
        <v>0</v>
      </c>
      <c r="I34" s="2">
        <f>+'s1'!T34*0.0098</f>
        <v>125.5</v>
      </c>
      <c r="J34" s="2">
        <f>+'s1'!U34*0.0098</f>
        <v>175.5</v>
      </c>
      <c r="K34" s="2">
        <f>+'s1'!V34*0.0098</f>
        <v>0</v>
      </c>
      <c r="L34" s="2">
        <f>+'s1'!W34*0.0098</f>
        <v>1166.6500000000001</v>
      </c>
      <c r="M34" s="2">
        <f>+'s1'!X34*0.0098</f>
        <v>0</v>
      </c>
      <c r="N34" s="2">
        <f>+'s1'!Y34*0.0098</f>
        <v>0</v>
      </c>
      <c r="O34" s="2">
        <f>+'s1'!Z34*0.0098</f>
        <v>0</v>
      </c>
      <c r="P34" s="2">
        <f>+'s1'!AA34*0.0098</f>
        <v>218.58</v>
      </c>
      <c r="Q34" s="2">
        <f>+'s1'!AB34*0.0098</f>
        <v>476.56</v>
      </c>
      <c r="R34" s="2">
        <f>+'s1'!AC34*0.0098</f>
        <v>0</v>
      </c>
      <c r="S34" s="2">
        <f t="shared" ref="S34:S57" si="2">SUM(B34:R34)</f>
        <v>5025.68</v>
      </c>
      <c r="T34" s="2"/>
    </row>
    <row r="35" spans="1:20" x14ac:dyDescent="0.2">
      <c r="A35" s="1" t="s">
        <v>447</v>
      </c>
      <c r="B35" s="2">
        <f>+'s1'!M35*0.0098</f>
        <v>0</v>
      </c>
      <c r="C35" s="2">
        <f>+'s1'!N35*0.0098</f>
        <v>0</v>
      </c>
      <c r="D35" s="2">
        <f>+'s1'!O35*0.0098</f>
        <v>0</v>
      </c>
      <c r="E35" s="2">
        <f>+'s1'!P35*0.0098</f>
        <v>0</v>
      </c>
      <c r="F35" s="2">
        <f>+'s1'!Q35*0.0098</f>
        <v>1578.57</v>
      </c>
      <c r="G35" s="2">
        <f>+'s1'!R35*0.0098</f>
        <v>0</v>
      </c>
      <c r="H35" s="2">
        <f>+'s1'!S35*0.0098</f>
        <v>0</v>
      </c>
      <c r="I35" s="2">
        <f>+'s1'!T35*0.0098</f>
        <v>3045.53</v>
      </c>
      <c r="J35" s="2">
        <f>+'s1'!U35*0.0098</f>
        <v>0</v>
      </c>
      <c r="K35" s="2">
        <f>+'s1'!V35*0.0098</f>
        <v>0</v>
      </c>
      <c r="L35" s="2">
        <f>+'s1'!W35*0.0098</f>
        <v>0</v>
      </c>
      <c r="M35" s="2">
        <f>+'s1'!X35*0.0098</f>
        <v>0</v>
      </c>
      <c r="N35" s="2">
        <f>+'s1'!Y35*0.0098</f>
        <v>0</v>
      </c>
      <c r="O35" s="2">
        <f>+'s1'!Z35*0.0098</f>
        <v>0</v>
      </c>
      <c r="P35" s="2">
        <f>+'s1'!AA35*0.0098</f>
        <v>0</v>
      </c>
      <c r="Q35" s="2">
        <f>+'s1'!AB35*0.0098</f>
        <v>0</v>
      </c>
      <c r="R35" s="2">
        <f>+'s1'!AC35*0.0098</f>
        <v>0</v>
      </c>
      <c r="S35" s="2">
        <f>SUM(B35:R35)</f>
        <v>4624.1000000000004</v>
      </c>
      <c r="T35" s="2"/>
    </row>
    <row r="36" spans="1:20" x14ac:dyDescent="0.2">
      <c r="A36" s="1" t="s">
        <v>564</v>
      </c>
      <c r="B36" s="2">
        <f>+'s1'!M36*0.0098</f>
        <v>0</v>
      </c>
      <c r="C36" s="2">
        <f>+'s1'!N36*0.0098</f>
        <v>0</v>
      </c>
      <c r="D36" s="2">
        <f>+'s1'!O36*0.0098</f>
        <v>571.79999999999995</v>
      </c>
      <c r="E36" s="2">
        <f>+'s1'!P36*0.0098</f>
        <v>0</v>
      </c>
      <c r="F36" s="2">
        <f>+'s1'!Q36*0.0098</f>
        <v>0</v>
      </c>
      <c r="G36" s="2">
        <f>+'s1'!R36*0.0098</f>
        <v>0</v>
      </c>
      <c r="H36" s="2">
        <f>+'s1'!S36*0.0098</f>
        <v>0</v>
      </c>
      <c r="I36" s="2">
        <f>+'s1'!T36*0.0098</f>
        <v>0</v>
      </c>
      <c r="J36" s="2">
        <f>+'s1'!U36*0.0098</f>
        <v>0</v>
      </c>
      <c r="K36" s="2">
        <f>+'s1'!V36*0.0098</f>
        <v>0</v>
      </c>
      <c r="L36" s="2">
        <f>+'s1'!W36*0.0098</f>
        <v>0</v>
      </c>
      <c r="M36" s="2">
        <f>+'s1'!X36*0.0098</f>
        <v>0</v>
      </c>
      <c r="N36" s="2">
        <f>+'s1'!Y36*0.0098</f>
        <v>0</v>
      </c>
      <c r="O36" s="2">
        <f>+'s1'!Z36*0.0098</f>
        <v>0</v>
      </c>
      <c r="P36" s="2">
        <f>+'s1'!AA36*0.0098</f>
        <v>0</v>
      </c>
      <c r="Q36" s="2">
        <f>+'s1'!AB36*0.0098</f>
        <v>0</v>
      </c>
      <c r="R36" s="2">
        <f>+'s1'!AC36*0.0098</f>
        <v>0</v>
      </c>
      <c r="S36" s="2">
        <f t="shared" si="2"/>
        <v>571.79999999999995</v>
      </c>
      <c r="T36" s="2"/>
    </row>
    <row r="37" spans="1:20" x14ac:dyDescent="0.2">
      <c r="A37" s="1" t="s">
        <v>43</v>
      </c>
      <c r="B37" s="2">
        <f>+'s1'!M37*0.0098</f>
        <v>0</v>
      </c>
      <c r="C37" s="2">
        <f>+'s1'!N37*0.0098</f>
        <v>0</v>
      </c>
      <c r="D37" s="2">
        <f>+'s1'!O37*0.0098</f>
        <v>136817.16</v>
      </c>
      <c r="E37" s="2">
        <f>+'s1'!P37*0.0098</f>
        <v>0</v>
      </c>
      <c r="F37" s="2">
        <f>+'s1'!Q37*0.0098</f>
        <v>0</v>
      </c>
      <c r="G37" s="2">
        <f>+'s1'!R37*0.0098</f>
        <v>0</v>
      </c>
      <c r="H37" s="2">
        <f>+'s1'!S37*0.0098</f>
        <v>0</v>
      </c>
      <c r="I37" s="2">
        <f>+'s1'!T37*0.0098</f>
        <v>0</v>
      </c>
      <c r="J37" s="2">
        <f>+'s1'!U37*0.0098</f>
        <v>0</v>
      </c>
      <c r="K37" s="2">
        <f>+'s1'!V37*0.0098</f>
        <v>0</v>
      </c>
      <c r="L37" s="2">
        <f>+'s1'!W37*0.0098</f>
        <v>0</v>
      </c>
      <c r="M37" s="2">
        <f>+'s1'!X37*0.0098</f>
        <v>0</v>
      </c>
      <c r="N37" s="2">
        <f>+'s1'!Y37*0.0098</f>
        <v>2315.5100000000002</v>
      </c>
      <c r="O37" s="2">
        <f>+'s1'!Z37*0.0098</f>
        <v>0</v>
      </c>
      <c r="P37" s="2">
        <f>+'s1'!AA37*0.0098</f>
        <v>0</v>
      </c>
      <c r="Q37" s="2">
        <f>+'s1'!AB37*0.0098</f>
        <v>340.46</v>
      </c>
      <c r="R37" s="2">
        <f>+'s1'!AC37*0.0098</f>
        <v>0</v>
      </c>
      <c r="S37" s="2">
        <f t="shared" si="2"/>
        <v>139473.13</v>
      </c>
      <c r="T37" s="2"/>
    </row>
    <row r="38" spans="1:20" ht="13.5" customHeight="1" x14ac:dyDescent="0.2">
      <c r="A38" s="1" t="s">
        <v>44</v>
      </c>
      <c r="B38" s="2">
        <f>+'s1'!M38*0.0098</f>
        <v>0</v>
      </c>
      <c r="C38" s="2">
        <f>+'s1'!N38*0.0098</f>
        <v>0</v>
      </c>
      <c r="D38" s="2">
        <f>+'s1'!O38*0.0098</f>
        <v>0</v>
      </c>
      <c r="E38" s="2">
        <f>+'s1'!P38*0.0098</f>
        <v>0</v>
      </c>
      <c r="F38" s="2">
        <f>+'s1'!Q38*0.0098</f>
        <v>0</v>
      </c>
      <c r="G38" s="2">
        <f>+'s1'!R38*0.0098</f>
        <v>0</v>
      </c>
      <c r="H38" s="2">
        <f>+'s1'!S38*0.0098</f>
        <v>51.55</v>
      </c>
      <c r="I38" s="2">
        <f>+'s1'!T38*0.0098</f>
        <v>0</v>
      </c>
      <c r="J38" s="2">
        <f>+'s1'!U38*0.0098</f>
        <v>0</v>
      </c>
      <c r="K38" s="2">
        <f>+'s1'!V38*0.0098</f>
        <v>0</v>
      </c>
      <c r="L38" s="2">
        <f>+'s1'!W38*0.0098</f>
        <v>0</v>
      </c>
      <c r="M38" s="2">
        <f>+'s1'!X38*0.0098</f>
        <v>0</v>
      </c>
      <c r="N38" s="2">
        <f>+'s1'!Y38*0.0098</f>
        <v>7.38</v>
      </c>
      <c r="O38" s="2">
        <f>+'s1'!Z38*0.0098</f>
        <v>0</v>
      </c>
      <c r="P38" s="2">
        <f>+'s1'!AA38*0.0098</f>
        <v>0</v>
      </c>
      <c r="Q38" s="2">
        <f>+'s1'!AB38*0.0098</f>
        <v>0</v>
      </c>
      <c r="R38" s="2">
        <f>+'s1'!AC38*0.0098</f>
        <v>291.43</v>
      </c>
      <c r="S38" s="2">
        <f t="shared" si="2"/>
        <v>350.36</v>
      </c>
      <c r="T38" s="2"/>
    </row>
    <row r="39" spans="1:20" x14ac:dyDescent="0.2">
      <c r="A39" s="18" t="s">
        <v>45</v>
      </c>
      <c r="B39" s="2">
        <f>+'s1'!M39*0.0098</f>
        <v>0</v>
      </c>
      <c r="C39" s="2">
        <f>+'s1'!N39*0.0098</f>
        <v>0</v>
      </c>
      <c r="D39" s="2">
        <f>+'s1'!O39*0.0098</f>
        <v>15337</v>
      </c>
      <c r="E39" s="2">
        <f>+'s1'!P39*0.0098</f>
        <v>0</v>
      </c>
      <c r="F39" s="2">
        <f>+'s1'!Q39*0.0098</f>
        <v>0</v>
      </c>
      <c r="G39" s="2">
        <f>+'s1'!R39*0.0098</f>
        <v>0</v>
      </c>
      <c r="H39" s="2">
        <f>+'s1'!S39*0.0098</f>
        <v>0</v>
      </c>
      <c r="I39" s="2">
        <f>+'s1'!T39*0.0098</f>
        <v>0</v>
      </c>
      <c r="J39" s="2">
        <f>+'s1'!U39*0.0098</f>
        <v>0</v>
      </c>
      <c r="K39" s="2">
        <f>+'s1'!V39*0.0098</f>
        <v>0</v>
      </c>
      <c r="L39" s="2">
        <f>+'s1'!W39*0.0098</f>
        <v>0</v>
      </c>
      <c r="M39" s="2">
        <f>+'s1'!X39*0.0098</f>
        <v>0</v>
      </c>
      <c r="N39" s="2">
        <f>+'s1'!Y39*0.0098</f>
        <v>0</v>
      </c>
      <c r="O39" s="2">
        <f>+'s1'!Z39*0.0098</f>
        <v>0</v>
      </c>
      <c r="P39" s="2">
        <f>+'s1'!AA39*0.0098</f>
        <v>0</v>
      </c>
      <c r="Q39" s="2">
        <f>+'s1'!AB39*0.0098</f>
        <v>0</v>
      </c>
      <c r="R39" s="2">
        <f>+'s1'!AC39*0.0098</f>
        <v>0</v>
      </c>
      <c r="S39" s="2">
        <f t="shared" si="2"/>
        <v>15337</v>
      </c>
      <c r="T39" s="2"/>
    </row>
    <row r="40" spans="1:20" s="88" customFormat="1" x14ac:dyDescent="0.2">
      <c r="A40" s="18" t="s">
        <v>612</v>
      </c>
      <c r="B40" s="2">
        <f>+'s1'!M40*0.0098</f>
        <v>0</v>
      </c>
      <c r="C40" s="2">
        <f>+'s1'!N40*0.0098</f>
        <v>0</v>
      </c>
      <c r="D40" s="2">
        <f>+'s1'!O40*0.0098</f>
        <v>3.7</v>
      </c>
      <c r="E40" s="2">
        <f>+'s1'!P40*0.0098</f>
        <v>0</v>
      </c>
      <c r="F40" s="2">
        <f>+'s1'!Q40*0.0098</f>
        <v>0</v>
      </c>
      <c r="G40" s="2">
        <f>+'s1'!R40*0.0098</f>
        <v>0</v>
      </c>
      <c r="H40" s="2">
        <f>+'s1'!S40*0.0098</f>
        <v>0</v>
      </c>
      <c r="I40" s="2">
        <f>+'s1'!T40*0.0098</f>
        <v>0</v>
      </c>
      <c r="J40" s="2">
        <f>+'s1'!U40*0.0098</f>
        <v>0</v>
      </c>
      <c r="K40" s="2">
        <f>+'s1'!V40*0.0098</f>
        <v>0</v>
      </c>
      <c r="L40" s="2">
        <f>+'s1'!W40*0.0098</f>
        <v>0</v>
      </c>
      <c r="M40" s="2">
        <f>+'s1'!X40*0.0098</f>
        <v>0</v>
      </c>
      <c r="N40" s="2">
        <f>+'s1'!Y40*0.0098</f>
        <v>0</v>
      </c>
      <c r="O40" s="2">
        <f>+'s1'!Z40*0.0098</f>
        <v>0</v>
      </c>
      <c r="P40" s="2">
        <f>+'s1'!AA40*0.0098</f>
        <v>0</v>
      </c>
      <c r="Q40" s="2">
        <f>+'s1'!AB40*0.0098</f>
        <v>4.72</v>
      </c>
      <c r="R40" s="2">
        <f>+'s1'!AC40*0.0098</f>
        <v>0</v>
      </c>
      <c r="S40" s="78">
        <f>SUM(B40:R40)</f>
        <v>8.42</v>
      </c>
      <c r="T40" s="10"/>
    </row>
    <row r="41" spans="1:20" x14ac:dyDescent="0.2">
      <c r="A41" s="18" t="s">
        <v>606</v>
      </c>
      <c r="B41" s="2">
        <f>+'s1'!M41*0.0098</f>
        <v>0</v>
      </c>
      <c r="C41" s="2">
        <f>+'s1'!N41*0.0098</f>
        <v>0</v>
      </c>
      <c r="D41" s="2">
        <f>+'s1'!O41*0.0098</f>
        <v>277.93</v>
      </c>
      <c r="E41" s="2">
        <f>+'s1'!P41*0.0098</f>
        <v>0</v>
      </c>
      <c r="F41" s="2">
        <f>+'s1'!Q41*0.0098</f>
        <v>0</v>
      </c>
      <c r="G41" s="2">
        <f>+'s1'!R41*0.0098</f>
        <v>0</v>
      </c>
      <c r="H41" s="2">
        <f>+'s1'!S41*0.0098</f>
        <v>0</v>
      </c>
      <c r="I41" s="2">
        <f>+'s1'!T41*0.0098</f>
        <v>0</v>
      </c>
      <c r="J41" s="2">
        <f>+'s1'!U41*0.0098</f>
        <v>0</v>
      </c>
      <c r="K41" s="2">
        <f>+'s1'!V41*0.0098</f>
        <v>0</v>
      </c>
      <c r="L41" s="2">
        <f>+'s1'!W41*0.0098</f>
        <v>0</v>
      </c>
      <c r="M41" s="2">
        <f>+'s1'!X41*0.0098</f>
        <v>0</v>
      </c>
      <c r="N41" s="2">
        <f>+'s1'!Y41*0.0098</f>
        <v>0</v>
      </c>
      <c r="O41" s="2">
        <f>+'s1'!Z41*0.0098</f>
        <v>0</v>
      </c>
      <c r="P41" s="2">
        <f>+'s1'!AA41*0.0098</f>
        <v>0</v>
      </c>
      <c r="Q41" s="2">
        <f>+'s1'!AB41*0.0098</f>
        <v>2579.0300000000002</v>
      </c>
      <c r="R41" s="2">
        <f>+'s1'!AC41*0.0098</f>
        <v>0</v>
      </c>
      <c r="S41" s="2">
        <f t="shared" si="2"/>
        <v>2856.96</v>
      </c>
      <c r="T41" s="2"/>
    </row>
    <row r="42" spans="1:20" s="88" customFormat="1" x14ac:dyDescent="0.2">
      <c r="A42" s="18" t="s">
        <v>762</v>
      </c>
      <c r="B42" s="2">
        <f>+'s1'!M42*0.0098</f>
        <v>0</v>
      </c>
      <c r="C42" s="2">
        <f>+'s1'!N42*0.0098</f>
        <v>0</v>
      </c>
      <c r="D42" s="2">
        <f>+'s1'!O42*0.0098</f>
        <v>0</v>
      </c>
      <c r="E42" s="2">
        <f>+'s1'!P42*0.0098</f>
        <v>0</v>
      </c>
      <c r="F42" s="2">
        <f>+'s1'!Q42*0.0098</f>
        <v>0</v>
      </c>
      <c r="G42" s="2">
        <f>+'s1'!R42*0.0098</f>
        <v>0</v>
      </c>
      <c r="H42" s="2">
        <f>+'s1'!S42*0.0098</f>
        <v>0</v>
      </c>
      <c r="I42" s="2">
        <f>+'s1'!T42*0.0098</f>
        <v>0</v>
      </c>
      <c r="J42" s="2">
        <f>+'s1'!U42*0.0098</f>
        <v>0</v>
      </c>
      <c r="K42" s="2">
        <f>+'s1'!V42*0.0098</f>
        <v>0</v>
      </c>
      <c r="L42" s="2">
        <f>+'s1'!W42*0.0098</f>
        <v>0</v>
      </c>
      <c r="M42" s="2">
        <f>+'s1'!X42*0.0098</f>
        <v>0</v>
      </c>
      <c r="N42" s="2">
        <f>+'s1'!Y42*0.0098</f>
        <v>0</v>
      </c>
      <c r="O42" s="2">
        <f>+'s1'!Z42*0.0098</f>
        <v>0</v>
      </c>
      <c r="P42" s="2">
        <f>+'s1'!AA42*0.0098</f>
        <v>0</v>
      </c>
      <c r="Q42" s="2">
        <f>+'s1'!AB42*0.0098</f>
        <v>0</v>
      </c>
      <c r="R42" s="2">
        <f>+'s1'!AC42*0.0098</f>
        <v>0</v>
      </c>
      <c r="S42" s="78">
        <f>SUM(B42:R42)</f>
        <v>0</v>
      </c>
      <c r="T42" s="10"/>
    </row>
    <row r="43" spans="1:20" x14ac:dyDescent="0.2">
      <c r="A43" s="1" t="s">
        <v>46</v>
      </c>
      <c r="B43" s="2">
        <f>+'s1'!M43*0.0098</f>
        <v>0</v>
      </c>
      <c r="C43" s="2">
        <f>+'s1'!N43*0.0098</f>
        <v>0</v>
      </c>
      <c r="D43" s="2">
        <f>+'s1'!O43*0.0098</f>
        <v>0</v>
      </c>
      <c r="E43" s="2">
        <f>+'s1'!P43*0.0098</f>
        <v>0</v>
      </c>
      <c r="F43" s="2">
        <f>+'s1'!Q43*0.0098</f>
        <v>1457.68</v>
      </c>
      <c r="G43" s="2">
        <f>+'s1'!R43*0.0098</f>
        <v>0</v>
      </c>
      <c r="H43" s="2">
        <f>+'s1'!S43*0.0098</f>
        <v>0</v>
      </c>
      <c r="I43" s="2">
        <f>+'s1'!T43*0.0098</f>
        <v>0</v>
      </c>
      <c r="J43" s="2">
        <f>+'s1'!U43*0.0098</f>
        <v>0</v>
      </c>
      <c r="K43" s="2">
        <f>+'s1'!V43*0.0098</f>
        <v>0</v>
      </c>
      <c r="L43" s="2">
        <f>+'s1'!W43*0.0098</f>
        <v>0</v>
      </c>
      <c r="M43" s="2">
        <f>+'s1'!X43*0.0098</f>
        <v>0</v>
      </c>
      <c r="N43" s="2">
        <f>+'s1'!Y43*0.0098</f>
        <v>0</v>
      </c>
      <c r="O43" s="2">
        <f>+'s1'!Z43*0.0098</f>
        <v>0</v>
      </c>
      <c r="P43" s="2">
        <f>+'s1'!AA43*0.0098</f>
        <v>0</v>
      </c>
      <c r="Q43" s="2">
        <f>+'s1'!AB43*0.0098</f>
        <v>0</v>
      </c>
      <c r="R43" s="2">
        <f>+'s1'!AC43*0.0098</f>
        <v>0</v>
      </c>
      <c r="S43" s="2">
        <f>SUM(B43:R43)</f>
        <v>1457.68</v>
      </c>
      <c r="T43" s="1"/>
    </row>
    <row r="44" spans="1:20" x14ac:dyDescent="0.2">
      <c r="A44" s="1" t="s">
        <v>448</v>
      </c>
      <c r="B44" s="2">
        <f>+'s1'!M44*0.0098</f>
        <v>0</v>
      </c>
      <c r="C44" s="2">
        <f>+'s1'!N44*0.0098</f>
        <v>0</v>
      </c>
      <c r="D44" s="2">
        <f>+'s1'!O44*0.0098</f>
        <v>38.630000000000003</v>
      </c>
      <c r="E44" s="2">
        <f>+'s1'!P44*0.0098</f>
        <v>0</v>
      </c>
      <c r="F44" s="2">
        <f>+'s1'!Q44*0.0098</f>
        <v>0</v>
      </c>
      <c r="G44" s="2">
        <f>+'s1'!R44*0.0098</f>
        <v>0</v>
      </c>
      <c r="H44" s="2">
        <f>+'s1'!S44*0.0098</f>
        <v>0</v>
      </c>
      <c r="I44" s="2">
        <f>+'s1'!T44*0.0098</f>
        <v>0</v>
      </c>
      <c r="J44" s="2">
        <f>+'s1'!U44*0.0098</f>
        <v>0</v>
      </c>
      <c r="K44" s="2">
        <f>+'s1'!V44*0.0098</f>
        <v>0</v>
      </c>
      <c r="L44" s="2">
        <f>+'s1'!W44*0.0098</f>
        <v>0</v>
      </c>
      <c r="M44" s="2">
        <f>+'s1'!X44*0.0098</f>
        <v>0</v>
      </c>
      <c r="N44" s="2">
        <f>+'s1'!Y44*0.0098</f>
        <v>0</v>
      </c>
      <c r="O44" s="2">
        <f>+'s1'!Z44*0.0098</f>
        <v>0</v>
      </c>
      <c r="P44" s="2">
        <f>+'s1'!AA44*0.0098</f>
        <v>0</v>
      </c>
      <c r="Q44" s="2">
        <f>+'s1'!AB44*0.0098</f>
        <v>0</v>
      </c>
      <c r="R44" s="2">
        <f>+'s1'!AC44*0.0098</f>
        <v>0</v>
      </c>
      <c r="S44" s="2">
        <f t="shared" si="2"/>
        <v>38.630000000000003</v>
      </c>
      <c r="T44" s="1"/>
    </row>
    <row r="45" spans="1:20" x14ac:dyDescent="0.2">
      <c r="A45" s="1" t="s">
        <v>430</v>
      </c>
      <c r="B45" s="2">
        <f>+'s1'!M45*0.0098</f>
        <v>0</v>
      </c>
      <c r="C45" s="2">
        <f>+'s1'!N45*0.0098</f>
        <v>0</v>
      </c>
      <c r="D45" s="2">
        <f>+'s1'!O45*0.0098</f>
        <v>22706.78</v>
      </c>
      <c r="E45" s="2">
        <f>+'s1'!P45*0.0098</f>
        <v>0</v>
      </c>
      <c r="F45" s="2">
        <f>+'s1'!Q45*0.0098</f>
        <v>0</v>
      </c>
      <c r="G45" s="2">
        <f>+'s1'!R45*0.0098</f>
        <v>0</v>
      </c>
      <c r="H45" s="2">
        <f>+'s1'!S45*0.0098</f>
        <v>0</v>
      </c>
      <c r="I45" s="2">
        <f>+'s1'!T45*0.0098</f>
        <v>0</v>
      </c>
      <c r="J45" s="2">
        <f>+'s1'!U45*0.0098</f>
        <v>0</v>
      </c>
      <c r="K45" s="2">
        <f>+'s1'!V45*0.0098</f>
        <v>0</v>
      </c>
      <c r="L45" s="2">
        <f>+'s1'!W45*0.0098</f>
        <v>0</v>
      </c>
      <c r="M45" s="2">
        <f>+'s1'!X45*0.0098</f>
        <v>0</v>
      </c>
      <c r="N45" s="2">
        <f>+'s1'!Y45*0.0098</f>
        <v>1248.52</v>
      </c>
      <c r="O45" s="2">
        <f>+'s1'!Z45*0.0098</f>
        <v>0</v>
      </c>
      <c r="P45" s="2">
        <f>+'s1'!AA45*0.0098</f>
        <v>0</v>
      </c>
      <c r="Q45" s="2">
        <f>+'s1'!AB45*0.0098</f>
        <v>0</v>
      </c>
      <c r="R45" s="2">
        <f>+'s1'!AC45*0.0098</f>
        <v>0</v>
      </c>
      <c r="S45" s="2">
        <f>SUM(B45:R45)</f>
        <v>23955.3</v>
      </c>
      <c r="T45" s="1"/>
    </row>
    <row r="46" spans="1:20" x14ac:dyDescent="0.2">
      <c r="A46" s="1" t="s">
        <v>449</v>
      </c>
      <c r="B46" s="2">
        <f>+'s1'!M46*0.0098</f>
        <v>0</v>
      </c>
      <c r="C46" s="2">
        <f>+'s1'!N46*0.0098</f>
        <v>0</v>
      </c>
      <c r="D46" s="2">
        <f>+'s1'!O46*0.0098</f>
        <v>1014.67</v>
      </c>
      <c r="E46" s="2">
        <f>+'s1'!P46*0.0098</f>
        <v>0</v>
      </c>
      <c r="F46" s="2">
        <f>+'s1'!Q46*0.0098</f>
        <v>684.89</v>
      </c>
      <c r="G46" s="2">
        <f>+'s1'!R46*0.0098</f>
        <v>0</v>
      </c>
      <c r="H46" s="2">
        <f>+'s1'!S46*0.0098</f>
        <v>0</v>
      </c>
      <c r="I46" s="2">
        <f>+'s1'!T46*0.0098</f>
        <v>0</v>
      </c>
      <c r="J46" s="2">
        <f>+'s1'!U46*0.0098</f>
        <v>0</v>
      </c>
      <c r="K46" s="2">
        <f>+'s1'!V46*0.0098</f>
        <v>0</v>
      </c>
      <c r="L46" s="2">
        <f>+'s1'!W46*0.0098</f>
        <v>0</v>
      </c>
      <c r="M46" s="2">
        <f>+'s1'!X46*0.0098</f>
        <v>0</v>
      </c>
      <c r="N46" s="2">
        <f>+'s1'!Y46*0.0098</f>
        <v>0</v>
      </c>
      <c r="O46" s="2">
        <f>+'s1'!Z46*0.0098</f>
        <v>0</v>
      </c>
      <c r="P46" s="2">
        <f>+'s1'!AA46*0.0098</f>
        <v>0</v>
      </c>
      <c r="Q46" s="2">
        <f>+'s1'!AB46*0.0098</f>
        <v>0</v>
      </c>
      <c r="R46" s="2">
        <f>+'s1'!AC46*0.0098</f>
        <v>0</v>
      </c>
      <c r="S46" s="2">
        <f t="shared" si="2"/>
        <v>1699.56</v>
      </c>
      <c r="T46" s="1"/>
    </row>
    <row r="47" spans="1:20" x14ac:dyDescent="0.2">
      <c r="A47" s="1" t="s">
        <v>721</v>
      </c>
      <c r="B47" s="2">
        <f>+'s1'!M47*0.0098</f>
        <v>0</v>
      </c>
      <c r="C47" s="2">
        <f>+'s1'!N47*0.0098</f>
        <v>0</v>
      </c>
      <c r="D47" s="2">
        <f>+'s1'!O47*0.0098</f>
        <v>0</v>
      </c>
      <c r="E47" s="2">
        <f>+'s1'!P47*0.0098</f>
        <v>0</v>
      </c>
      <c r="F47" s="2">
        <f>+'s1'!Q47*0.0098-2.3</f>
        <v>25.92</v>
      </c>
      <c r="G47" s="2">
        <f>+'s1'!R47*0.0098</f>
        <v>0</v>
      </c>
      <c r="H47" s="2">
        <f>+'s1'!S47*0.0098</f>
        <v>0</v>
      </c>
      <c r="I47" s="2">
        <f>+'s1'!T47*0.0098</f>
        <v>0</v>
      </c>
      <c r="J47" s="2">
        <f>+'s1'!U47*0.0098</f>
        <v>0</v>
      </c>
      <c r="K47" s="2">
        <f>+'s1'!V47*0.0098</f>
        <v>0</v>
      </c>
      <c r="L47" s="2">
        <f>+'s1'!W47*0.0098</f>
        <v>0</v>
      </c>
      <c r="M47" s="2">
        <f>+'s1'!X47*0.0098</f>
        <v>0</v>
      </c>
      <c r="N47" s="2">
        <f>+'s1'!Y47*0.0098</f>
        <v>0</v>
      </c>
      <c r="O47" s="2">
        <f>+'s1'!Z47*0.0098</f>
        <v>0</v>
      </c>
      <c r="P47" s="2">
        <f>+'s1'!AA47*0.0098</f>
        <v>0</v>
      </c>
      <c r="Q47" s="2">
        <f>+'s1'!AB47*0.0098</f>
        <v>0</v>
      </c>
      <c r="R47" s="2">
        <f>+'s1'!AC47*0.0098</f>
        <v>0</v>
      </c>
      <c r="S47" s="2">
        <f>SUM(B47:R47)</f>
        <v>25.92</v>
      </c>
      <c r="T47" s="1"/>
    </row>
    <row r="48" spans="1:20" x14ac:dyDescent="0.2">
      <c r="A48" s="1" t="s">
        <v>455</v>
      </c>
      <c r="B48" s="2">
        <f>+'s1'!M48*0.0098</f>
        <v>0</v>
      </c>
      <c r="C48" s="2">
        <f>+'s1'!N48*0.0098</f>
        <v>0</v>
      </c>
      <c r="D48" s="2">
        <f>+'s1'!O48*0.0098</f>
        <v>0</v>
      </c>
      <c r="E48" s="2">
        <f>+'s1'!P48*0.0098</f>
        <v>0</v>
      </c>
      <c r="F48" s="2">
        <f>+'s1'!Q48*0.0098</f>
        <v>0</v>
      </c>
      <c r="G48" s="2">
        <f>+'s1'!R48*0.0098</f>
        <v>0</v>
      </c>
      <c r="H48" s="2">
        <f>+'s1'!S48*0.0098</f>
        <v>0</v>
      </c>
      <c r="I48" s="2">
        <f>+'s1'!T48*0.0098</f>
        <v>9.36</v>
      </c>
      <c r="J48" s="2">
        <f>+'s1'!U48*0.0098</f>
        <v>0</v>
      </c>
      <c r="K48" s="2">
        <f>+'s1'!V48*0.0098</f>
        <v>0</v>
      </c>
      <c r="L48" s="2">
        <f>+'s1'!W48*0.0098</f>
        <v>0</v>
      </c>
      <c r="M48" s="2">
        <f>+'s1'!X48*0.0098</f>
        <v>0</v>
      </c>
      <c r="N48" s="2">
        <f>+'s1'!Y48*0.0098</f>
        <v>0</v>
      </c>
      <c r="O48" s="2">
        <f>+'s1'!Z48*0.0098</f>
        <v>0</v>
      </c>
      <c r="P48" s="2">
        <f>+'s1'!AA48*0.0098</f>
        <v>0</v>
      </c>
      <c r="Q48" s="2">
        <f>+'s1'!AB48*0.0098</f>
        <v>4.62</v>
      </c>
      <c r="R48" s="2">
        <f>+'s1'!AC48*0.0098</f>
        <v>0</v>
      </c>
      <c r="S48" s="2">
        <f t="shared" si="2"/>
        <v>13.98</v>
      </c>
      <c r="T48" s="1"/>
    </row>
    <row r="49" spans="1:20" x14ac:dyDescent="0.2">
      <c r="A49" s="18" t="s">
        <v>499</v>
      </c>
      <c r="B49" s="2">
        <f>+'s1'!M49*0.0098</f>
        <v>0</v>
      </c>
      <c r="C49" s="2">
        <f>+'s1'!N49*0.0098</f>
        <v>654.88</v>
      </c>
      <c r="D49" s="2">
        <f>+'s1'!O49*0.0098</f>
        <v>34322.949999999997</v>
      </c>
      <c r="E49" s="2">
        <f>+'s1'!P49*0.0098</f>
        <v>0</v>
      </c>
      <c r="F49" s="2">
        <f>+'s1'!Q49*0.0098</f>
        <v>0</v>
      </c>
      <c r="G49" s="2">
        <f>+'s1'!R49*0.0098</f>
        <v>0</v>
      </c>
      <c r="H49" s="2">
        <f>+'s1'!S49*0.0098</f>
        <v>0</v>
      </c>
      <c r="I49" s="2">
        <f>+'s1'!T49*0.0098</f>
        <v>0</v>
      </c>
      <c r="J49" s="2">
        <f>+'s1'!U49*0.0098</f>
        <v>0</v>
      </c>
      <c r="K49" s="2">
        <f>+'s1'!V49*0.0098</f>
        <v>0</v>
      </c>
      <c r="L49" s="2">
        <f>+'s1'!W49*0.0098</f>
        <v>0</v>
      </c>
      <c r="M49" s="2">
        <f>+'s1'!X49*0.0098</f>
        <v>0</v>
      </c>
      <c r="N49" s="2">
        <f>+'s1'!Y49*0.0098</f>
        <v>0</v>
      </c>
      <c r="O49" s="2">
        <f>+'s1'!Z49*0.0098</f>
        <v>0</v>
      </c>
      <c r="P49" s="2">
        <f>+'s1'!AA49*0.0098</f>
        <v>0</v>
      </c>
      <c r="Q49" s="2">
        <f>+'s1'!AB49*0.0098</f>
        <v>1524.06</v>
      </c>
      <c r="R49" s="2">
        <f>+'s1'!AC49*0.0098</f>
        <v>0</v>
      </c>
      <c r="S49" s="2">
        <f t="shared" si="2"/>
        <v>36501.89</v>
      </c>
      <c r="T49" s="2"/>
    </row>
    <row r="50" spans="1:20" s="88" customFormat="1" x14ac:dyDescent="0.2">
      <c r="A50" s="18" t="s">
        <v>137</v>
      </c>
      <c r="B50" s="2">
        <f>+'s1'!M50*0.0098</f>
        <v>0</v>
      </c>
      <c r="C50" s="2">
        <f>+'s1'!N50*0.0098</f>
        <v>0</v>
      </c>
      <c r="D50" s="2">
        <f>+'s1'!O50*0.0098</f>
        <v>0</v>
      </c>
      <c r="E50" s="2">
        <f>+'s1'!P50*0.0098</f>
        <v>0</v>
      </c>
      <c r="F50" s="2">
        <f>+'s1'!Q50*0.0098</f>
        <v>0</v>
      </c>
      <c r="G50" s="2">
        <f>+'s1'!R50*0.0098</f>
        <v>0</v>
      </c>
      <c r="H50" s="2">
        <f>+'s1'!S50*0.0098</f>
        <v>0</v>
      </c>
      <c r="I50" s="2">
        <f>+'s1'!T50*0.0098</f>
        <v>0</v>
      </c>
      <c r="J50" s="2">
        <f>+'s1'!U50*0.0098</f>
        <v>0</v>
      </c>
      <c r="K50" s="2">
        <f>+'s1'!V50*0.0098</f>
        <v>0</v>
      </c>
      <c r="L50" s="2">
        <f>+'s1'!W50*0.0098</f>
        <v>0</v>
      </c>
      <c r="M50" s="2">
        <f>+'s1'!X50*0.0098</f>
        <v>0</v>
      </c>
      <c r="N50" s="2">
        <f>+'s1'!Y50*0.0098</f>
        <v>1562.48</v>
      </c>
      <c r="O50" s="2">
        <f>+'s1'!Z50*0.0098</f>
        <v>0</v>
      </c>
      <c r="P50" s="2">
        <f>+'s1'!AA50*0.0098</f>
        <v>0</v>
      </c>
      <c r="Q50" s="2">
        <f>+'s1'!AB50*0.0098</f>
        <v>0</v>
      </c>
      <c r="R50" s="2">
        <f>+'s1'!AC50*0.0098</f>
        <v>0</v>
      </c>
      <c r="S50" s="78">
        <f>SUM(B50:R50)</f>
        <v>1562.48</v>
      </c>
      <c r="T50" s="10"/>
    </row>
    <row r="51" spans="1:20" x14ac:dyDescent="0.2">
      <c r="A51" s="1" t="s">
        <v>431</v>
      </c>
      <c r="B51" s="2">
        <f>+'s1'!M51*0.0098</f>
        <v>0</v>
      </c>
      <c r="C51" s="2">
        <f>+'s1'!N51*0.0098</f>
        <v>0</v>
      </c>
      <c r="D51" s="2">
        <f>+'s1'!O51*0.0098</f>
        <v>21943.5</v>
      </c>
      <c r="E51" s="2">
        <f>+'s1'!P51*0.0098</f>
        <v>0</v>
      </c>
      <c r="F51" s="2">
        <f>+'s1'!Q51*0.0098</f>
        <v>0</v>
      </c>
      <c r="G51" s="2">
        <f>+'s1'!R51*0.0098</f>
        <v>0</v>
      </c>
      <c r="H51" s="2">
        <f>+'s1'!S51*0.0098</f>
        <v>0</v>
      </c>
      <c r="I51" s="2">
        <f>+'s1'!T51*0.0098</f>
        <v>0</v>
      </c>
      <c r="J51" s="2">
        <f>+'s1'!U51*0.0098</f>
        <v>0</v>
      </c>
      <c r="K51" s="2">
        <f>+'s1'!V51*0.0098</f>
        <v>0</v>
      </c>
      <c r="L51" s="2">
        <f>+'s1'!W51*0.0098</f>
        <v>0</v>
      </c>
      <c r="M51" s="2">
        <f>+'s1'!X51*0.0098</f>
        <v>0</v>
      </c>
      <c r="N51" s="2">
        <f>+'s1'!Y51*0.0098</f>
        <v>890.27</v>
      </c>
      <c r="O51" s="2">
        <f>+'s1'!Z51*0.0098</f>
        <v>0</v>
      </c>
      <c r="P51" s="2">
        <f>+'s1'!AA51*0.0098</f>
        <v>0</v>
      </c>
      <c r="Q51" s="2">
        <f>+'s1'!AB51*0.0098</f>
        <v>0</v>
      </c>
      <c r="R51" s="2">
        <f>+'s1'!AC51*0.0098</f>
        <v>0</v>
      </c>
      <c r="S51" s="2">
        <f t="shared" si="2"/>
        <v>22833.77</v>
      </c>
      <c r="T51" s="2"/>
    </row>
    <row r="52" spans="1:20" x14ac:dyDescent="0.2">
      <c r="A52" s="18" t="s">
        <v>502</v>
      </c>
      <c r="B52" s="2">
        <f>+'s1'!M52*0.0098</f>
        <v>0</v>
      </c>
      <c r="C52" s="2">
        <f>+'s1'!N52*0.0098</f>
        <v>0</v>
      </c>
      <c r="D52" s="2">
        <f>+'s1'!O52*0.0098</f>
        <v>0</v>
      </c>
      <c r="E52" s="2">
        <f>+'s1'!P52*0.0098</f>
        <v>0</v>
      </c>
      <c r="F52" s="2">
        <f>+'s1'!Q52*0.0098</f>
        <v>0</v>
      </c>
      <c r="G52" s="2">
        <f>+'s1'!R52*0.0098</f>
        <v>0</v>
      </c>
      <c r="H52" s="2">
        <f>+'s1'!S52*0.0098</f>
        <v>0</v>
      </c>
      <c r="I52" s="2">
        <f>+'s1'!T52*0.0098</f>
        <v>0</v>
      </c>
      <c r="J52" s="2">
        <f>+'s1'!U52*0.0098</f>
        <v>0</v>
      </c>
      <c r="K52" s="2">
        <f>+'s1'!V52*0.0098</f>
        <v>0</v>
      </c>
      <c r="L52" s="2">
        <f>+'s1'!W52*0.0098</f>
        <v>0</v>
      </c>
      <c r="M52" s="2">
        <f>+'s1'!X52*0.0098</f>
        <v>0</v>
      </c>
      <c r="N52" s="2">
        <f>+'s1'!Y52*0.0098</f>
        <v>1404.1</v>
      </c>
      <c r="O52" s="2">
        <f>+'s1'!Z52*0.0098</f>
        <v>0</v>
      </c>
      <c r="P52" s="2">
        <f>+'s1'!AA52*0.0098</f>
        <v>0</v>
      </c>
      <c r="Q52" s="2">
        <f>+'s1'!AB52*0.0098</f>
        <v>0</v>
      </c>
      <c r="R52" s="2">
        <f>+'s1'!AC52*0.0098</f>
        <v>0</v>
      </c>
      <c r="S52" s="2">
        <f t="shared" si="2"/>
        <v>1404.1</v>
      </c>
      <c r="T52" s="2"/>
    </row>
    <row r="53" spans="1:20" x14ac:dyDescent="0.2">
      <c r="A53" s="18" t="s">
        <v>607</v>
      </c>
      <c r="B53" s="2">
        <f>+'s1'!M53*0.0098</f>
        <v>0</v>
      </c>
      <c r="C53" s="2">
        <f>+'s1'!N53*0.0098</f>
        <v>0</v>
      </c>
      <c r="D53" s="2">
        <f>+'s1'!O53*0.0098</f>
        <v>6949.86</v>
      </c>
      <c r="E53" s="2">
        <f>+'s1'!P53*0.0098</f>
        <v>87.94</v>
      </c>
      <c r="F53" s="2">
        <f>+'s1'!Q53*0.0098</f>
        <v>1123.31</v>
      </c>
      <c r="G53" s="2">
        <f>+'s1'!R53*0.0098</f>
        <v>0</v>
      </c>
      <c r="H53" s="2">
        <f>+'s1'!S53*0.0098</f>
        <v>0</v>
      </c>
      <c r="I53" s="2">
        <f>+'s1'!T53*0.0098</f>
        <v>0</v>
      </c>
      <c r="J53" s="2">
        <f>+'s1'!U53*0.0098</f>
        <v>0</v>
      </c>
      <c r="K53" s="2">
        <f>+'s1'!V53*0.0098</f>
        <v>0</v>
      </c>
      <c r="L53" s="2">
        <f>+'s1'!W53*0.0098</f>
        <v>323.73</v>
      </c>
      <c r="M53" s="2">
        <f>+'s1'!X53*0.0098</f>
        <v>0</v>
      </c>
      <c r="N53" s="2">
        <f>+'s1'!Y53*0.0098</f>
        <v>0</v>
      </c>
      <c r="O53" s="2">
        <f>+'s1'!Z53*0.0098</f>
        <v>0</v>
      </c>
      <c r="P53" s="2">
        <f>+'s1'!AA53*0.0098</f>
        <v>0</v>
      </c>
      <c r="Q53" s="2">
        <f>+'s1'!AB53*0.0098</f>
        <v>0</v>
      </c>
      <c r="R53" s="2">
        <f>+'s1'!AC53*0.0098</f>
        <v>0</v>
      </c>
      <c r="S53" s="2">
        <f>SUM(B53:R53)</f>
        <v>8484.84</v>
      </c>
      <c r="T53" s="2"/>
    </row>
    <row r="54" spans="1:20" x14ac:dyDescent="0.2">
      <c r="A54" s="7" t="s">
        <v>346</v>
      </c>
      <c r="B54" s="2">
        <f>+'s1'!M54*0.0098</f>
        <v>0</v>
      </c>
      <c r="C54" s="2">
        <f>+'s1'!N54*0.0098</f>
        <v>0</v>
      </c>
      <c r="D54" s="2">
        <f>+'s1'!O54*0.0098</f>
        <v>0</v>
      </c>
      <c r="E54" s="2">
        <f>+'s1'!P54*0.0098</f>
        <v>0</v>
      </c>
      <c r="F54" s="2">
        <f>+'s1'!Q54*0.0098</f>
        <v>0</v>
      </c>
      <c r="G54" s="2">
        <f>+'s1'!R54*0.0098</f>
        <v>82.51</v>
      </c>
      <c r="H54" s="2">
        <f>+'s1'!S54*0.0098</f>
        <v>0</v>
      </c>
      <c r="I54" s="2">
        <f>+'s1'!T54*0.0098</f>
        <v>39.64</v>
      </c>
      <c r="J54" s="2">
        <f>+'s1'!U54*0.0098</f>
        <v>0</v>
      </c>
      <c r="K54" s="2">
        <f>+'s1'!V54*0.0098</f>
        <v>0</v>
      </c>
      <c r="L54" s="2">
        <f>+'s1'!W54*0.0098</f>
        <v>0</v>
      </c>
      <c r="M54" s="2">
        <f>+'s1'!X54*0.0098</f>
        <v>204.03</v>
      </c>
      <c r="N54" s="2">
        <f>+'s1'!Y54*0.0098</f>
        <v>1099.6199999999999</v>
      </c>
      <c r="O54" s="2">
        <f>+'s1'!Z54*0.0098</f>
        <v>0</v>
      </c>
      <c r="P54" s="2">
        <f>+'s1'!AA54*0.0098</f>
        <v>0</v>
      </c>
      <c r="Q54" s="2">
        <f>+'s1'!AB54*0.0098</f>
        <v>0</v>
      </c>
      <c r="R54" s="2">
        <f>+'s1'!AC54*0.0098</f>
        <v>468.69</v>
      </c>
      <c r="S54" s="2">
        <f>SUM(B54:R54)</f>
        <v>1894.49</v>
      </c>
      <c r="T54" s="2"/>
    </row>
    <row r="55" spans="1:20" x14ac:dyDescent="0.2">
      <c r="A55" s="245" t="s">
        <v>456</v>
      </c>
      <c r="B55" s="2">
        <f>+'s1'!M55*0.0098</f>
        <v>0</v>
      </c>
      <c r="C55" s="2">
        <f>+'s1'!N55*0.0098</f>
        <v>0</v>
      </c>
      <c r="D55" s="2">
        <f>+'s1'!O55*0.0098</f>
        <v>8315.59</v>
      </c>
      <c r="E55" s="2">
        <f>+'s1'!P55*0.0098</f>
        <v>0</v>
      </c>
      <c r="F55" s="2">
        <f>+'s1'!Q55*0.0098</f>
        <v>0</v>
      </c>
      <c r="G55" s="2">
        <f>+'s1'!R55*0.0098</f>
        <v>0</v>
      </c>
      <c r="H55" s="2">
        <f>+'s1'!S55*0.0098</f>
        <v>0</v>
      </c>
      <c r="I55" s="2">
        <f>+'s1'!T55*0.0098</f>
        <v>0</v>
      </c>
      <c r="J55" s="2">
        <f>+'s1'!U55*0.0098</f>
        <v>0</v>
      </c>
      <c r="K55" s="2">
        <f>+'s1'!V55*0.0098</f>
        <v>0</v>
      </c>
      <c r="L55" s="2">
        <f>+'s1'!W55*0.0098</f>
        <v>0</v>
      </c>
      <c r="M55" s="2">
        <f>+'s1'!X55*0.0098</f>
        <v>0</v>
      </c>
      <c r="N55" s="2">
        <f>+'s1'!Y55*0.0098</f>
        <v>9.67</v>
      </c>
      <c r="O55" s="2">
        <f>+'s1'!Z55*0.0098</f>
        <v>0</v>
      </c>
      <c r="P55" s="2">
        <f>+'s1'!AA55*0.0098</f>
        <v>0</v>
      </c>
      <c r="Q55" s="2">
        <f>+'s1'!AB55*0.0098</f>
        <v>0</v>
      </c>
      <c r="R55" s="2">
        <f>+'s1'!AC55*0.0098</f>
        <v>0</v>
      </c>
      <c r="S55" s="2">
        <f>SUM(B55:R55)</f>
        <v>8325.26</v>
      </c>
      <c r="T55" s="2"/>
    </row>
    <row r="56" spans="1:20" x14ac:dyDescent="0.2">
      <c r="A56" s="7" t="s">
        <v>432</v>
      </c>
      <c r="B56" s="2">
        <f>+'s1'!M56*0.0098</f>
        <v>0</v>
      </c>
      <c r="C56" s="2">
        <f>+'s1'!N56*0.0098</f>
        <v>0</v>
      </c>
      <c r="D56" s="2">
        <f>+'s1'!O56*0.0098</f>
        <v>0</v>
      </c>
      <c r="E56" s="2">
        <f>+'s1'!P56*0.0098</f>
        <v>0</v>
      </c>
      <c r="F56" s="2">
        <f>+'s1'!Q56*0.0098</f>
        <v>0</v>
      </c>
      <c r="G56" s="2">
        <f>+'s1'!R56*0.0098</f>
        <v>0</v>
      </c>
      <c r="H56" s="2">
        <f>+'s1'!S56*0.0098</f>
        <v>0</v>
      </c>
      <c r="I56" s="2">
        <f>+'s1'!T56*0.0098</f>
        <v>225.42</v>
      </c>
      <c r="J56" s="2">
        <f>+'s1'!U56*0.0098</f>
        <v>0</v>
      </c>
      <c r="K56" s="2">
        <f>+'s1'!V56*0.0098</f>
        <v>0</v>
      </c>
      <c r="L56" s="2">
        <f>+'s1'!W56*0.0098</f>
        <v>0</v>
      </c>
      <c r="M56" s="2">
        <f>+'s1'!X56*0.0098</f>
        <v>0</v>
      </c>
      <c r="N56" s="2">
        <f>+'s1'!Y56*0.0098</f>
        <v>0</v>
      </c>
      <c r="O56" s="2">
        <f>+'s1'!Z56*0.0098</f>
        <v>0</v>
      </c>
      <c r="P56" s="2">
        <f>+'s1'!AA56*0.0098</f>
        <v>0</v>
      </c>
      <c r="Q56" s="2">
        <f>+'s1'!AB56*0.0098</f>
        <v>0</v>
      </c>
      <c r="R56" s="2">
        <f>+'s1'!AC56*0.0098</f>
        <v>0</v>
      </c>
      <c r="S56" s="2">
        <f t="shared" si="2"/>
        <v>225.42</v>
      </c>
      <c r="T56" s="2"/>
    </row>
    <row r="57" spans="1:20" x14ac:dyDescent="0.2">
      <c r="A57" s="1" t="s">
        <v>47</v>
      </c>
      <c r="B57" s="2">
        <f>+'s1'!M57*0.0098</f>
        <v>0</v>
      </c>
      <c r="C57" s="2">
        <f>+'s1'!N57*0.0098</f>
        <v>0</v>
      </c>
      <c r="D57" s="2">
        <f>+'s1'!O57*0.0098</f>
        <v>0</v>
      </c>
      <c r="E57" s="2">
        <f>+'s1'!P57*0.0098</f>
        <v>0</v>
      </c>
      <c r="F57" s="2">
        <f>+'s1'!Q57*0.0098</f>
        <v>818.95</v>
      </c>
      <c r="G57" s="2">
        <f>+'s1'!R57*0.0098</f>
        <v>0</v>
      </c>
      <c r="H57" s="2">
        <f>+'s1'!S57*0.0098</f>
        <v>0</v>
      </c>
      <c r="I57" s="2">
        <f>+'s1'!T57*0.0098</f>
        <v>106.55</v>
      </c>
      <c r="J57" s="2">
        <f>+'s1'!U57*0.0098</f>
        <v>0</v>
      </c>
      <c r="K57" s="2">
        <f>+'s1'!V57*0.0098</f>
        <v>0</v>
      </c>
      <c r="L57" s="2">
        <f>+'s1'!W57*0.0098</f>
        <v>0</v>
      </c>
      <c r="M57" s="2">
        <f>+'s1'!X57*0.0098</f>
        <v>0</v>
      </c>
      <c r="N57" s="2">
        <f>+'s1'!Y57*0.0098</f>
        <v>0</v>
      </c>
      <c r="O57" s="2">
        <f>+'s1'!Z57*0.0098</f>
        <v>0</v>
      </c>
      <c r="P57" s="2">
        <f>+'s1'!AA57*0.0098</f>
        <v>0</v>
      </c>
      <c r="Q57" s="2">
        <f>+'s1'!AB57*0.0098</f>
        <v>0</v>
      </c>
      <c r="R57" s="2">
        <f>+'s1'!AC57*0.0098</f>
        <v>0</v>
      </c>
      <c r="S57" s="2">
        <f t="shared" si="2"/>
        <v>925.5</v>
      </c>
      <c r="T57" s="2"/>
    </row>
    <row r="58" spans="1:20" x14ac:dyDescent="0.2">
      <c r="A58" s="18" t="s">
        <v>48</v>
      </c>
      <c r="B58" s="2">
        <f>+'s1'!M58*0.0098</f>
        <v>0</v>
      </c>
      <c r="C58" s="2">
        <f>+'s1'!N58*0.0098</f>
        <v>0</v>
      </c>
      <c r="D58" s="2">
        <f>+'s1'!O58*0.0098</f>
        <v>7396.04</v>
      </c>
      <c r="E58" s="2">
        <f>+'s1'!P58*0.0098</f>
        <v>0</v>
      </c>
      <c r="F58" s="2">
        <f>+'s1'!Q58*0.0098</f>
        <v>389.06</v>
      </c>
      <c r="G58" s="2">
        <f>+'s1'!R58*0.0098</f>
        <v>0</v>
      </c>
      <c r="H58" s="2">
        <f>+'s1'!S58*0.0098</f>
        <v>71.3</v>
      </c>
      <c r="I58" s="2">
        <f>+'s1'!T58*0.0098</f>
        <v>53.56</v>
      </c>
      <c r="J58" s="2">
        <f>+'s1'!U58*0.0098</f>
        <v>344.39</v>
      </c>
      <c r="K58" s="2">
        <f>+'s1'!V58*0.0098</f>
        <v>93.55</v>
      </c>
      <c r="L58" s="2">
        <f>+'s1'!W58*0.0098</f>
        <v>35.82</v>
      </c>
      <c r="M58" s="2">
        <f>+'s1'!X58*0.0098</f>
        <v>400.39</v>
      </c>
      <c r="N58" s="2">
        <f>+'s1'!Y58*0.0098</f>
        <v>0</v>
      </c>
      <c r="O58" s="2">
        <f>+'s1'!Z58*0.0098</f>
        <v>0</v>
      </c>
      <c r="P58" s="2">
        <f>+'s1'!AA58*0.0098</f>
        <v>0</v>
      </c>
      <c r="Q58" s="2">
        <f>+'s1'!AB58*0.0098</f>
        <v>0</v>
      </c>
      <c r="R58" s="2">
        <f>+'s1'!AC58*0.0098</f>
        <v>162.1</v>
      </c>
      <c r="S58" s="2">
        <f t="shared" ref="S58:S78" si="3">SUM(B58:R58)</f>
        <v>8946.2099999999991</v>
      </c>
      <c r="T58" s="2"/>
    </row>
    <row r="59" spans="1:20" x14ac:dyDescent="0.2">
      <c r="A59" s="1" t="s">
        <v>49</v>
      </c>
      <c r="B59" s="2">
        <f>+'s1'!M59*0.0098</f>
        <v>0</v>
      </c>
      <c r="C59" s="2">
        <f>+'s1'!N59*0.0098</f>
        <v>0</v>
      </c>
      <c r="D59" s="2">
        <f>+'s1'!O59*0.0098</f>
        <v>7197.77</v>
      </c>
      <c r="E59" s="2">
        <f>+'s1'!P59*0.0098</f>
        <v>0</v>
      </c>
      <c r="F59" s="2">
        <f>+'s1'!Q59*0.0098</f>
        <v>0</v>
      </c>
      <c r="G59" s="2">
        <f>+'s1'!R59*0.0098</f>
        <v>0</v>
      </c>
      <c r="H59" s="2">
        <f>+'s1'!S59*0.0098</f>
        <v>0</v>
      </c>
      <c r="I59" s="2">
        <f>+'s1'!T59*0.0098</f>
        <v>0</v>
      </c>
      <c r="J59" s="2">
        <f>+'s1'!U59*0.0098</f>
        <v>0</v>
      </c>
      <c r="K59" s="2">
        <f>+'s1'!V59*0.0098</f>
        <v>0</v>
      </c>
      <c r="L59" s="2">
        <f>+'s1'!W59*0.0098</f>
        <v>0</v>
      </c>
      <c r="M59" s="2">
        <f>+'s1'!X59*0.0098</f>
        <v>0</v>
      </c>
      <c r="N59" s="2">
        <f>+'s1'!Y59*0.0098</f>
        <v>1240.4000000000001</v>
      </c>
      <c r="O59" s="2">
        <f>+'s1'!Z59*0.0098</f>
        <v>0</v>
      </c>
      <c r="P59" s="2">
        <f>+'s1'!AA59*0.0098</f>
        <v>0</v>
      </c>
      <c r="Q59" s="2">
        <f>+'s1'!AB59*0.0098</f>
        <v>0</v>
      </c>
      <c r="R59" s="2">
        <f>+'s1'!AC59*0.0098</f>
        <v>0</v>
      </c>
      <c r="S59" s="2">
        <f t="shared" si="3"/>
        <v>8438.17</v>
      </c>
      <c r="T59" s="2"/>
    </row>
    <row r="60" spans="1:20" x14ac:dyDescent="0.2">
      <c r="A60" s="1" t="s">
        <v>356</v>
      </c>
      <c r="B60" s="2">
        <f>+'s1'!M60*0.0098</f>
        <v>462.04</v>
      </c>
      <c r="C60" s="2">
        <f>+'s1'!N60*0.0098</f>
        <v>0</v>
      </c>
      <c r="D60" s="2">
        <f>+'s1'!O60*0.0098</f>
        <v>3491.9</v>
      </c>
      <c r="E60" s="2">
        <f>+'s1'!P60*0.0098</f>
        <v>0</v>
      </c>
      <c r="F60" s="2">
        <f>+'s1'!Q60*0.0098</f>
        <v>0</v>
      </c>
      <c r="G60" s="2">
        <f>+'s1'!R60*0.0098</f>
        <v>0</v>
      </c>
      <c r="H60" s="2">
        <f>+'s1'!S60*0.0098</f>
        <v>0</v>
      </c>
      <c r="I60" s="2">
        <f>+'s1'!T60*0.0098</f>
        <v>0</v>
      </c>
      <c r="J60" s="2">
        <f>+'s1'!U60*0.0098</f>
        <v>0</v>
      </c>
      <c r="K60" s="2">
        <f>+'s1'!V60*0.0098</f>
        <v>582.65</v>
      </c>
      <c r="L60" s="2">
        <f>+'s1'!W60*0.0098</f>
        <v>0</v>
      </c>
      <c r="M60" s="2">
        <f>+'s1'!X60*0.0098</f>
        <v>0</v>
      </c>
      <c r="N60" s="2">
        <f>+'s1'!Y60*0.0098</f>
        <v>106.28</v>
      </c>
      <c r="O60" s="2">
        <f>+'s1'!Z60*0.0098</f>
        <v>0</v>
      </c>
      <c r="P60" s="2">
        <f>+'s1'!AA60*0.0098</f>
        <v>0</v>
      </c>
      <c r="Q60" s="2">
        <f>+'s1'!AB60*0.0098</f>
        <v>0</v>
      </c>
      <c r="R60" s="2">
        <f>+'s1'!AC60*0.0098</f>
        <v>0</v>
      </c>
      <c r="S60" s="2">
        <f t="shared" si="3"/>
        <v>4642.87</v>
      </c>
      <c r="T60" s="1"/>
    </row>
    <row r="61" spans="1:20" s="20" customFormat="1" x14ac:dyDescent="0.2">
      <c r="A61" s="1" t="s">
        <v>50</v>
      </c>
      <c r="B61" s="2">
        <f>+'s1'!M61*0.0098</f>
        <v>0</v>
      </c>
      <c r="C61" s="2">
        <f>+'s1'!N61*0.0098</f>
        <v>0</v>
      </c>
      <c r="D61" s="2">
        <f>+'s1'!O61*0.0098</f>
        <v>107.83</v>
      </c>
      <c r="E61" s="2">
        <f>+'s1'!P61*0.0098</f>
        <v>0</v>
      </c>
      <c r="F61" s="2">
        <f>+'s1'!Q61*0.0098</f>
        <v>0</v>
      </c>
      <c r="G61" s="2">
        <f>+'s1'!R61*0.0098</f>
        <v>0</v>
      </c>
      <c r="H61" s="2">
        <f>+'s1'!S61*0.0098</f>
        <v>0</v>
      </c>
      <c r="I61" s="2">
        <f>+'s1'!T61*0.0098</f>
        <v>0</v>
      </c>
      <c r="J61" s="2">
        <f>+'s1'!U61*0.0098</f>
        <v>0</v>
      </c>
      <c r="K61" s="2">
        <f>+'s1'!V61*0.0098</f>
        <v>0</v>
      </c>
      <c r="L61" s="2">
        <f>+'s1'!W61*0.0098</f>
        <v>0</v>
      </c>
      <c r="M61" s="2">
        <f>+'s1'!X61*0.0098</f>
        <v>0</v>
      </c>
      <c r="N61" s="2">
        <f>+'s1'!Y61*0.0098</f>
        <v>0</v>
      </c>
      <c r="O61" s="2">
        <f>+'s1'!Z61*0.0098</f>
        <v>0</v>
      </c>
      <c r="P61" s="2">
        <f>+'s1'!AA61*0.0098</f>
        <v>0</v>
      </c>
      <c r="Q61" s="2">
        <f>+'s1'!AB61*0.0098</f>
        <v>0</v>
      </c>
      <c r="R61" s="2">
        <f>+'s1'!AC61*0.0098</f>
        <v>0</v>
      </c>
      <c r="S61" s="78">
        <f t="shared" si="3"/>
        <v>107.83</v>
      </c>
      <c r="T61" s="78"/>
    </row>
    <row r="62" spans="1:20" x14ac:dyDescent="0.2">
      <c r="A62" s="1" t="s">
        <v>348</v>
      </c>
      <c r="B62" s="2">
        <f>+'s1'!M62*0.0098</f>
        <v>290.68</v>
      </c>
      <c r="C62" s="2">
        <f>+'s1'!N62*0.0098</f>
        <v>125.09</v>
      </c>
      <c r="D62" s="2">
        <f>+'s1'!O62*0.0098</f>
        <v>0</v>
      </c>
      <c r="E62" s="2">
        <f>+'s1'!P62*0.0098</f>
        <v>153.21</v>
      </c>
      <c r="F62" s="2">
        <f>+'s1'!Q62*0.0098</f>
        <v>0</v>
      </c>
      <c r="G62" s="2">
        <f>+'s1'!R62*0.0098</f>
        <v>0</v>
      </c>
      <c r="H62" s="2">
        <f>+'s1'!S62*0.0098</f>
        <v>0</v>
      </c>
      <c r="I62" s="2">
        <f>+'s1'!T62*0.0098</f>
        <v>40.07</v>
      </c>
      <c r="J62" s="2">
        <f>+'s1'!U62*0.0098</f>
        <v>0</v>
      </c>
      <c r="K62" s="2">
        <f>+'s1'!V62*0.0098</f>
        <v>0</v>
      </c>
      <c r="L62" s="2">
        <f>+'s1'!W62*0.0098</f>
        <v>44.8</v>
      </c>
      <c r="M62" s="2">
        <f>+'s1'!X62*0.0098</f>
        <v>0</v>
      </c>
      <c r="N62" s="2">
        <f>+'s1'!Y62*0.0098</f>
        <v>0</v>
      </c>
      <c r="O62" s="2">
        <f>+'s1'!Z62*0.0098</f>
        <v>25.52</v>
      </c>
      <c r="P62" s="2">
        <f>+'s1'!AA62*0.0098</f>
        <v>19.260000000000002</v>
      </c>
      <c r="Q62" s="2">
        <f>+'s1'!AB62*0.0098</f>
        <v>183.07</v>
      </c>
      <c r="R62" s="2">
        <f>+'s1'!AC62*0.0098</f>
        <v>0</v>
      </c>
      <c r="S62" s="2">
        <f t="shared" si="3"/>
        <v>881.7</v>
      </c>
      <c r="T62" s="1"/>
    </row>
    <row r="63" spans="1:20" s="88" customFormat="1" x14ac:dyDescent="0.2">
      <c r="A63" s="18" t="s">
        <v>744</v>
      </c>
      <c r="B63" s="2">
        <f>+'s1'!M63*0.0098</f>
        <v>0</v>
      </c>
      <c r="C63" s="2">
        <f>+'s1'!N63*0.0098</f>
        <v>0</v>
      </c>
      <c r="D63" s="2">
        <f>+'s1'!O63*0.0098</f>
        <v>0</v>
      </c>
      <c r="E63" s="2">
        <f>+'s1'!P63*0.0098</f>
        <v>35.299999999999997</v>
      </c>
      <c r="F63" s="2">
        <f>+'s1'!Q63*0.0098</f>
        <v>0</v>
      </c>
      <c r="G63" s="2">
        <f>+'s1'!R63*0.0098</f>
        <v>0</v>
      </c>
      <c r="H63" s="2">
        <f>+'s1'!S63*0.0098</f>
        <v>0</v>
      </c>
      <c r="I63" s="2">
        <f>+'s1'!T63*0.0098</f>
        <v>0</v>
      </c>
      <c r="J63" s="2">
        <f>+'s1'!U63*0.0098</f>
        <v>0</v>
      </c>
      <c r="K63" s="2">
        <f>+'s1'!V63*0.0098</f>
        <v>0</v>
      </c>
      <c r="L63" s="2">
        <f>+'s1'!W63*0.0098</f>
        <v>0</v>
      </c>
      <c r="M63" s="2">
        <f>+'s1'!X63*0.0098</f>
        <v>0</v>
      </c>
      <c r="N63" s="2">
        <f>+'s1'!Y63*0.0098</f>
        <v>0</v>
      </c>
      <c r="O63" s="2">
        <f>+'s1'!Z63*0.0098</f>
        <v>0</v>
      </c>
      <c r="P63" s="2">
        <f>+'s1'!AA63*0.0098</f>
        <v>0</v>
      </c>
      <c r="Q63" s="2">
        <f>+'s1'!AB63*0.0098</f>
        <v>-35.299999999999997</v>
      </c>
      <c r="R63" s="2">
        <f>+'s1'!AC63*0.0098</f>
        <v>0</v>
      </c>
      <c r="S63" s="78">
        <f>SUM(B63:R63)</f>
        <v>0</v>
      </c>
      <c r="T63" s="10"/>
    </row>
    <row r="64" spans="1:20" s="20" customFormat="1" x14ac:dyDescent="0.2">
      <c r="A64" s="1" t="s">
        <v>705</v>
      </c>
      <c r="B64" s="2">
        <f>+'s1'!M64*0.0098</f>
        <v>201.91</v>
      </c>
      <c r="C64" s="2">
        <f>+'s1'!N64*0.0098</f>
        <v>0</v>
      </c>
      <c r="D64" s="2">
        <f>+'s1'!O64*0.0098</f>
        <v>1890.81</v>
      </c>
      <c r="E64" s="2">
        <f>+'s1'!P64*0.0098</f>
        <v>0</v>
      </c>
      <c r="F64" s="2">
        <f>+'s1'!Q64*0.0098</f>
        <v>2637.65</v>
      </c>
      <c r="G64" s="2">
        <f>+'s1'!R64*0.0098</f>
        <v>0</v>
      </c>
      <c r="H64" s="2">
        <f>+'s1'!S64*0.0098</f>
        <v>0</v>
      </c>
      <c r="I64" s="2">
        <f>+'s1'!T64*0.0098</f>
        <v>92.17</v>
      </c>
      <c r="J64" s="2">
        <f>+'s1'!U64*0.0098</f>
        <v>0</v>
      </c>
      <c r="K64" s="2">
        <f>+'s1'!V64*0.0098</f>
        <v>0</v>
      </c>
      <c r="L64" s="2">
        <f>+'s1'!W64*0.0098</f>
        <v>947.8</v>
      </c>
      <c r="M64" s="2">
        <f>+'s1'!X64*0.0098</f>
        <v>0</v>
      </c>
      <c r="N64" s="2">
        <f>+'s1'!Y64*0.0098</f>
        <v>0</v>
      </c>
      <c r="O64" s="2">
        <f>+'s1'!Z64*0.0098</f>
        <v>0</v>
      </c>
      <c r="P64" s="2">
        <f>+'s1'!AA64*0.0098</f>
        <v>0</v>
      </c>
      <c r="Q64" s="2">
        <f>+'s1'!AB64*0.0098</f>
        <v>10369.790000000001</v>
      </c>
      <c r="R64" s="2">
        <f>+'s1'!AC64*0.0098</f>
        <v>0</v>
      </c>
      <c r="S64" s="78">
        <f t="shared" si="3"/>
        <v>16140.13</v>
      </c>
      <c r="T64" s="18"/>
    </row>
    <row r="65" spans="1:20" x14ac:dyDescent="0.2">
      <c r="A65" s="1" t="s">
        <v>51</v>
      </c>
      <c r="B65" s="2">
        <f>+'s1'!M65*0.0098</f>
        <v>0</v>
      </c>
      <c r="C65" s="2">
        <f>+'s1'!N65*0.0098</f>
        <v>0</v>
      </c>
      <c r="D65" s="2">
        <f>+'s1'!O65*0.0098</f>
        <v>2797.72</v>
      </c>
      <c r="E65" s="2">
        <f>+'s1'!P65*0.0098</f>
        <v>0</v>
      </c>
      <c r="F65" s="2">
        <f>+'s1'!Q65*0.0098</f>
        <v>0</v>
      </c>
      <c r="G65" s="2">
        <f>+'s1'!R65*0.0098</f>
        <v>0</v>
      </c>
      <c r="H65" s="2">
        <f>+'s1'!S65*0.0098</f>
        <v>0</v>
      </c>
      <c r="I65" s="2">
        <f>+'s1'!T65*0.0098</f>
        <v>0</v>
      </c>
      <c r="J65" s="2">
        <f>+'s1'!U65*0.0098</f>
        <v>0</v>
      </c>
      <c r="K65" s="2">
        <f>+'s1'!V65*0.0098</f>
        <v>281.98</v>
      </c>
      <c r="L65" s="2">
        <f>+'s1'!W65*0.0098</f>
        <v>0</v>
      </c>
      <c r="M65" s="2">
        <f>+'s1'!X65*0.0098</f>
        <v>0</v>
      </c>
      <c r="N65" s="2">
        <f>+'s1'!Y65*0.0098</f>
        <v>0</v>
      </c>
      <c r="O65" s="2">
        <f>+'s1'!Z65*0.0098</f>
        <v>0</v>
      </c>
      <c r="P65" s="2">
        <f>+'s1'!AA65*0.0098</f>
        <v>0</v>
      </c>
      <c r="Q65" s="2">
        <f>+'s1'!AB65*0.0098</f>
        <v>0</v>
      </c>
      <c r="R65" s="2">
        <f>+'s1'!AC65*0.0098</f>
        <v>329.47</v>
      </c>
      <c r="S65" s="2">
        <f t="shared" si="3"/>
        <v>3409.17</v>
      </c>
      <c r="T65" s="1"/>
    </row>
    <row r="66" spans="1:20" s="20" customFormat="1" x14ac:dyDescent="0.2">
      <c r="A66" s="1" t="s">
        <v>475</v>
      </c>
      <c r="B66" s="2">
        <f>+'s1'!M66*0.0098</f>
        <v>0</v>
      </c>
      <c r="C66" s="2">
        <f>+'s1'!N66*0.0098</f>
        <v>0</v>
      </c>
      <c r="D66" s="2">
        <f>+'s1'!O66*0.0098</f>
        <v>0</v>
      </c>
      <c r="E66" s="2">
        <f>+'s1'!P66*0.0098</f>
        <v>0</v>
      </c>
      <c r="F66" s="2">
        <f>+'s1'!Q66*0.0098</f>
        <v>0</v>
      </c>
      <c r="G66" s="2">
        <f>+'s1'!R66*0.0098</f>
        <v>0</v>
      </c>
      <c r="H66" s="2">
        <f>+'s1'!S66*0.0098</f>
        <v>0</v>
      </c>
      <c r="I66" s="2">
        <f>+'s1'!T66*0.0098</f>
        <v>0</v>
      </c>
      <c r="J66" s="2">
        <f>+'s1'!U66*0.0098</f>
        <v>0</v>
      </c>
      <c r="K66" s="2">
        <f>+'s1'!V66*0.0098</f>
        <v>0</v>
      </c>
      <c r="L66" s="2">
        <f>+'s1'!W66*0.0098</f>
        <v>0</v>
      </c>
      <c r="M66" s="2">
        <f>+'s1'!X66*0.0098</f>
        <v>0</v>
      </c>
      <c r="N66" s="2">
        <f>+'s1'!Y66*0.0098</f>
        <v>0</v>
      </c>
      <c r="O66" s="2">
        <f>+'s1'!Z66*0.0098</f>
        <v>0</v>
      </c>
      <c r="P66" s="2">
        <f>+'s1'!AA66*0.0098</f>
        <v>0</v>
      </c>
      <c r="Q66" s="2">
        <f>+'s1'!AB66*0.0098</f>
        <v>0</v>
      </c>
      <c r="R66" s="2">
        <f>+'s1'!AC66*0.0098</f>
        <v>73.47</v>
      </c>
      <c r="S66" s="78">
        <f t="shared" si="3"/>
        <v>73.47</v>
      </c>
      <c r="T66" s="78"/>
    </row>
    <row r="67" spans="1:20" s="20" customFormat="1" x14ac:dyDescent="0.2">
      <c r="A67" s="1" t="s">
        <v>52</v>
      </c>
      <c r="B67" s="2">
        <f>+'s1'!M67*0.0098</f>
        <v>0</v>
      </c>
      <c r="C67" s="2">
        <f>+'s1'!N67*0.0098</f>
        <v>0</v>
      </c>
      <c r="D67" s="2">
        <f>+'s1'!O67*0.0098</f>
        <v>0</v>
      </c>
      <c r="E67" s="2">
        <f>+'s1'!P67*0.0098</f>
        <v>0</v>
      </c>
      <c r="F67" s="2">
        <f>+'s1'!Q67*0.0098</f>
        <v>0</v>
      </c>
      <c r="G67" s="2">
        <f>+'s1'!R67*0.0098</f>
        <v>0</v>
      </c>
      <c r="H67" s="2">
        <f>+'s1'!S67*0.0098</f>
        <v>0</v>
      </c>
      <c r="I67" s="2">
        <f>+'s1'!T67*0.0098</f>
        <v>0</v>
      </c>
      <c r="J67" s="2">
        <f>+'s1'!U67*0.0098</f>
        <v>0</v>
      </c>
      <c r="K67" s="2">
        <f>+'s1'!V67*0.0098</f>
        <v>0</v>
      </c>
      <c r="L67" s="2">
        <f>+'s1'!W67*0.0098</f>
        <v>1.05</v>
      </c>
      <c r="M67" s="2">
        <f>+'s1'!X67*0.0098</f>
        <v>564.52</v>
      </c>
      <c r="N67" s="2">
        <f>+'s1'!Y67*0.0098</f>
        <v>730.06</v>
      </c>
      <c r="O67" s="2">
        <f>+'s1'!Z67*0.0098</f>
        <v>0</v>
      </c>
      <c r="P67" s="2">
        <f>+'s1'!AA67*0.0098</f>
        <v>0</v>
      </c>
      <c r="Q67" s="2">
        <f>+'s1'!AB67*0.0098</f>
        <v>0</v>
      </c>
      <c r="R67" s="2">
        <f>+'s1'!AC67*0.0098</f>
        <v>0</v>
      </c>
      <c r="S67" s="78">
        <f>SUM(B67:R67)</f>
        <v>1295.6300000000001</v>
      </c>
      <c r="T67" s="78"/>
    </row>
    <row r="68" spans="1:20" s="20" customFormat="1" x14ac:dyDescent="0.2">
      <c r="A68" s="1" t="s">
        <v>433</v>
      </c>
      <c r="B68" s="2">
        <f>+'s1'!M68*0.0098</f>
        <v>0</v>
      </c>
      <c r="C68" s="2">
        <f>+'s1'!N68*0.0098</f>
        <v>0</v>
      </c>
      <c r="D68" s="2">
        <f>+'s1'!O68*0.0098</f>
        <v>552.12</v>
      </c>
      <c r="E68" s="2">
        <f>+'s1'!P68*0.0098</f>
        <v>0</v>
      </c>
      <c r="F68" s="2">
        <f>+'s1'!Q68*0.0098</f>
        <v>0</v>
      </c>
      <c r="G68" s="2">
        <f>+'s1'!R68*0.0098</f>
        <v>0</v>
      </c>
      <c r="H68" s="2">
        <f>+'s1'!S68*0.0098</f>
        <v>0</v>
      </c>
      <c r="I68" s="2">
        <f>+'s1'!T68*0.0098</f>
        <v>0</v>
      </c>
      <c r="J68" s="2">
        <f>+'s1'!U68*0.0098</f>
        <v>0</v>
      </c>
      <c r="K68" s="2">
        <f>+'s1'!V68*0.0098</f>
        <v>0</v>
      </c>
      <c r="L68" s="2">
        <f>+'s1'!W68*0.0098</f>
        <v>0</v>
      </c>
      <c r="M68" s="2">
        <f>+'s1'!X68*0.0098</f>
        <v>0</v>
      </c>
      <c r="N68" s="2">
        <f>+'s1'!Y68*0.0098</f>
        <v>0</v>
      </c>
      <c r="O68" s="2">
        <f>+'s1'!Z68*0.0098</f>
        <v>0</v>
      </c>
      <c r="P68" s="2">
        <f>+'s1'!AA68*0.0098</f>
        <v>0</v>
      </c>
      <c r="Q68" s="2">
        <f>+'s1'!AB68*0.0098</f>
        <v>83.35</v>
      </c>
      <c r="R68" s="2">
        <f>+'s1'!AC68*0.0098</f>
        <v>0</v>
      </c>
      <c r="S68" s="78">
        <f t="shared" si="3"/>
        <v>635.47</v>
      </c>
      <c r="T68" s="78"/>
    </row>
    <row r="69" spans="1:20" s="20" customFormat="1" x14ac:dyDescent="0.2">
      <c r="A69" s="1" t="s">
        <v>53</v>
      </c>
      <c r="B69" s="2">
        <f>+'s1'!M69*0.0098</f>
        <v>0</v>
      </c>
      <c r="C69" s="2">
        <f>+'s1'!N69*0.0098</f>
        <v>0</v>
      </c>
      <c r="D69" s="2">
        <f>+'s1'!O69*0.0098</f>
        <v>1096</v>
      </c>
      <c r="E69" s="2">
        <f>+'s1'!P69*0.0098</f>
        <v>0</v>
      </c>
      <c r="F69" s="2">
        <f>+'s1'!Q69*0.0098</f>
        <v>2621.94</v>
      </c>
      <c r="G69" s="2">
        <f>+'s1'!R69*0.0098</f>
        <v>0</v>
      </c>
      <c r="H69" s="2">
        <f>+'s1'!S69*0.0098</f>
        <v>0</v>
      </c>
      <c r="I69" s="2">
        <f>+'s1'!T69*0.0098</f>
        <v>2213.7800000000002</v>
      </c>
      <c r="J69" s="2">
        <f>+'s1'!U69*0.0098</f>
        <v>0</v>
      </c>
      <c r="K69" s="2">
        <f>+'s1'!V69*0.0098</f>
        <v>0</v>
      </c>
      <c r="L69" s="2">
        <f>+'s1'!W69*0.0098</f>
        <v>0</v>
      </c>
      <c r="M69" s="2">
        <f>+'s1'!X69*0.0098</f>
        <v>0</v>
      </c>
      <c r="N69" s="2">
        <f>+'s1'!Y69*0.0098</f>
        <v>0</v>
      </c>
      <c r="O69" s="2">
        <f>+'s1'!Z69*0.0098</f>
        <v>0</v>
      </c>
      <c r="P69" s="2">
        <f>+'s1'!AA69*0.0098</f>
        <v>0</v>
      </c>
      <c r="Q69" s="2">
        <f>+'s1'!AB69*0.0098</f>
        <v>0</v>
      </c>
      <c r="R69" s="2">
        <f>+'s1'!AC69*0.0098</f>
        <v>0</v>
      </c>
      <c r="S69" s="78">
        <f t="shared" si="3"/>
        <v>5931.72</v>
      </c>
      <c r="T69" s="78"/>
    </row>
    <row r="70" spans="1:20" s="88" customFormat="1" x14ac:dyDescent="0.2">
      <c r="A70" s="18" t="s">
        <v>746</v>
      </c>
      <c r="B70" s="2">
        <f>+'s1'!M70*0.0098</f>
        <v>0</v>
      </c>
      <c r="C70" s="2">
        <f>+'s1'!N70*0.0098</f>
        <v>0</v>
      </c>
      <c r="D70" s="2">
        <f>+'s1'!O70*0.0098</f>
        <v>0</v>
      </c>
      <c r="E70" s="2">
        <f>+'s1'!P70*0.0098</f>
        <v>0</v>
      </c>
      <c r="F70" s="2">
        <f>+'s1'!Q70*0.0098</f>
        <v>0</v>
      </c>
      <c r="G70" s="2">
        <f>+'s1'!R70*0.0098</f>
        <v>0</v>
      </c>
      <c r="H70" s="2">
        <f>+'s1'!S70*0.0098</f>
        <v>0</v>
      </c>
      <c r="I70" s="2">
        <f>+'s1'!T70*0.0098</f>
        <v>0</v>
      </c>
      <c r="J70" s="2">
        <f>+'s1'!U70*0.0098</f>
        <v>0</v>
      </c>
      <c r="K70" s="2">
        <f>+'s1'!V70*0.0098</f>
        <v>0</v>
      </c>
      <c r="L70" s="2">
        <f>+'s1'!W70*0.0098</f>
        <v>0</v>
      </c>
      <c r="M70" s="2">
        <f>+'s1'!X70*0.0098</f>
        <v>0</v>
      </c>
      <c r="N70" s="2">
        <f>+'s1'!Y70*0.0098</f>
        <v>0</v>
      </c>
      <c r="O70" s="2">
        <f>+'s1'!Z70*0.0098</f>
        <v>0</v>
      </c>
      <c r="P70" s="2">
        <f>+'s1'!AA70*0.0098</f>
        <v>0</v>
      </c>
      <c r="Q70" s="2">
        <f>+'s1'!AB70*0.0098</f>
        <v>-2.5299999999999998</v>
      </c>
      <c r="R70" s="2">
        <f>+'s1'!AC70*0.0098</f>
        <v>0</v>
      </c>
      <c r="S70" s="78">
        <f>SUM(B70:R70)</f>
        <v>-2.5299999999999998</v>
      </c>
      <c r="T70" s="10"/>
    </row>
    <row r="71" spans="1:20" s="88" customFormat="1" x14ac:dyDescent="0.2">
      <c r="A71" s="18" t="s">
        <v>747</v>
      </c>
      <c r="B71" s="2">
        <f>+'s1'!M71*0.0098</f>
        <v>0</v>
      </c>
      <c r="C71" s="2">
        <f>+'s1'!N71*0.0098</f>
        <v>0</v>
      </c>
      <c r="D71" s="2">
        <f>+'s1'!O71*0.0098</f>
        <v>0</v>
      </c>
      <c r="E71" s="2">
        <f>+'s1'!P71*0.0098</f>
        <v>0</v>
      </c>
      <c r="F71" s="2">
        <f>+'s1'!Q71*0.0098</f>
        <v>0</v>
      </c>
      <c r="G71" s="2">
        <f>+'s1'!R71*0.0098</f>
        <v>0</v>
      </c>
      <c r="H71" s="2">
        <f>+'s1'!S71*0.0098</f>
        <v>0</v>
      </c>
      <c r="I71" s="2">
        <f>+'s1'!T71*0.0098</f>
        <v>0</v>
      </c>
      <c r="J71" s="2">
        <f>+'s1'!U71*0.0098</f>
        <v>0</v>
      </c>
      <c r="K71" s="2">
        <f>+'s1'!V71*0.0098</f>
        <v>0</v>
      </c>
      <c r="L71" s="2">
        <f>+'s1'!W71*0.0098</f>
        <v>0</v>
      </c>
      <c r="M71" s="2">
        <f>+'s1'!X71*0.0098</f>
        <v>0</v>
      </c>
      <c r="N71" s="2">
        <f>+'s1'!Y71*0.0098</f>
        <v>0</v>
      </c>
      <c r="O71" s="2">
        <f>+'s1'!Z71*0.0098</f>
        <v>0</v>
      </c>
      <c r="P71" s="2">
        <f>+'s1'!AA71*0.0098</f>
        <v>0</v>
      </c>
      <c r="Q71" s="2">
        <f>+'s1'!AB71*0.0098</f>
        <v>-2.2400000000000002</v>
      </c>
      <c r="R71" s="2">
        <f>+'s1'!AC71*0.0098</f>
        <v>0</v>
      </c>
      <c r="S71" s="78">
        <f>SUM(B71:R71)</f>
        <v>-2.2400000000000002</v>
      </c>
      <c r="T71" s="10"/>
    </row>
    <row r="72" spans="1:20" s="88" customFormat="1" x14ac:dyDescent="0.2">
      <c r="A72" s="18" t="s">
        <v>748</v>
      </c>
      <c r="B72" s="2">
        <f>+'s1'!M72*0.0098</f>
        <v>0</v>
      </c>
      <c r="C72" s="2">
        <f>+'s1'!N72*0.0098</f>
        <v>0</v>
      </c>
      <c r="D72" s="2">
        <f>+'s1'!O72*0.0098</f>
        <v>0</v>
      </c>
      <c r="E72" s="2">
        <f>+'s1'!P72*0.0098</f>
        <v>0</v>
      </c>
      <c r="F72" s="2">
        <f>+'s1'!Q72*0.0098</f>
        <v>0</v>
      </c>
      <c r="G72" s="2">
        <f>+'s1'!R72*0.0098</f>
        <v>0</v>
      </c>
      <c r="H72" s="2">
        <f>+'s1'!S72*0.0098</f>
        <v>0</v>
      </c>
      <c r="I72" s="2">
        <f>+'s1'!T72*0.0098</f>
        <v>0</v>
      </c>
      <c r="J72" s="2">
        <f>+'s1'!U72*0.0098</f>
        <v>0</v>
      </c>
      <c r="K72" s="2">
        <f>+'s1'!V72*0.0098</f>
        <v>0</v>
      </c>
      <c r="L72" s="2">
        <f>+'s1'!W72*0.0098</f>
        <v>0</v>
      </c>
      <c r="M72" s="2">
        <f>+'s1'!X72*0.0098</f>
        <v>0</v>
      </c>
      <c r="N72" s="2">
        <f>+'s1'!Y72*0.0098</f>
        <v>0</v>
      </c>
      <c r="O72" s="2">
        <f>+'s1'!Z72*0.0098</f>
        <v>0</v>
      </c>
      <c r="P72" s="2">
        <f>+'s1'!AA72*0.0098</f>
        <v>0</v>
      </c>
      <c r="Q72" s="2">
        <f>+'s1'!AB72*0.0098</f>
        <v>-2.08</v>
      </c>
      <c r="R72" s="2">
        <f>+'s1'!AC72*0.0098</f>
        <v>0</v>
      </c>
      <c r="S72" s="78">
        <f>SUM(B72:R72)</f>
        <v>-2.08</v>
      </c>
      <c r="T72" s="10"/>
    </row>
    <row r="73" spans="1:20" s="20" customFormat="1" x14ac:dyDescent="0.2">
      <c r="A73" s="1" t="s">
        <v>457</v>
      </c>
      <c r="B73" s="2">
        <f>+'s1'!M73*0.0098</f>
        <v>0</v>
      </c>
      <c r="C73" s="2">
        <f>+'s1'!N73*0.0098</f>
        <v>8.4</v>
      </c>
      <c r="D73" s="2">
        <f>+'s1'!O73*0.0098</f>
        <v>0</v>
      </c>
      <c r="E73" s="2">
        <f>+'s1'!P73*0.0098</f>
        <v>0</v>
      </c>
      <c r="F73" s="2">
        <f>+'s1'!Q73*0.0098</f>
        <v>0</v>
      </c>
      <c r="G73" s="2">
        <f>+'s1'!R73*0.0098</f>
        <v>0</v>
      </c>
      <c r="H73" s="2">
        <f>+'s1'!S73*0.0098</f>
        <v>0</v>
      </c>
      <c r="I73" s="2">
        <f>+'s1'!T73*0.0098</f>
        <v>0</v>
      </c>
      <c r="J73" s="2">
        <f>+'s1'!U73*0.0098</f>
        <v>0</v>
      </c>
      <c r="K73" s="2">
        <f>+'s1'!V73*0.0098</f>
        <v>0</v>
      </c>
      <c r="L73" s="2">
        <f>+'s1'!W73*0.0098</f>
        <v>438.29</v>
      </c>
      <c r="M73" s="2">
        <f>+'s1'!X73*0.0098</f>
        <v>0</v>
      </c>
      <c r="N73" s="2">
        <f>+'s1'!Y73*0.0098</f>
        <v>0</v>
      </c>
      <c r="O73" s="2">
        <f>+'s1'!Z73*0.0098</f>
        <v>0</v>
      </c>
      <c r="P73" s="2">
        <f>+'s1'!AA73*0.0098</f>
        <v>0</v>
      </c>
      <c r="Q73" s="2">
        <f>+'s1'!AB73*0.0098</f>
        <v>0</v>
      </c>
      <c r="R73" s="2">
        <f>+'s1'!AC73*0.0098</f>
        <v>0</v>
      </c>
      <c r="S73" s="78">
        <f t="shared" si="3"/>
        <v>446.69</v>
      </c>
      <c r="T73" s="18"/>
    </row>
    <row r="74" spans="1:20" x14ac:dyDescent="0.2">
      <c r="A74" s="1" t="s">
        <v>708</v>
      </c>
      <c r="B74" s="2">
        <f>+'s1'!M74*0.0098</f>
        <v>0</v>
      </c>
      <c r="C74" s="2">
        <f>+'s1'!N74*0.0098</f>
        <v>0</v>
      </c>
      <c r="D74" s="2">
        <f>+'s1'!O74*0.0098</f>
        <v>48.96</v>
      </c>
      <c r="E74" s="2">
        <f>+'s1'!P74*0.0098</f>
        <v>0</v>
      </c>
      <c r="F74" s="2">
        <f>+'s1'!Q74*0.0098</f>
        <v>0</v>
      </c>
      <c r="G74" s="2">
        <f>+'s1'!R74*0.0098</f>
        <v>0</v>
      </c>
      <c r="H74" s="2">
        <f>+'s1'!S74*0.0098</f>
        <v>0</v>
      </c>
      <c r="I74" s="2">
        <f>+'s1'!T74*0.0098</f>
        <v>0</v>
      </c>
      <c r="J74" s="2">
        <f>+'s1'!U74*0.0098</f>
        <v>0</v>
      </c>
      <c r="K74" s="2">
        <f>+'s1'!V74*0.0098</f>
        <v>0</v>
      </c>
      <c r="L74" s="2">
        <f>+'s1'!W74*0.0098</f>
        <v>0</v>
      </c>
      <c r="M74" s="2">
        <f>+'s1'!X74*0.0098</f>
        <v>0</v>
      </c>
      <c r="N74" s="2">
        <f>+'s1'!Y74*0.0098</f>
        <v>0</v>
      </c>
      <c r="O74" s="2">
        <f>+'s1'!Z74*0.0098</f>
        <v>0</v>
      </c>
      <c r="P74" s="2">
        <f>+'s1'!AA74*0.0098</f>
        <v>0</v>
      </c>
      <c r="Q74" s="2">
        <f>+'s1'!AB74*0.0098</f>
        <v>0</v>
      </c>
      <c r="R74" s="2">
        <f>+'s1'!AC74*0.0098</f>
        <v>0</v>
      </c>
      <c r="S74" s="2">
        <f>SUM(B74:R74)</f>
        <v>48.96</v>
      </c>
      <c r="T74" s="2"/>
    </row>
    <row r="75" spans="1:20" s="88" customFormat="1" x14ac:dyDescent="0.2">
      <c r="A75" s="18" t="s">
        <v>739</v>
      </c>
      <c r="B75" s="2">
        <f>+'s1'!M75*0.0098</f>
        <v>0</v>
      </c>
      <c r="C75" s="2">
        <f>+'s1'!N75*0.0098</f>
        <v>0</v>
      </c>
      <c r="D75" s="2">
        <f>+'s1'!O75*0.0098</f>
        <v>0</v>
      </c>
      <c r="E75" s="2">
        <f>+'s1'!P75*0.0098</f>
        <v>0</v>
      </c>
      <c r="F75" s="2">
        <f>+'s1'!Q75*0.0098</f>
        <v>0</v>
      </c>
      <c r="G75" s="2">
        <f>+'s1'!R75*0.0098</f>
        <v>0</v>
      </c>
      <c r="H75" s="2">
        <f>+'s1'!S75*0.0098</f>
        <v>0</v>
      </c>
      <c r="I75" s="2">
        <f>+'s1'!T75*0.0098</f>
        <v>0</v>
      </c>
      <c r="J75" s="2">
        <f>+'s1'!U75*0.0098</f>
        <v>0</v>
      </c>
      <c r="K75" s="2">
        <f>+'s1'!V75*0.0098</f>
        <v>0</v>
      </c>
      <c r="L75" s="2">
        <f>+'s1'!W75*0.0098</f>
        <v>0</v>
      </c>
      <c r="M75" s="2">
        <f>+'s1'!X75*0.0098</f>
        <v>0</v>
      </c>
      <c r="N75" s="2">
        <f>+'s1'!Y75*0.0098</f>
        <v>0</v>
      </c>
      <c r="O75" s="2">
        <f>+'s1'!Z75*0.0098</f>
        <v>0</v>
      </c>
      <c r="P75" s="2">
        <f>+'s1'!AA75*0.0098</f>
        <v>0</v>
      </c>
      <c r="Q75" s="2">
        <f>+'s1'!AB75*0.0098</f>
        <v>0</v>
      </c>
      <c r="R75" s="2">
        <f>+'s1'!AC75*0.0098</f>
        <v>0</v>
      </c>
      <c r="S75" s="78">
        <f>SUM(B75:R75)</f>
        <v>0</v>
      </c>
      <c r="T75" s="10"/>
    </row>
    <row r="76" spans="1:20" s="20" customFormat="1" x14ac:dyDescent="0.2">
      <c r="A76" s="1" t="s">
        <v>700</v>
      </c>
      <c r="B76" s="2">
        <f>+'s1'!M76*0.0098</f>
        <v>0</v>
      </c>
      <c r="C76" s="2">
        <f>+'s1'!N76*0.0098</f>
        <v>0</v>
      </c>
      <c r="D76" s="2">
        <f>+'s1'!O76*0.0098</f>
        <v>0</v>
      </c>
      <c r="E76" s="2">
        <f>+'s1'!P76*0.0098</f>
        <v>0</v>
      </c>
      <c r="F76" s="2">
        <f>+'s1'!Q76*0.0098</f>
        <v>0</v>
      </c>
      <c r="G76" s="2">
        <f>+'s1'!R76*0.0098</f>
        <v>0</v>
      </c>
      <c r="H76" s="2">
        <f>+'s1'!S76*0.0098</f>
        <v>0</v>
      </c>
      <c r="I76" s="2">
        <f>+'s1'!T76*0.0098</f>
        <v>0</v>
      </c>
      <c r="J76" s="2">
        <f>+'s1'!U76*0.0098</f>
        <v>0</v>
      </c>
      <c r="K76" s="2">
        <f>+'s1'!V76*0.0098</f>
        <v>0</v>
      </c>
      <c r="L76" s="2">
        <f>+'s1'!W76*0.0098</f>
        <v>1355.39</v>
      </c>
      <c r="M76" s="2">
        <f>+'s1'!X76*0.0098</f>
        <v>0</v>
      </c>
      <c r="N76" s="2">
        <f>+'s1'!Y76*0.0098</f>
        <v>0</v>
      </c>
      <c r="O76" s="2">
        <f>+'s1'!Z76*0.0098</f>
        <v>0</v>
      </c>
      <c r="P76" s="2">
        <f>+'s1'!AA76*0.0098</f>
        <v>0</v>
      </c>
      <c r="Q76" s="2">
        <f>+'s1'!AB76*0.0098</f>
        <v>0</v>
      </c>
      <c r="R76" s="2">
        <f>+'s1'!AC76*0.0098</f>
        <v>0</v>
      </c>
      <c r="S76" s="78">
        <f>SUM(B76:R76)</f>
        <v>1355.39</v>
      </c>
      <c r="T76" s="18"/>
    </row>
    <row r="77" spans="1:20" s="20" customFormat="1" x14ac:dyDescent="0.2">
      <c r="A77" s="1" t="s">
        <v>54</v>
      </c>
      <c r="B77" s="2">
        <f>+'s1'!M77*0.0098</f>
        <v>0</v>
      </c>
      <c r="C77" s="2">
        <f>+'s1'!N77*0.0098</f>
        <v>0</v>
      </c>
      <c r="D77" s="2">
        <f>+'s1'!O77*0.0098</f>
        <v>0</v>
      </c>
      <c r="E77" s="2">
        <f>+'s1'!P77*0.0098</f>
        <v>63.86</v>
      </c>
      <c r="F77" s="2">
        <f>+'s1'!Q77*0.0098</f>
        <v>0</v>
      </c>
      <c r="G77" s="2">
        <f>+'s1'!R77*0.0098</f>
        <v>0</v>
      </c>
      <c r="H77" s="2">
        <f>+'s1'!S77*0.0098</f>
        <v>0</v>
      </c>
      <c r="I77" s="2">
        <f>+'s1'!T77*0.0098</f>
        <v>0</v>
      </c>
      <c r="J77" s="2">
        <f>+'s1'!U77*0.0098</f>
        <v>0</v>
      </c>
      <c r="K77" s="2">
        <f>+'s1'!V77*0.0098</f>
        <v>0</v>
      </c>
      <c r="L77" s="2">
        <f>+'s1'!W77*0.0098</f>
        <v>0</v>
      </c>
      <c r="M77" s="2">
        <f>+'s1'!X77*0.0098</f>
        <v>0</v>
      </c>
      <c r="N77" s="2">
        <f>+'s1'!Y77*0.0098</f>
        <v>0</v>
      </c>
      <c r="O77" s="2">
        <f>+'s1'!Z77*0.0098</f>
        <v>0</v>
      </c>
      <c r="P77" s="2">
        <f>+'s1'!AA77*0.0098</f>
        <v>0</v>
      </c>
      <c r="Q77" s="2">
        <f>+'s1'!AB77*0.0098</f>
        <v>0</v>
      </c>
      <c r="R77" s="2">
        <f>+'s1'!AC77*0.0098</f>
        <v>0</v>
      </c>
      <c r="S77" s="78">
        <f t="shared" si="3"/>
        <v>63.86</v>
      </c>
      <c r="T77" s="18"/>
    </row>
    <row r="78" spans="1:20" x14ac:dyDescent="0.2">
      <c r="A78" s="1" t="s">
        <v>55</v>
      </c>
      <c r="B78" s="2">
        <f>+'s1'!M78*0.0098</f>
        <v>0</v>
      </c>
      <c r="C78" s="2">
        <f>+'s1'!N78*0.0098</f>
        <v>0</v>
      </c>
      <c r="D78" s="2">
        <f>+'s1'!O78*0.0098</f>
        <v>108.38</v>
      </c>
      <c r="E78" s="2">
        <f>+'s1'!P78*0.0098</f>
        <v>360.5</v>
      </c>
      <c r="F78" s="2">
        <f>+'s1'!Q78*0.0098</f>
        <v>0</v>
      </c>
      <c r="G78" s="2">
        <f>+'s1'!R78*0.0098</f>
        <v>0</v>
      </c>
      <c r="H78" s="2">
        <f>+'s1'!S78*0.0098</f>
        <v>0</v>
      </c>
      <c r="I78" s="2">
        <f>+'s1'!T78*0.0098</f>
        <v>0</v>
      </c>
      <c r="J78" s="2">
        <f>+'s1'!U78*0.0098</f>
        <v>0</v>
      </c>
      <c r="K78" s="2">
        <f>+'s1'!V78*0.0098</f>
        <v>0</v>
      </c>
      <c r="L78" s="2">
        <f>+'s1'!W78*0.0098</f>
        <v>0</v>
      </c>
      <c r="M78" s="2">
        <f>+'s1'!X78*0.0098</f>
        <v>0</v>
      </c>
      <c r="N78" s="2">
        <f>+'s1'!Y78*0.0098</f>
        <v>0</v>
      </c>
      <c r="O78" s="2">
        <f>+'s1'!Z78*0.0098</f>
        <v>0</v>
      </c>
      <c r="P78" s="2">
        <f>+'s1'!AA78*0.0098</f>
        <v>0</v>
      </c>
      <c r="Q78" s="2">
        <f>+'s1'!AB78*0.0098</f>
        <v>553.77</v>
      </c>
      <c r="R78" s="2">
        <f>+'s1'!AC78*0.0098</f>
        <v>0</v>
      </c>
      <c r="S78" s="2">
        <f t="shared" si="3"/>
        <v>1022.65</v>
      </c>
      <c r="T78" s="2"/>
    </row>
    <row r="79" spans="1:20" x14ac:dyDescent="0.2">
      <c r="A79" s="1" t="s">
        <v>56</v>
      </c>
      <c r="B79" s="2">
        <f>+'s1'!M79*0.0098</f>
        <v>0</v>
      </c>
      <c r="C79" s="2">
        <f>+'s1'!N79*0.0098</f>
        <v>0</v>
      </c>
      <c r="D79" s="2">
        <f>+'s1'!O79*0.0098</f>
        <v>0</v>
      </c>
      <c r="E79" s="2">
        <f>+'s1'!P79*0.0098</f>
        <v>0</v>
      </c>
      <c r="F79" s="2">
        <f>+'s1'!Q79*0.0098</f>
        <v>0</v>
      </c>
      <c r="G79" s="2">
        <f>+'s1'!R79*0.0098</f>
        <v>0</v>
      </c>
      <c r="H79" s="2">
        <f>+'s1'!S79*0.0098</f>
        <v>5.99</v>
      </c>
      <c r="I79" s="2">
        <f>+'s1'!T79*0.0098</f>
        <v>0</v>
      </c>
      <c r="J79" s="2">
        <f>+'s1'!U79*0.0098</f>
        <v>0</v>
      </c>
      <c r="K79" s="2">
        <f>+'s1'!V79*0.0098</f>
        <v>0</v>
      </c>
      <c r="L79" s="2">
        <f>+'s1'!W79*0.0098</f>
        <v>0</v>
      </c>
      <c r="M79" s="2">
        <f>+'s1'!X79*0.0098</f>
        <v>0</v>
      </c>
      <c r="N79" s="2">
        <f>+'s1'!Y79*0.0098</f>
        <v>0</v>
      </c>
      <c r="O79" s="2">
        <f>+'s1'!Z79*0.0098</f>
        <v>0</v>
      </c>
      <c r="P79" s="2">
        <f>+'s1'!AA79*0.0098</f>
        <v>0</v>
      </c>
      <c r="Q79" s="2">
        <f>+'s1'!AB79*0.0098</f>
        <v>0</v>
      </c>
      <c r="R79" s="2">
        <f>+'s1'!AC79*0.0098</f>
        <v>479.26</v>
      </c>
      <c r="S79" s="2">
        <f t="shared" ref="S79:S92" si="4">SUM(B79:R79)</f>
        <v>485.25</v>
      </c>
      <c r="T79" s="1"/>
    </row>
    <row r="80" spans="1:20" x14ac:dyDescent="0.2">
      <c r="A80" s="18" t="s">
        <v>217</v>
      </c>
      <c r="B80" s="2">
        <f>+'s1'!M80*0.0098</f>
        <v>0</v>
      </c>
      <c r="C80" s="2">
        <f>+'s1'!N80*0.0098</f>
        <v>0</v>
      </c>
      <c r="D80" s="2">
        <f>+'s1'!O80*0.0098</f>
        <v>0.64</v>
      </c>
      <c r="E80" s="2">
        <f>+'s1'!P80*0.0098</f>
        <v>0</v>
      </c>
      <c r="F80" s="2">
        <f>+'s1'!Q80*0.0098</f>
        <v>0</v>
      </c>
      <c r="G80" s="2">
        <f>+'s1'!R80*0.0098</f>
        <v>0</v>
      </c>
      <c r="H80" s="2">
        <f>+'s1'!S80*0.0098</f>
        <v>0</v>
      </c>
      <c r="I80" s="2">
        <f>+'s1'!T80*0.0098</f>
        <v>0</v>
      </c>
      <c r="J80" s="2">
        <f>+'s1'!U80*0.0098</f>
        <v>0</v>
      </c>
      <c r="K80" s="2">
        <f>+'s1'!V80*0.0098</f>
        <v>0</v>
      </c>
      <c r="L80" s="2">
        <f>+'s1'!W80*0.0098</f>
        <v>0</v>
      </c>
      <c r="M80" s="2">
        <f>+'s1'!X80*0.0098</f>
        <v>0</v>
      </c>
      <c r="N80" s="2">
        <f>+'s1'!Y80*0.0098</f>
        <v>0</v>
      </c>
      <c r="O80" s="2">
        <f>+'s1'!Z80*0.0098</f>
        <v>0</v>
      </c>
      <c r="P80" s="2">
        <f>+'s1'!AA80*0.0098</f>
        <v>0</v>
      </c>
      <c r="Q80" s="2">
        <f>+'s1'!AB80*0.0098</f>
        <v>0</v>
      </c>
      <c r="R80" s="2">
        <f>+'s1'!AC80*0.0098</f>
        <v>0</v>
      </c>
      <c r="S80" s="2">
        <f>SUM(B80:R80)</f>
        <v>0.64</v>
      </c>
      <c r="T80" s="2"/>
    </row>
    <row r="81" spans="1:20" x14ac:dyDescent="0.2">
      <c r="A81" s="18" t="s">
        <v>57</v>
      </c>
      <c r="B81" s="2">
        <f>+'s1'!M81*0.0098</f>
        <v>0</v>
      </c>
      <c r="C81" s="2">
        <f>+'s1'!N81*0.0098</f>
        <v>0</v>
      </c>
      <c r="D81" s="2">
        <f>+'s1'!O81*0.0098</f>
        <v>0</v>
      </c>
      <c r="E81" s="2">
        <f>+'s1'!P81*0.0098</f>
        <v>2.4500000000000002</v>
      </c>
      <c r="F81" s="2">
        <f>+'s1'!Q81*0.0098</f>
        <v>0</v>
      </c>
      <c r="G81" s="2">
        <f>+'s1'!R81*0.0098</f>
        <v>0</v>
      </c>
      <c r="H81" s="2">
        <f>+'s1'!S81*0.0098</f>
        <v>0</v>
      </c>
      <c r="I81" s="2">
        <f>+'s1'!T81*0.0098</f>
        <v>0</v>
      </c>
      <c r="J81" s="2">
        <f>+'s1'!U81*0.0098</f>
        <v>0</v>
      </c>
      <c r="K81" s="2">
        <f>+'s1'!V81*0.0098</f>
        <v>0</v>
      </c>
      <c r="L81" s="2">
        <f>+'s1'!W81*0.0098</f>
        <v>9.31</v>
      </c>
      <c r="M81" s="2">
        <f>+'s1'!X81*0.0098</f>
        <v>0</v>
      </c>
      <c r="N81" s="2">
        <f>+'s1'!Y81*0.0098</f>
        <v>0</v>
      </c>
      <c r="O81" s="2">
        <f>+'s1'!Z81*0.0098</f>
        <v>0</v>
      </c>
      <c r="P81" s="2">
        <f>+'s1'!AA81*0.0098</f>
        <v>13.52</v>
      </c>
      <c r="Q81" s="2">
        <f>+'s1'!AB81*0.0098</f>
        <v>193.94</v>
      </c>
      <c r="R81" s="2">
        <f>+'s1'!AC81*0.0098</f>
        <v>0</v>
      </c>
      <c r="S81" s="2">
        <f t="shared" si="4"/>
        <v>219.22</v>
      </c>
      <c r="T81" s="2"/>
    </row>
    <row r="82" spans="1:20" s="20" customFormat="1" x14ac:dyDescent="0.2">
      <c r="A82" s="1" t="s">
        <v>710</v>
      </c>
      <c r="B82" s="2">
        <f>+'s1'!M82*0.0098</f>
        <v>0</v>
      </c>
      <c r="C82" s="2">
        <f>+'s1'!N82*0.0098</f>
        <v>0</v>
      </c>
      <c r="D82" s="2">
        <f>+'s1'!O82*0.0098</f>
        <v>19466.310000000001</v>
      </c>
      <c r="E82" s="2">
        <f>+'s1'!P82*0.0098</f>
        <v>0</v>
      </c>
      <c r="F82" s="2">
        <f>+'s1'!Q82*0.0098</f>
        <v>0</v>
      </c>
      <c r="G82" s="2">
        <f>+'s1'!R82*0.0098</f>
        <v>0</v>
      </c>
      <c r="H82" s="2">
        <f>+'s1'!S82*0.0098</f>
        <v>0</v>
      </c>
      <c r="I82" s="2">
        <f>+'s1'!T82*0.0098</f>
        <v>0</v>
      </c>
      <c r="J82" s="2">
        <f>+'s1'!U82*0.0098</f>
        <v>0</v>
      </c>
      <c r="K82" s="2">
        <f>+'s1'!V82*0.0098</f>
        <v>106.7</v>
      </c>
      <c r="L82" s="2">
        <f>+'s1'!W82*0.0098</f>
        <v>0</v>
      </c>
      <c r="M82" s="2">
        <f>+'s1'!X82*0.0098</f>
        <v>0</v>
      </c>
      <c r="N82" s="2">
        <f>+'s1'!Y82*0.0098</f>
        <v>1352.67</v>
      </c>
      <c r="O82" s="2">
        <f>+'s1'!Z82*0.0098</f>
        <v>0</v>
      </c>
      <c r="P82" s="2">
        <f>+'s1'!AA82*0.0098</f>
        <v>0</v>
      </c>
      <c r="Q82" s="2">
        <f>+'s1'!AB82*0.0098</f>
        <v>0</v>
      </c>
      <c r="R82" s="2">
        <f>+'s1'!AC82*0.0098</f>
        <v>0</v>
      </c>
      <c r="S82" s="78">
        <f>SUM(B82:R82)</f>
        <v>20925.68</v>
      </c>
      <c r="T82" s="78"/>
    </row>
    <row r="83" spans="1:20" x14ac:dyDescent="0.2">
      <c r="A83" s="1" t="s">
        <v>434</v>
      </c>
      <c r="B83" s="2">
        <f>+'s1'!M83*0.0098</f>
        <v>0</v>
      </c>
      <c r="C83" s="2">
        <f>+'s1'!N83*0.0098</f>
        <v>0</v>
      </c>
      <c r="D83" s="2">
        <f>+'s1'!O83*0.0098</f>
        <v>1340.78</v>
      </c>
      <c r="E83" s="2">
        <f>+'s1'!P83*0.0098</f>
        <v>0</v>
      </c>
      <c r="F83" s="2">
        <f>+'s1'!Q83*0.0098</f>
        <v>0</v>
      </c>
      <c r="G83" s="2">
        <f>+'s1'!R83*0.0098</f>
        <v>0</v>
      </c>
      <c r="H83" s="2">
        <f>+'s1'!S83*0.0098</f>
        <v>0</v>
      </c>
      <c r="I83" s="2">
        <f>+'s1'!T83*0.0098</f>
        <v>0</v>
      </c>
      <c r="J83" s="2">
        <f>+'s1'!U83*0.0098</f>
        <v>0</v>
      </c>
      <c r="K83" s="2">
        <f>+'s1'!V83*0.0098</f>
        <v>0</v>
      </c>
      <c r="L83" s="2">
        <f>+'s1'!W83*0.0098</f>
        <v>0</v>
      </c>
      <c r="M83" s="2">
        <f>+'s1'!X83*0.0098</f>
        <v>0</v>
      </c>
      <c r="N83" s="2">
        <f>+'s1'!Y83*0.0098</f>
        <v>0</v>
      </c>
      <c r="O83" s="2">
        <f>+'s1'!Z83*0.0098</f>
        <v>0</v>
      </c>
      <c r="P83" s="2">
        <f>+'s1'!AA83*0.0098</f>
        <v>0</v>
      </c>
      <c r="Q83" s="2">
        <f>+'s1'!AB83*0.0098</f>
        <v>1672.27</v>
      </c>
      <c r="R83" s="2">
        <f>+'s1'!AC83*0.0098</f>
        <v>0</v>
      </c>
      <c r="S83" s="2">
        <f t="shared" si="4"/>
        <v>3013.05</v>
      </c>
      <c r="T83" s="1"/>
    </row>
    <row r="84" spans="1:20" s="20" customFormat="1" x14ac:dyDescent="0.2">
      <c r="A84" s="1" t="s">
        <v>58</v>
      </c>
      <c r="B84" s="2">
        <f>+'s1'!M84*0.0098</f>
        <v>0</v>
      </c>
      <c r="C84" s="2">
        <f>+'s1'!N84*0.0098</f>
        <v>0</v>
      </c>
      <c r="D84" s="2">
        <f>+'s1'!O84*0.0098</f>
        <v>16591.810000000001</v>
      </c>
      <c r="E84" s="2">
        <f>+'s1'!P84*0.0098</f>
        <v>0</v>
      </c>
      <c r="F84" s="2">
        <f>+'s1'!Q84*0.0098</f>
        <v>0</v>
      </c>
      <c r="G84" s="2">
        <f>+'s1'!R84*0.0098</f>
        <v>0</v>
      </c>
      <c r="H84" s="2">
        <f>+'s1'!S84*0.0098</f>
        <v>0</v>
      </c>
      <c r="I84" s="2">
        <f>+'s1'!T84*0.0098</f>
        <v>0</v>
      </c>
      <c r="J84" s="2">
        <f>+'s1'!U84*0.0098</f>
        <v>0</v>
      </c>
      <c r="K84" s="2">
        <f>+'s1'!V84*0.0098</f>
        <v>0</v>
      </c>
      <c r="L84" s="2">
        <f>+'s1'!W84*0.0098</f>
        <v>0</v>
      </c>
      <c r="M84" s="2">
        <f>+'s1'!X84*0.0098</f>
        <v>0</v>
      </c>
      <c r="N84" s="2">
        <f>+'s1'!Y84*0.0098</f>
        <v>0</v>
      </c>
      <c r="O84" s="2">
        <f>+'s1'!Z84*0.0098</f>
        <v>0</v>
      </c>
      <c r="P84" s="2">
        <f>+'s1'!AA84*0.0098</f>
        <v>0</v>
      </c>
      <c r="Q84" s="2">
        <f>+'s1'!AB84*0.0098</f>
        <v>0</v>
      </c>
      <c r="R84" s="2">
        <f>+'s1'!AC84*0.0098</f>
        <v>0</v>
      </c>
      <c r="S84" s="78">
        <f t="shared" si="4"/>
        <v>16591.810000000001</v>
      </c>
      <c r="T84" s="78"/>
    </row>
    <row r="85" spans="1:20" s="20" customFormat="1" x14ac:dyDescent="0.2">
      <c r="A85" s="1" t="s">
        <v>435</v>
      </c>
      <c r="B85" s="2">
        <f>+'s1'!M85*0.0098</f>
        <v>0</v>
      </c>
      <c r="C85" s="2">
        <f>+'s1'!N85*0.0098</f>
        <v>0</v>
      </c>
      <c r="D85" s="2">
        <f>+'s1'!O85*0.0098</f>
        <v>1827.91</v>
      </c>
      <c r="E85" s="2">
        <f>+'s1'!P85*0.0098</f>
        <v>0</v>
      </c>
      <c r="F85" s="2">
        <f>+'s1'!Q85*0.0098</f>
        <v>2535.64</v>
      </c>
      <c r="G85" s="2">
        <f>+'s1'!R85*0.0098</f>
        <v>0</v>
      </c>
      <c r="H85" s="2">
        <f>+'s1'!S85*0.0098</f>
        <v>0</v>
      </c>
      <c r="I85" s="2">
        <f>+'s1'!T85*0.0098</f>
        <v>0</v>
      </c>
      <c r="J85" s="2">
        <f>+'s1'!U85*0.0098</f>
        <v>0</v>
      </c>
      <c r="K85" s="2">
        <f>+'s1'!V85*0.0098</f>
        <v>0</v>
      </c>
      <c r="L85" s="2">
        <f>+'s1'!W85*0.0098</f>
        <v>1930.38</v>
      </c>
      <c r="M85" s="2">
        <f>+'s1'!X85*0.0098</f>
        <v>0</v>
      </c>
      <c r="N85" s="2">
        <f>+'s1'!Y85*0.0098</f>
        <v>0</v>
      </c>
      <c r="O85" s="2">
        <f>+'s1'!Z85*0.0098</f>
        <v>0</v>
      </c>
      <c r="P85" s="2">
        <f>+'s1'!AA85*0.0098</f>
        <v>0</v>
      </c>
      <c r="Q85" s="2">
        <f>+'s1'!AB85*0.0098</f>
        <v>0</v>
      </c>
      <c r="R85" s="2">
        <f>+'s1'!AC85*0.0098</f>
        <v>0</v>
      </c>
      <c r="S85" s="78">
        <f t="shared" si="4"/>
        <v>6293.93</v>
      </c>
      <c r="T85" s="78"/>
    </row>
    <row r="86" spans="1:20" x14ac:dyDescent="0.2">
      <c r="A86" s="1" t="s">
        <v>436</v>
      </c>
      <c r="B86" s="2">
        <f>+'s1'!M86*0.0098</f>
        <v>443.17</v>
      </c>
      <c r="C86" s="2">
        <f>+'s1'!N86*0.0098</f>
        <v>0</v>
      </c>
      <c r="D86" s="2">
        <f>+'s1'!O86*0.0098</f>
        <v>405.76</v>
      </c>
      <c r="E86" s="2">
        <f>+'s1'!P86*0.0098</f>
        <v>0</v>
      </c>
      <c r="F86" s="2">
        <f>+'s1'!Q86*0.0098</f>
        <v>0</v>
      </c>
      <c r="G86" s="2">
        <f>+'s1'!R86*0.0098</f>
        <v>0</v>
      </c>
      <c r="H86" s="2">
        <f>+'s1'!S86*0.0098</f>
        <v>0</v>
      </c>
      <c r="I86" s="2">
        <f>+'s1'!T86*0.0098</f>
        <v>0</v>
      </c>
      <c r="J86" s="2">
        <f>+'s1'!U86*0.0098</f>
        <v>0</v>
      </c>
      <c r="K86" s="2">
        <f>+'s1'!V86*0.0098</f>
        <v>0</v>
      </c>
      <c r="L86" s="2">
        <f>+'s1'!W86*0.0098</f>
        <v>0</v>
      </c>
      <c r="M86" s="2">
        <f>+'s1'!X86*0.0098</f>
        <v>0</v>
      </c>
      <c r="N86" s="2">
        <f>+'s1'!Y86*0.0098</f>
        <v>0</v>
      </c>
      <c r="O86" s="2">
        <f>+'s1'!Z86*0.0098</f>
        <v>0</v>
      </c>
      <c r="P86" s="2">
        <f>+'s1'!AA86*0.0098</f>
        <v>0</v>
      </c>
      <c r="Q86" s="2">
        <f>+'s1'!AB86*0.0098</f>
        <v>1162.06</v>
      </c>
      <c r="R86" s="2">
        <f>+'s1'!AC86*0.0098</f>
        <v>0</v>
      </c>
      <c r="S86" s="2">
        <f t="shared" si="4"/>
        <v>2010.99</v>
      </c>
      <c r="T86" s="2"/>
    </row>
    <row r="87" spans="1:20" x14ac:dyDescent="0.2">
      <c r="A87" s="1" t="s">
        <v>349</v>
      </c>
      <c r="B87" s="2">
        <f>+'s1'!M87*0.0098</f>
        <v>0</v>
      </c>
      <c r="C87" s="2">
        <f>+'s1'!N87*0.0098</f>
        <v>0</v>
      </c>
      <c r="D87" s="2">
        <f>+'s1'!O87*0.0098</f>
        <v>1251.54</v>
      </c>
      <c r="E87" s="2">
        <f>+'s1'!P87*0.0098</f>
        <v>0</v>
      </c>
      <c r="F87" s="2">
        <f>+'s1'!Q87*0.0098</f>
        <v>0</v>
      </c>
      <c r="G87" s="2">
        <f>+'s1'!R87*0.0098</f>
        <v>0</v>
      </c>
      <c r="H87" s="2">
        <f>+'s1'!S87*0.0098</f>
        <v>0</v>
      </c>
      <c r="I87" s="2">
        <f>+'s1'!T87*0.0098</f>
        <v>0</v>
      </c>
      <c r="J87" s="2">
        <f>+'s1'!U87*0.0098</f>
        <v>0</v>
      </c>
      <c r="K87" s="2">
        <f>+'s1'!V87*0.0098</f>
        <v>0</v>
      </c>
      <c r="L87" s="2">
        <f>+'s1'!W87*0.0098</f>
        <v>0</v>
      </c>
      <c r="M87" s="2">
        <f>+'s1'!X87*0.0098</f>
        <v>0</v>
      </c>
      <c r="N87" s="2">
        <f>+'s1'!Y87*0.0098</f>
        <v>821.31</v>
      </c>
      <c r="O87" s="2">
        <f>+'s1'!Z87*0.0098</f>
        <v>0</v>
      </c>
      <c r="P87" s="2">
        <f>+'s1'!AA87*0.0098</f>
        <v>0</v>
      </c>
      <c r="Q87" s="2">
        <f>+'s1'!AB87*0.0098</f>
        <v>0</v>
      </c>
      <c r="R87" s="2">
        <f>+'s1'!AC87*0.0098</f>
        <v>0</v>
      </c>
      <c r="S87" s="2">
        <f>SUM(B87:R87)</f>
        <v>2072.85</v>
      </c>
      <c r="T87" s="2"/>
    </row>
    <row r="88" spans="1:20" s="20" customFormat="1" x14ac:dyDescent="0.2">
      <c r="A88" s="1" t="s">
        <v>608</v>
      </c>
      <c r="B88" s="2">
        <f>+'s1'!M88*0.0098</f>
        <v>0</v>
      </c>
      <c r="C88" s="2">
        <f>+'s1'!N88*0.0098</f>
        <v>0</v>
      </c>
      <c r="D88" s="2">
        <f>+'s1'!O88*0.0098</f>
        <v>0</v>
      </c>
      <c r="E88" s="2">
        <f>+'s1'!P88*0.0098</f>
        <v>0</v>
      </c>
      <c r="F88" s="2">
        <f>+'s1'!Q88*0.0098</f>
        <v>0</v>
      </c>
      <c r="G88" s="2">
        <f>+'s1'!R88*0.0098</f>
        <v>0</v>
      </c>
      <c r="H88" s="2">
        <f>+'s1'!S88*0.0098</f>
        <v>0</v>
      </c>
      <c r="I88" s="2">
        <f>+'s1'!T88*0.0098</f>
        <v>0</v>
      </c>
      <c r="J88" s="2">
        <f>+'s1'!U88*0.0098</f>
        <v>0</v>
      </c>
      <c r="K88" s="2">
        <f>+'s1'!V88*0.0098</f>
        <v>0</v>
      </c>
      <c r="L88" s="2">
        <f>+'s1'!W88*0.0098</f>
        <v>0</v>
      </c>
      <c r="M88" s="2">
        <f>+'s1'!X88*0.0098</f>
        <v>0</v>
      </c>
      <c r="N88" s="2">
        <f>+'s1'!Y88*0.0098</f>
        <v>0</v>
      </c>
      <c r="O88" s="2">
        <f>+'s1'!Z88*0.0098</f>
        <v>0</v>
      </c>
      <c r="P88" s="2">
        <f>+'s1'!AA88*0.0098</f>
        <v>0</v>
      </c>
      <c r="Q88" s="2">
        <f>+'s1'!AB88*0.0098-60.06</f>
        <v>130.83000000000001</v>
      </c>
      <c r="R88" s="2">
        <f>+'s1'!AC88*0.0098</f>
        <v>0</v>
      </c>
      <c r="S88" s="78">
        <f>SUM(B88:R88)</f>
        <v>130.83000000000001</v>
      </c>
      <c r="T88" s="78"/>
    </row>
    <row r="89" spans="1:20" s="20" customFormat="1" x14ac:dyDescent="0.2">
      <c r="A89" s="18" t="s">
        <v>437</v>
      </c>
      <c r="B89" s="2">
        <f>+'s1'!M89*0.0098</f>
        <v>1885.27</v>
      </c>
      <c r="C89" s="2">
        <f>+'s1'!N89*0.0098</f>
        <v>0</v>
      </c>
      <c r="D89" s="2">
        <f>+'s1'!O89*0.0098</f>
        <v>0</v>
      </c>
      <c r="E89" s="2">
        <f>+'s1'!P89*0.0098</f>
        <v>0</v>
      </c>
      <c r="F89" s="2">
        <f>+'s1'!Q89*0.0098</f>
        <v>0</v>
      </c>
      <c r="G89" s="2">
        <f>+'s1'!R89*0.0098</f>
        <v>0</v>
      </c>
      <c r="H89" s="2">
        <f>+'s1'!S89*0.0098</f>
        <v>0</v>
      </c>
      <c r="I89" s="2">
        <f>+'s1'!T89*0.0098</f>
        <v>0</v>
      </c>
      <c r="J89" s="2">
        <f>+'s1'!U89*0.0098</f>
        <v>0</v>
      </c>
      <c r="K89" s="2">
        <f>+'s1'!V89*0.0098</f>
        <v>0</v>
      </c>
      <c r="L89" s="2">
        <f>+'s1'!W89*0.0098</f>
        <v>0</v>
      </c>
      <c r="M89" s="2">
        <f>+'s1'!X89*0.0098</f>
        <v>0</v>
      </c>
      <c r="N89" s="2">
        <f>+'s1'!Y89*0.0098</f>
        <v>0</v>
      </c>
      <c r="O89" s="2">
        <f>+'s1'!Z89*0.0098</f>
        <v>0</v>
      </c>
      <c r="P89" s="2">
        <f>+'s1'!AA89*0.0098</f>
        <v>0</v>
      </c>
      <c r="Q89" s="2">
        <f>+'s1'!AB89*0.0098</f>
        <v>7272.08</v>
      </c>
      <c r="R89" s="2">
        <f>+'s1'!AC89*0.0098</f>
        <v>0</v>
      </c>
      <c r="S89" s="78">
        <f>SUM(B89:R89)</f>
        <v>9157.35</v>
      </c>
      <c r="T89" s="78"/>
    </row>
    <row r="90" spans="1:20" x14ac:dyDescent="0.2">
      <c r="A90" s="18" t="s">
        <v>59</v>
      </c>
      <c r="B90" s="2">
        <f>+'s1'!M90*0.0098</f>
        <v>0</v>
      </c>
      <c r="C90" s="2">
        <f>+'s1'!N90*0.0098</f>
        <v>0</v>
      </c>
      <c r="D90" s="2">
        <f>+'s1'!O90*0.0098</f>
        <v>75824.83</v>
      </c>
      <c r="E90" s="2">
        <f>+'s1'!P90*0.0098</f>
        <v>0</v>
      </c>
      <c r="F90" s="2">
        <f>+'s1'!Q90*0.0098</f>
        <v>0</v>
      </c>
      <c r="G90" s="2">
        <f>+'s1'!R90*0.0098</f>
        <v>68.86</v>
      </c>
      <c r="H90" s="2">
        <f>+'s1'!S90*0.0098</f>
        <v>0</v>
      </c>
      <c r="I90" s="2">
        <f>+'s1'!T90*0.0098</f>
        <v>0</v>
      </c>
      <c r="J90" s="2">
        <f>+'s1'!U90*0.0098</f>
        <v>15.1</v>
      </c>
      <c r="K90" s="2">
        <f>+'s1'!V90*0.0098</f>
        <v>22.54</v>
      </c>
      <c r="L90" s="2">
        <f>+'s1'!W90*0.0098</f>
        <v>0</v>
      </c>
      <c r="M90" s="2">
        <f>+'s1'!X90*0.0098</f>
        <v>0</v>
      </c>
      <c r="N90" s="2">
        <f>+'s1'!Y90*0.0098</f>
        <v>4296.6899999999996</v>
      </c>
      <c r="O90" s="2">
        <f>+'s1'!Z90*0.0098</f>
        <v>0</v>
      </c>
      <c r="P90" s="2">
        <f>+'s1'!AA90*0.0098</f>
        <v>0</v>
      </c>
      <c r="Q90" s="2">
        <f>+'s1'!AB90*0.0098</f>
        <v>0</v>
      </c>
      <c r="R90" s="2">
        <f>+'s1'!AC90*0.0098</f>
        <v>0</v>
      </c>
      <c r="S90" s="2">
        <f>SUM(B90:R90)</f>
        <v>80228.02</v>
      </c>
      <c r="T90" s="2"/>
    </row>
    <row r="91" spans="1:20" s="20" customFormat="1" x14ac:dyDescent="0.2">
      <c r="A91" s="1" t="s">
        <v>60</v>
      </c>
      <c r="B91" s="2">
        <f>+'s1'!M91*0.0098</f>
        <v>0</v>
      </c>
      <c r="C91" s="2">
        <f>+'s1'!N91*0.0098</f>
        <v>0</v>
      </c>
      <c r="D91" s="2">
        <f>+'s1'!O91*0.0098</f>
        <v>0</v>
      </c>
      <c r="E91" s="2">
        <f>+'s1'!P91*0.0098</f>
        <v>0</v>
      </c>
      <c r="F91" s="2">
        <f>+'s1'!Q91*0.0098</f>
        <v>789.65</v>
      </c>
      <c r="G91" s="2">
        <f>+'s1'!R91*0.0098</f>
        <v>0</v>
      </c>
      <c r="H91" s="2">
        <f>+'s1'!S91*0.0098</f>
        <v>0</v>
      </c>
      <c r="I91" s="2">
        <f>+'s1'!T91*0.0098</f>
        <v>9.7899999999999991</v>
      </c>
      <c r="J91" s="2">
        <f>+'s1'!U91*0.0098</f>
        <v>0</v>
      </c>
      <c r="K91" s="2">
        <f>+'s1'!V91*0.0098</f>
        <v>581.91999999999996</v>
      </c>
      <c r="L91" s="2">
        <f>+'s1'!W91*0.0098</f>
        <v>0</v>
      </c>
      <c r="M91" s="2">
        <f>+'s1'!X91*0.0098</f>
        <v>0</v>
      </c>
      <c r="N91" s="2">
        <f>+'s1'!Y91*0.0098</f>
        <v>0</v>
      </c>
      <c r="O91" s="2">
        <f>+'s1'!Z91*0.0098</f>
        <v>0</v>
      </c>
      <c r="P91" s="2">
        <f>+'s1'!AA91*0.0098</f>
        <v>0</v>
      </c>
      <c r="Q91" s="2">
        <f>+'s1'!AB91*0.0098</f>
        <v>0</v>
      </c>
      <c r="R91" s="2">
        <f>+'s1'!AC91*0.0098</f>
        <v>2322.06</v>
      </c>
      <c r="S91" s="78">
        <f>SUM(B91:R91)</f>
        <v>3703.42</v>
      </c>
      <c r="T91" s="78"/>
    </row>
    <row r="92" spans="1:20" s="20" customFormat="1" x14ac:dyDescent="0.2">
      <c r="A92" s="1" t="s">
        <v>459</v>
      </c>
      <c r="B92" s="2">
        <f>+'s1'!M92*0.0098</f>
        <v>0</v>
      </c>
      <c r="C92" s="2">
        <f>+'s1'!N92*0.0098</f>
        <v>0</v>
      </c>
      <c r="D92" s="2">
        <f>+'s1'!O92*0.0098</f>
        <v>0</v>
      </c>
      <c r="E92" s="2">
        <f>+'s1'!P92*0.0098</f>
        <v>0</v>
      </c>
      <c r="F92" s="2">
        <f>+'s1'!Q92*0.0098</f>
        <v>0</v>
      </c>
      <c r="G92" s="2">
        <f>+'s1'!R92*0.0098</f>
        <v>0</v>
      </c>
      <c r="H92" s="2">
        <f>+'s1'!S92*0.0098</f>
        <v>0</v>
      </c>
      <c r="I92" s="2">
        <f>+'s1'!T92*0.0098</f>
        <v>0</v>
      </c>
      <c r="J92" s="2">
        <f>+'s1'!U92*0.0098</f>
        <v>0</v>
      </c>
      <c r="K92" s="2">
        <f>+'s1'!V92*0.0098</f>
        <v>0</v>
      </c>
      <c r="L92" s="2">
        <f>+'s1'!W92*0.0098</f>
        <v>0</v>
      </c>
      <c r="M92" s="2">
        <f>+'s1'!X92*0.0098</f>
        <v>0</v>
      </c>
      <c r="N92" s="2">
        <f>+'s1'!Y92*0.0098</f>
        <v>0</v>
      </c>
      <c r="O92" s="2">
        <f>+'s1'!Z92*0.0098</f>
        <v>0</v>
      </c>
      <c r="P92" s="2">
        <f>+'s1'!AA92*0.0098</f>
        <v>0</v>
      </c>
      <c r="Q92" s="2">
        <f>+'s1'!AB92*0.0098</f>
        <v>87.1</v>
      </c>
      <c r="R92" s="2">
        <f>+'s1'!AC92*0.0098</f>
        <v>0</v>
      </c>
      <c r="S92" s="78">
        <f t="shared" si="4"/>
        <v>87.1</v>
      </c>
      <c r="T92" s="18"/>
    </row>
    <row r="93" spans="1:20" s="20" customFormat="1" x14ac:dyDescent="0.2">
      <c r="A93" s="18" t="s">
        <v>61</v>
      </c>
      <c r="B93" s="2">
        <f>+'s1'!M93*0.0098</f>
        <v>2597.5100000000002</v>
      </c>
      <c r="C93" s="2">
        <f>+'s1'!N93*0.0098</f>
        <v>677.57</v>
      </c>
      <c r="D93" s="2">
        <f>+'s1'!O93*0.0098</f>
        <v>16973.54</v>
      </c>
      <c r="E93" s="2">
        <f>+'s1'!P93*0.0098</f>
        <v>568.32000000000005</v>
      </c>
      <c r="F93" s="2">
        <f>+'s1'!Q93*0.0098</f>
        <v>0</v>
      </c>
      <c r="G93" s="2">
        <f>+'s1'!R93*0.0098</f>
        <v>39.29</v>
      </c>
      <c r="H93" s="2">
        <f>+'s1'!S93*0.0098</f>
        <v>0</v>
      </c>
      <c r="I93" s="2">
        <f>+'s1'!T93*0.0098</f>
        <v>0</v>
      </c>
      <c r="J93" s="2">
        <f>+'s1'!U93*0.0098</f>
        <v>0</v>
      </c>
      <c r="K93" s="2">
        <f>+'s1'!V93*0.0098</f>
        <v>0</v>
      </c>
      <c r="L93" s="2">
        <f>+'s1'!W93*0.0098</f>
        <v>1299.7</v>
      </c>
      <c r="M93" s="2">
        <f>+'s1'!X93*0.0098</f>
        <v>39.18</v>
      </c>
      <c r="N93" s="2">
        <f>+'s1'!Y93*0.0098</f>
        <v>152.24</v>
      </c>
      <c r="O93" s="2">
        <f>+'s1'!Z93*0.0098</f>
        <v>307.62</v>
      </c>
      <c r="P93" s="2">
        <f>+'s1'!AA93*0.0098</f>
        <v>0</v>
      </c>
      <c r="Q93" s="2">
        <f>+'s1'!AB93*0.0098</f>
        <v>3787.72</v>
      </c>
      <c r="R93" s="2">
        <f>+'s1'!AC93*0.0098</f>
        <v>0</v>
      </c>
      <c r="S93" s="78">
        <f>SUM(B93:R93)</f>
        <v>26442.69</v>
      </c>
      <c r="T93" s="18"/>
    </row>
    <row r="94" spans="1:20" x14ac:dyDescent="0.2">
      <c r="A94" s="1" t="s">
        <v>460</v>
      </c>
      <c r="B94" s="2">
        <f>+'s1'!M94*0.0098</f>
        <v>0</v>
      </c>
      <c r="C94" s="2">
        <f>+'s1'!N94*0.0098</f>
        <v>3.8</v>
      </c>
      <c r="D94" s="2">
        <f>+'s1'!O94*0.0098</f>
        <v>0</v>
      </c>
      <c r="E94" s="2">
        <f>+'s1'!P94*0.0098</f>
        <v>5.24</v>
      </c>
      <c r="F94" s="2">
        <f>+'s1'!Q94*0.0098</f>
        <v>0</v>
      </c>
      <c r="G94" s="2">
        <f>+'s1'!R94*0.0098</f>
        <v>0</v>
      </c>
      <c r="H94" s="2">
        <f>+'s1'!S94*0.0098</f>
        <v>0</v>
      </c>
      <c r="I94" s="2">
        <f>+'s1'!T94*0.0098</f>
        <v>0</v>
      </c>
      <c r="J94" s="2">
        <f>+'s1'!U94*0.0098</f>
        <v>0</v>
      </c>
      <c r="K94" s="2">
        <f>+'s1'!V94*0.0098</f>
        <v>0</v>
      </c>
      <c r="L94" s="2">
        <f>+'s1'!W94*0.0098</f>
        <v>633.20000000000005</v>
      </c>
      <c r="M94" s="2">
        <f>+'s1'!X94*0.0098</f>
        <v>8.06</v>
      </c>
      <c r="N94" s="2">
        <f>+'s1'!Y94*0.0098</f>
        <v>0</v>
      </c>
      <c r="O94" s="2">
        <f>+'s1'!Z94*0.0098</f>
        <v>0</v>
      </c>
      <c r="P94" s="2">
        <f>+'s1'!AA94*0.0098</f>
        <v>0</v>
      </c>
      <c r="Q94" s="2">
        <f>+'s1'!AB94*0.0098</f>
        <v>23.03</v>
      </c>
      <c r="R94" s="2">
        <f>+'s1'!AC94*0.0098</f>
        <v>0</v>
      </c>
      <c r="S94" s="2">
        <f>SUM(B94:R94)</f>
        <v>673.33</v>
      </c>
      <c r="T94" s="1"/>
    </row>
    <row r="95" spans="1:20" x14ac:dyDescent="0.2">
      <c r="A95" s="18" t="s">
        <v>62</v>
      </c>
      <c r="B95" s="2">
        <f>+'s1'!M95*0.0098</f>
        <v>0</v>
      </c>
      <c r="C95" s="2">
        <f>+'s1'!N95*0.0098</f>
        <v>0</v>
      </c>
      <c r="D95" s="2">
        <f>+'s1'!O95*0.0098</f>
        <v>0</v>
      </c>
      <c r="E95" s="2">
        <f>+'s1'!P95*0.0098</f>
        <v>0</v>
      </c>
      <c r="F95" s="2">
        <f>+'s1'!Q95*0.0098</f>
        <v>0</v>
      </c>
      <c r="G95" s="2">
        <f>+'s1'!R95*0.0098</f>
        <v>0</v>
      </c>
      <c r="H95" s="2">
        <f>+'s1'!S95*0.0098</f>
        <v>0</v>
      </c>
      <c r="I95" s="2">
        <f>+'s1'!T95*0.0098</f>
        <v>474.71</v>
      </c>
      <c r="J95" s="2">
        <f>+'s1'!U95*0.0098</f>
        <v>0</v>
      </c>
      <c r="K95" s="2">
        <f>+'s1'!V95*0.0098</f>
        <v>0</v>
      </c>
      <c r="L95" s="2">
        <f>+'s1'!W95*0.0098</f>
        <v>0</v>
      </c>
      <c r="M95" s="2">
        <f>+'s1'!X95*0.0098</f>
        <v>0</v>
      </c>
      <c r="N95" s="2">
        <f>+'s1'!Y95*0.0098</f>
        <v>0</v>
      </c>
      <c r="O95" s="2">
        <f>+'s1'!Z95*0.0098</f>
        <v>6.86</v>
      </c>
      <c r="P95" s="2">
        <f>+'s1'!AA95*0.0098</f>
        <v>0</v>
      </c>
      <c r="Q95" s="2">
        <f>+'s1'!AB95*0.0098</f>
        <v>0</v>
      </c>
      <c r="R95" s="2">
        <f>+'s1'!AC95*0.0098</f>
        <v>0</v>
      </c>
      <c r="S95" s="2">
        <f t="shared" ref="S95:S110" si="5">SUM(B95:R95)</f>
        <v>481.57</v>
      </c>
      <c r="T95" s="2"/>
    </row>
    <row r="96" spans="1:20" s="20" customFormat="1" x14ac:dyDescent="0.2">
      <c r="A96" s="1" t="s">
        <v>63</v>
      </c>
      <c r="B96" s="2">
        <f>+'s1'!M96*0.0098</f>
        <v>0</v>
      </c>
      <c r="C96" s="2">
        <f>+'s1'!N96*0.0098</f>
        <v>0</v>
      </c>
      <c r="D96" s="2">
        <f>+'s1'!O96*0.0098</f>
        <v>0</v>
      </c>
      <c r="E96" s="2">
        <f>+'s1'!P96*0.0098</f>
        <v>0</v>
      </c>
      <c r="F96" s="2">
        <f>+'s1'!Q96*0.0098</f>
        <v>0</v>
      </c>
      <c r="G96" s="2">
        <f>+'s1'!R96*0.0098</f>
        <v>0</v>
      </c>
      <c r="H96" s="2">
        <f>+'s1'!S96*0.0098</f>
        <v>0</v>
      </c>
      <c r="I96" s="2">
        <f>+'s1'!T96*0.0098</f>
        <v>0</v>
      </c>
      <c r="J96" s="2">
        <f>+'s1'!U96*0.0098</f>
        <v>0</v>
      </c>
      <c r="K96" s="2">
        <f>+'s1'!V96*0.0098</f>
        <v>0</v>
      </c>
      <c r="L96" s="2">
        <f>+'s1'!W96*0.0098</f>
        <v>0</v>
      </c>
      <c r="M96" s="2">
        <f>+'s1'!X96*0.0098</f>
        <v>0</v>
      </c>
      <c r="N96" s="2">
        <f>+'s1'!Y96*0.0098</f>
        <v>0</v>
      </c>
      <c r="O96" s="2">
        <f>+'s1'!Z96*0.0098</f>
        <v>0</v>
      </c>
      <c r="P96" s="2">
        <f>+'s1'!AA96*0.0098</f>
        <v>0</v>
      </c>
      <c r="Q96" s="2">
        <f>+'s1'!AB96*0.0098</f>
        <v>0</v>
      </c>
      <c r="R96" s="2">
        <f>+'s1'!AC96*0.0098</f>
        <v>124.2</v>
      </c>
      <c r="S96" s="78">
        <f t="shared" si="5"/>
        <v>124.2</v>
      </c>
      <c r="T96" s="78"/>
    </row>
    <row r="97" spans="1:20" x14ac:dyDescent="0.2">
      <c r="A97" s="1" t="s">
        <v>64</v>
      </c>
      <c r="B97" s="2">
        <f>+'s1'!M97*0.0098</f>
        <v>0</v>
      </c>
      <c r="C97" s="2">
        <f>+'s1'!N97*0.0098</f>
        <v>0</v>
      </c>
      <c r="D97" s="2">
        <f>+'s1'!O97*0.0098</f>
        <v>0</v>
      </c>
      <c r="E97" s="2">
        <f>+'s1'!P97*0.0098</f>
        <v>0</v>
      </c>
      <c r="F97" s="2">
        <f>+'s1'!Q97*0.0098</f>
        <v>0</v>
      </c>
      <c r="G97" s="2">
        <f>+'s1'!R97*0.0098</f>
        <v>0</v>
      </c>
      <c r="H97" s="2">
        <f>+'s1'!S97*0.0098</f>
        <v>0</v>
      </c>
      <c r="I97" s="2">
        <f>+'s1'!T97*0.0098</f>
        <v>267.37</v>
      </c>
      <c r="J97" s="2">
        <f>+'s1'!U97*0.0098</f>
        <v>0</v>
      </c>
      <c r="K97" s="2">
        <f>+'s1'!V97*0.0098</f>
        <v>0</v>
      </c>
      <c r="L97" s="2">
        <f>+'s1'!W97*0.0098</f>
        <v>0</v>
      </c>
      <c r="M97" s="2">
        <f>+'s1'!X97*0.0098</f>
        <v>0</v>
      </c>
      <c r="N97" s="2">
        <f>+'s1'!Y97*0.0098</f>
        <v>0</v>
      </c>
      <c r="O97" s="2">
        <f>+'s1'!Z97*0.0098</f>
        <v>10.54</v>
      </c>
      <c r="P97" s="2">
        <f>+'s1'!AA97*0.0098</f>
        <v>0</v>
      </c>
      <c r="Q97" s="2">
        <f>+'s1'!AB97*0.0098</f>
        <v>0</v>
      </c>
      <c r="R97" s="2">
        <f>+'s1'!AC97*0.0098</f>
        <v>0</v>
      </c>
      <c r="S97" s="2">
        <f>SUM(B97:R97)</f>
        <v>277.91000000000003</v>
      </c>
      <c r="T97" s="2"/>
    </row>
    <row r="98" spans="1:20" s="88" customFormat="1" x14ac:dyDescent="0.2">
      <c r="A98" s="18" t="s">
        <v>723</v>
      </c>
      <c r="B98" s="2">
        <f>+'s1'!M98*0.0098</f>
        <v>0</v>
      </c>
      <c r="C98" s="2">
        <f>+'s1'!N98*0.0098</f>
        <v>0</v>
      </c>
      <c r="D98" s="2">
        <f>+'s1'!O98*0.0098</f>
        <v>0</v>
      </c>
      <c r="E98" s="2">
        <f>+'s1'!P98*0.0098</f>
        <v>0</v>
      </c>
      <c r="F98" s="2">
        <f>+'s1'!Q98*0.0098</f>
        <v>0</v>
      </c>
      <c r="G98" s="2">
        <f>+'s1'!R98*0.0098</f>
        <v>0</v>
      </c>
      <c r="H98" s="2">
        <f>+'s1'!S98*0.0098</f>
        <v>0</v>
      </c>
      <c r="I98" s="2">
        <f>+'s1'!T98*0.0098</f>
        <v>0</v>
      </c>
      <c r="J98" s="2">
        <f>+'s1'!U98*0.0098</f>
        <v>0</v>
      </c>
      <c r="K98" s="2">
        <f>+'s1'!V98*0.0098</f>
        <v>0</v>
      </c>
      <c r="L98" s="2">
        <f>+'s1'!W98*0.0098</f>
        <v>0</v>
      </c>
      <c r="M98" s="2">
        <f>+'s1'!X98*0.0098</f>
        <v>0</v>
      </c>
      <c r="N98" s="2">
        <f>+'s1'!Y98*0.0098</f>
        <v>0</v>
      </c>
      <c r="O98" s="2">
        <f>+'s1'!Z98*0.0098</f>
        <v>0</v>
      </c>
      <c r="P98" s="2">
        <f>+'s1'!AA98*0.0098</f>
        <v>0</v>
      </c>
      <c r="Q98" s="2">
        <f>+'s1'!AB98*0.0098</f>
        <v>4446.51</v>
      </c>
      <c r="R98" s="2">
        <f>+'s1'!AC98*0.0098</f>
        <v>0</v>
      </c>
      <c r="S98" s="78">
        <f>SUM(B98:R98)</f>
        <v>4446.51</v>
      </c>
      <c r="T98" s="10"/>
    </row>
    <row r="99" spans="1:20" s="20" customFormat="1" x14ac:dyDescent="0.2">
      <c r="A99" s="18" t="s">
        <v>65</v>
      </c>
      <c r="B99" s="2">
        <f>+'s1'!M99*0.0098</f>
        <v>0</v>
      </c>
      <c r="C99" s="2">
        <f>+'s1'!N99*0.0098</f>
        <v>0</v>
      </c>
      <c r="D99" s="2">
        <f>+'s1'!O99*0.0098</f>
        <v>18.11</v>
      </c>
      <c r="E99" s="2">
        <f>+'s1'!P99*0.0098</f>
        <v>0</v>
      </c>
      <c r="F99" s="2">
        <f>+'s1'!Q99*0.0098</f>
        <v>0</v>
      </c>
      <c r="G99" s="2">
        <f>+'s1'!R99*0.0098</f>
        <v>0</v>
      </c>
      <c r="H99" s="2">
        <f>+'s1'!S99*0.0098</f>
        <v>0</v>
      </c>
      <c r="I99" s="2">
        <f>+'s1'!T99*0.0098</f>
        <v>0</v>
      </c>
      <c r="J99" s="2">
        <f>+'s1'!U99*0.0098</f>
        <v>0</v>
      </c>
      <c r="K99" s="2">
        <f>+'s1'!V99*0.0098</f>
        <v>0</v>
      </c>
      <c r="L99" s="2">
        <f>+'s1'!W99*0.0098</f>
        <v>0</v>
      </c>
      <c r="M99" s="2">
        <f>+'s1'!X99*0.0098</f>
        <v>0</v>
      </c>
      <c r="N99" s="2">
        <f>+'s1'!Y99*0.0098</f>
        <v>0</v>
      </c>
      <c r="O99" s="2">
        <f>+'s1'!Z99*0.0098</f>
        <v>0</v>
      </c>
      <c r="P99" s="2">
        <f>+'s1'!AA99*0.0098</f>
        <v>0</v>
      </c>
      <c r="Q99" s="2">
        <f>+'s1'!AB99*0.0098</f>
        <v>0</v>
      </c>
      <c r="R99" s="2">
        <f>+'s1'!AC99*0.0098</f>
        <v>0</v>
      </c>
      <c r="S99" s="78">
        <f t="shared" si="5"/>
        <v>18.11</v>
      </c>
      <c r="T99" s="78"/>
    </row>
    <row r="100" spans="1:20" s="20" customFormat="1" x14ac:dyDescent="0.2">
      <c r="A100" s="18" t="s">
        <v>573</v>
      </c>
      <c r="B100" s="2">
        <f>+'s1'!M100*0.0098</f>
        <v>0</v>
      </c>
      <c r="C100" s="2">
        <f>+'s1'!N100*0.0098</f>
        <v>0</v>
      </c>
      <c r="D100" s="2">
        <f>+'s1'!O100*0.0098</f>
        <v>0</v>
      </c>
      <c r="E100" s="2">
        <f>+'s1'!P100*0.0098</f>
        <v>0</v>
      </c>
      <c r="F100" s="2">
        <f>+'s1'!Q100*0.0098</f>
        <v>0</v>
      </c>
      <c r="G100" s="2">
        <f>+'s1'!R100*0.0098</f>
        <v>0</v>
      </c>
      <c r="H100" s="2">
        <f>+'s1'!S100*0.0098</f>
        <v>273.36</v>
      </c>
      <c r="I100" s="2">
        <f>+'s1'!T100*0.0098</f>
        <v>0</v>
      </c>
      <c r="J100" s="2">
        <f>+'s1'!U100*0.0098</f>
        <v>0</v>
      </c>
      <c r="K100" s="2">
        <f>+'s1'!V100*0.0098</f>
        <v>0</v>
      </c>
      <c r="L100" s="2">
        <f>+'s1'!W100*0.0098</f>
        <v>0</v>
      </c>
      <c r="M100" s="2">
        <f>+'s1'!X100*0.0098</f>
        <v>0</v>
      </c>
      <c r="N100" s="2">
        <f>+'s1'!Y100*0.0098</f>
        <v>0</v>
      </c>
      <c r="O100" s="2">
        <f>+'s1'!Z100*0.0098</f>
        <v>0</v>
      </c>
      <c r="P100" s="2">
        <f>+'s1'!AA100*0.0098</f>
        <v>0</v>
      </c>
      <c r="Q100" s="2">
        <f>+'s1'!AB100*0.0098</f>
        <v>0</v>
      </c>
      <c r="R100" s="2">
        <f>+'s1'!AC100*0.0098</f>
        <v>0</v>
      </c>
      <c r="S100" s="78">
        <f t="shared" si="5"/>
        <v>273.36</v>
      </c>
      <c r="T100" s="78"/>
    </row>
    <row r="101" spans="1:20" s="20" customFormat="1" x14ac:dyDescent="0.2">
      <c r="A101" s="18" t="s">
        <v>438</v>
      </c>
      <c r="B101" s="2">
        <f>+'s1'!M101*0.0098</f>
        <v>0</v>
      </c>
      <c r="C101" s="2">
        <f>+'s1'!N101*0.0098</f>
        <v>0</v>
      </c>
      <c r="D101" s="2">
        <f>+'s1'!O101*0.0098</f>
        <v>9341.59</v>
      </c>
      <c r="E101" s="2">
        <f>+'s1'!P101*0.0098</f>
        <v>0</v>
      </c>
      <c r="F101" s="2">
        <f>+'s1'!Q101*0.0098</f>
        <v>2208.59</v>
      </c>
      <c r="G101" s="2">
        <f>+'s1'!R101*0.0098</f>
        <v>0</v>
      </c>
      <c r="H101" s="2">
        <f>+'s1'!S101*0.0098</f>
        <v>0</v>
      </c>
      <c r="I101" s="2">
        <f>+'s1'!T101*0.0098</f>
        <v>0</v>
      </c>
      <c r="J101" s="2">
        <f>+'s1'!U101*0.0098</f>
        <v>0</v>
      </c>
      <c r="K101" s="2">
        <f>+'s1'!V101*0.0098</f>
        <v>0</v>
      </c>
      <c r="L101" s="2">
        <f>+'s1'!W101*0.0098</f>
        <v>2201.0300000000002</v>
      </c>
      <c r="M101" s="2">
        <f>+'s1'!X101*0.0098</f>
        <v>0</v>
      </c>
      <c r="N101" s="2">
        <f>+'s1'!Y101*0.0098</f>
        <v>2316.06</v>
      </c>
      <c r="O101" s="2">
        <f>+'s1'!Z101*0.0098</f>
        <v>0</v>
      </c>
      <c r="P101" s="2">
        <f>+'s1'!AA101*0.0098</f>
        <v>0</v>
      </c>
      <c r="Q101" s="2">
        <f>+'s1'!AB101*0.0098</f>
        <v>0</v>
      </c>
      <c r="R101" s="2">
        <f>+'s1'!AC101*0.0098</f>
        <v>0</v>
      </c>
      <c r="S101" s="78">
        <f t="shared" si="5"/>
        <v>16067.27</v>
      </c>
      <c r="T101" s="78"/>
    </row>
    <row r="102" spans="1:20" s="88" customFormat="1" x14ac:dyDescent="0.2">
      <c r="A102" s="18" t="s">
        <v>751</v>
      </c>
      <c r="B102" s="2">
        <f>+'s1'!M102*0.0098</f>
        <v>0</v>
      </c>
      <c r="C102" s="2">
        <f>+'s1'!N102*0.0098</f>
        <v>0</v>
      </c>
      <c r="D102" s="2">
        <f>+'s1'!O102*0.0098+1.28</f>
        <v>64.010000000000005</v>
      </c>
      <c r="E102" s="2">
        <f>+'s1'!P102*0.0098</f>
        <v>0</v>
      </c>
      <c r="F102" s="2">
        <f>+'s1'!Q102*0.0098</f>
        <v>-7.33</v>
      </c>
      <c r="G102" s="2">
        <f>+'s1'!R102*0.0098</f>
        <v>0</v>
      </c>
      <c r="H102" s="2">
        <f>+'s1'!S102*0.0098</f>
        <v>0</v>
      </c>
      <c r="I102" s="2">
        <f>+'s1'!T102*0.0098</f>
        <v>0</v>
      </c>
      <c r="J102" s="2">
        <f>+'s1'!U102*0.0098</f>
        <v>0</v>
      </c>
      <c r="K102" s="2">
        <f>+'s1'!V102*0.0098</f>
        <v>0</v>
      </c>
      <c r="L102" s="2">
        <f>+'s1'!W102*0.0098</f>
        <v>-7.6</v>
      </c>
      <c r="M102" s="2">
        <f>+'s1'!X102*0.0098</f>
        <v>0</v>
      </c>
      <c r="N102" s="2">
        <f>+'s1'!Y102*0.0098+0.39</f>
        <v>19.309999999999999</v>
      </c>
      <c r="O102" s="2">
        <f>+'s1'!Z102*0.0098</f>
        <v>0</v>
      </c>
      <c r="P102" s="2">
        <f>+'s1'!AA102*0.0098</f>
        <v>0</v>
      </c>
      <c r="Q102" s="2">
        <f>+'s1'!AB102*0.0098</f>
        <v>0</v>
      </c>
      <c r="R102" s="2">
        <f>+'s1'!AC102*0.0098</f>
        <v>0</v>
      </c>
      <c r="S102" s="78">
        <f>SUM(B102:R102)</f>
        <v>68.39</v>
      </c>
      <c r="T102" s="10"/>
    </row>
    <row r="103" spans="1:20" s="20" customFormat="1" x14ac:dyDescent="0.2">
      <c r="A103" s="18" t="s">
        <v>66</v>
      </c>
      <c r="B103" s="2">
        <f>+'s1'!M103*0.0098</f>
        <v>0</v>
      </c>
      <c r="C103" s="2">
        <f>+'s1'!N103*0.0098</f>
        <v>1450.8</v>
      </c>
      <c r="D103" s="2">
        <f>+'s1'!O103*0.0098</f>
        <v>0</v>
      </c>
      <c r="E103" s="2">
        <f>+'s1'!P103*0.0098</f>
        <v>0</v>
      </c>
      <c r="F103" s="2">
        <f>+'s1'!Q103*0.0098</f>
        <v>0</v>
      </c>
      <c r="G103" s="2">
        <f>+'s1'!R103*0.0098</f>
        <v>0</v>
      </c>
      <c r="H103" s="2">
        <f>+'s1'!S103*0.0098</f>
        <v>0</v>
      </c>
      <c r="I103" s="2">
        <f>+'s1'!T103*0.0098</f>
        <v>0</v>
      </c>
      <c r="J103" s="2">
        <f>+'s1'!U103*0.0098</f>
        <v>0</v>
      </c>
      <c r="K103" s="2">
        <f>+'s1'!V103*0.0098</f>
        <v>0</v>
      </c>
      <c r="L103" s="2">
        <f>+'s1'!W103*0.0098</f>
        <v>0</v>
      </c>
      <c r="M103" s="2">
        <f>+'s1'!X103*0.0098</f>
        <v>0</v>
      </c>
      <c r="N103" s="2">
        <f>+'s1'!Y103*0.0098</f>
        <v>0</v>
      </c>
      <c r="O103" s="2">
        <f>+'s1'!Z103*0.0098</f>
        <v>0</v>
      </c>
      <c r="P103" s="2">
        <f>+'s1'!AA103*0.0098</f>
        <v>0</v>
      </c>
      <c r="Q103" s="2">
        <f>+'s1'!AB103*0.0098</f>
        <v>0</v>
      </c>
      <c r="R103" s="2">
        <f>+'s1'!AC103*0.0098</f>
        <v>0</v>
      </c>
      <c r="S103" s="78">
        <f t="shared" si="5"/>
        <v>1450.8</v>
      </c>
      <c r="T103" s="18"/>
    </row>
    <row r="104" spans="1:20" s="20" customFormat="1" x14ac:dyDescent="0.2">
      <c r="A104" s="18" t="s">
        <v>477</v>
      </c>
      <c r="B104" s="2">
        <f>+'s1'!M104*0.0098</f>
        <v>3660.92</v>
      </c>
      <c r="C104" s="2">
        <f>+'s1'!N104*0.0098</f>
        <v>0</v>
      </c>
      <c r="D104" s="2">
        <f>+'s1'!O104*0.0098</f>
        <v>11224.57</v>
      </c>
      <c r="E104" s="2">
        <f>+'s1'!P104*0.0098</f>
        <v>1124.81</v>
      </c>
      <c r="F104" s="2">
        <f>+'s1'!Q104*0.0098</f>
        <v>0</v>
      </c>
      <c r="G104" s="2">
        <f>+'s1'!R104*0.0098</f>
        <v>0</v>
      </c>
      <c r="H104" s="2">
        <f>+'s1'!S104*0.0098</f>
        <v>0</v>
      </c>
      <c r="I104" s="2">
        <f>+'s1'!T104*0.0098</f>
        <v>0</v>
      </c>
      <c r="J104" s="2">
        <f>+'s1'!U104*0.0098</f>
        <v>0</v>
      </c>
      <c r="K104" s="2">
        <f>+'s1'!V104*0.0098</f>
        <v>0</v>
      </c>
      <c r="L104" s="2">
        <f>+'s1'!W104*0.0098</f>
        <v>91.16</v>
      </c>
      <c r="M104" s="2">
        <f>+'s1'!X104*0.0098</f>
        <v>161.76</v>
      </c>
      <c r="N104" s="2">
        <f>+'s1'!Y104*0.0098</f>
        <v>67.64</v>
      </c>
      <c r="O104" s="2">
        <f>+'s1'!Z104*0.0098</f>
        <v>0</v>
      </c>
      <c r="P104" s="2">
        <f>+'s1'!AA104*0.0098</f>
        <v>0</v>
      </c>
      <c r="Q104" s="2">
        <f>+'s1'!AB104*0.0098</f>
        <v>8380.2800000000007</v>
      </c>
      <c r="R104" s="2">
        <f>+'s1'!AC104*0.0098</f>
        <v>0</v>
      </c>
      <c r="S104" s="78">
        <f t="shared" si="5"/>
        <v>24711.14</v>
      </c>
      <c r="T104" s="78"/>
    </row>
    <row r="105" spans="1:20" s="20" customFormat="1" x14ac:dyDescent="0.2">
      <c r="A105" s="18" t="s">
        <v>67</v>
      </c>
      <c r="B105" s="2">
        <f>+'s1'!M105*0.0098</f>
        <v>0</v>
      </c>
      <c r="C105" s="2">
        <f>+'s1'!N105*0.0098</f>
        <v>0</v>
      </c>
      <c r="D105" s="2">
        <f>+'s1'!O105*0.0098</f>
        <v>0</v>
      </c>
      <c r="E105" s="2">
        <f>+'s1'!P105*0.0098</f>
        <v>0</v>
      </c>
      <c r="F105" s="2">
        <f>+'s1'!Q105*0.0098</f>
        <v>238.49</v>
      </c>
      <c r="G105" s="2">
        <f>+'s1'!R105*0.0098</f>
        <v>0</v>
      </c>
      <c r="H105" s="2">
        <f>+'s1'!S105*0.0098</f>
        <v>0</v>
      </c>
      <c r="I105" s="2">
        <f>+'s1'!T105*0.0098</f>
        <v>0</v>
      </c>
      <c r="J105" s="2">
        <f>+'s1'!U105*0.0098</f>
        <v>0</v>
      </c>
      <c r="K105" s="2">
        <f>+'s1'!V105*0.0098</f>
        <v>0</v>
      </c>
      <c r="L105" s="2">
        <f>+'s1'!W105*0.0098</f>
        <v>0</v>
      </c>
      <c r="M105" s="2">
        <f>+'s1'!X105*0.0098</f>
        <v>0</v>
      </c>
      <c r="N105" s="2">
        <f>+'s1'!Y105*0.0098</f>
        <v>0</v>
      </c>
      <c r="O105" s="2">
        <f>+'s1'!Z105*0.0098</f>
        <v>0</v>
      </c>
      <c r="P105" s="2">
        <f>+'s1'!AA105*0.0098</f>
        <v>0</v>
      </c>
      <c r="Q105" s="2">
        <f>+'s1'!AB105*0.0098</f>
        <v>0</v>
      </c>
      <c r="R105" s="2">
        <f>+'s1'!AC105*0.0098</f>
        <v>7.56</v>
      </c>
      <c r="S105" s="78">
        <f t="shared" si="5"/>
        <v>246.05</v>
      </c>
      <c r="T105" s="78"/>
    </row>
    <row r="106" spans="1:20" s="20" customFormat="1" x14ac:dyDescent="0.2">
      <c r="A106" s="18" t="s">
        <v>83</v>
      </c>
      <c r="B106" s="2">
        <f>+'s1'!M106*0.0098</f>
        <v>0</v>
      </c>
      <c r="C106" s="2">
        <f>+'s1'!N106*0.0098</f>
        <v>0</v>
      </c>
      <c r="D106" s="2">
        <f>+'s1'!O106*0.0098</f>
        <v>1535.64</v>
      </c>
      <c r="E106" s="2">
        <f>+'s1'!P106*0.0098</f>
        <v>0</v>
      </c>
      <c r="F106" s="2">
        <f>+'s1'!Q106*0.0098</f>
        <v>0</v>
      </c>
      <c r="G106" s="2">
        <f>+'s1'!R106*0.0098</f>
        <v>0</v>
      </c>
      <c r="H106" s="2">
        <f>+'s1'!S106*0.0098</f>
        <v>0</v>
      </c>
      <c r="I106" s="2">
        <f>+'s1'!T106*0.0098</f>
        <v>0</v>
      </c>
      <c r="J106" s="2">
        <f>+'s1'!U106*0.0098</f>
        <v>0</v>
      </c>
      <c r="K106" s="2">
        <f>+'s1'!V106*0.0098</f>
        <v>0</v>
      </c>
      <c r="L106" s="2">
        <f>+'s1'!W106*0.0098</f>
        <v>0</v>
      </c>
      <c r="M106" s="2">
        <f>+'s1'!X106*0.0098</f>
        <v>0</v>
      </c>
      <c r="N106" s="2">
        <f>+'s1'!Y106*0.0098</f>
        <v>0</v>
      </c>
      <c r="O106" s="2">
        <f>+'s1'!Z106*0.0098</f>
        <v>0</v>
      </c>
      <c r="P106" s="2">
        <f>+'s1'!AA106*0.0098</f>
        <v>0</v>
      </c>
      <c r="Q106" s="2">
        <f>+'s1'!AB106*0.0098</f>
        <v>0</v>
      </c>
      <c r="R106" s="2">
        <f>+'s1'!AC106*0.0098</f>
        <v>0</v>
      </c>
      <c r="S106" s="78">
        <f t="shared" si="5"/>
        <v>1535.64</v>
      </c>
      <c r="T106" s="78"/>
    </row>
    <row r="107" spans="1:20" s="20" customFormat="1" ht="13.5" customHeight="1" x14ac:dyDescent="0.2">
      <c r="A107" s="18" t="s">
        <v>350</v>
      </c>
      <c r="B107" s="2">
        <f>+'s1'!M107*0.0098</f>
        <v>0</v>
      </c>
      <c r="C107" s="2">
        <f>+'s1'!N107*0.0098</f>
        <v>0</v>
      </c>
      <c r="D107" s="2">
        <f>+'s1'!O107*0.0098</f>
        <v>1597.54</v>
      </c>
      <c r="E107" s="2">
        <f>+'s1'!P107*0.0098</f>
        <v>0</v>
      </c>
      <c r="F107" s="2">
        <f>+'s1'!Q107*0.0098</f>
        <v>0</v>
      </c>
      <c r="G107" s="2">
        <f>+'s1'!R107*0.0098</f>
        <v>0</v>
      </c>
      <c r="H107" s="2">
        <f>+'s1'!S107*0.0098</f>
        <v>0</v>
      </c>
      <c r="I107" s="2">
        <f>+'s1'!T107*0.0098</f>
        <v>0</v>
      </c>
      <c r="J107" s="2">
        <f>+'s1'!U107*0.0098</f>
        <v>0</v>
      </c>
      <c r="K107" s="2">
        <f>+'s1'!V107*0.0098</f>
        <v>0</v>
      </c>
      <c r="L107" s="2">
        <f>+'s1'!W107*0.0098</f>
        <v>0</v>
      </c>
      <c r="M107" s="2">
        <f>+'s1'!X107*0.0098</f>
        <v>0</v>
      </c>
      <c r="N107" s="2">
        <f>+'s1'!Y107*0.0098</f>
        <v>0</v>
      </c>
      <c r="O107" s="2">
        <f>+'s1'!Z107*0.0098</f>
        <v>878.3</v>
      </c>
      <c r="P107" s="2">
        <f>+'s1'!AA107*0.0098</f>
        <v>0</v>
      </c>
      <c r="Q107" s="2">
        <f>+'s1'!AB107*0.0098</f>
        <v>1702.28</v>
      </c>
      <c r="R107" s="2">
        <f>+'s1'!AC107*0.0098</f>
        <v>0</v>
      </c>
      <c r="S107" s="78">
        <f t="shared" si="5"/>
        <v>4178.12</v>
      </c>
      <c r="T107" s="78"/>
    </row>
    <row r="108" spans="1:20" s="20" customFormat="1" x14ac:dyDescent="0.2">
      <c r="A108" s="18" t="s">
        <v>363</v>
      </c>
      <c r="B108" s="2">
        <f>+'s1'!M108*0.0098</f>
        <v>0</v>
      </c>
      <c r="C108" s="2">
        <f>+'s1'!N108*0.0098</f>
        <v>0</v>
      </c>
      <c r="D108" s="2">
        <f>+'s1'!O108*0.0098</f>
        <v>808.86</v>
      </c>
      <c r="E108" s="2">
        <f>+'s1'!P108*0.0098</f>
        <v>1951.25</v>
      </c>
      <c r="F108" s="2">
        <f>+'s1'!Q108*0.0098</f>
        <v>0</v>
      </c>
      <c r="G108" s="2">
        <f>+'s1'!R108*0.0098</f>
        <v>0</v>
      </c>
      <c r="H108" s="2">
        <f>+'s1'!S108*0.0098</f>
        <v>0</v>
      </c>
      <c r="I108" s="2">
        <f>+'s1'!T108*0.0098</f>
        <v>949.28</v>
      </c>
      <c r="J108" s="2">
        <f>+'s1'!U108*0.0098</f>
        <v>0</v>
      </c>
      <c r="K108" s="2">
        <f>+'s1'!V108*0.0098</f>
        <v>0</v>
      </c>
      <c r="L108" s="2">
        <f>+'s1'!W108*0.0098</f>
        <v>0</v>
      </c>
      <c r="M108" s="2">
        <f>+'s1'!X108*0.0098</f>
        <v>0</v>
      </c>
      <c r="N108" s="2">
        <f>+'s1'!Y108*0.0098</f>
        <v>0</v>
      </c>
      <c r="O108" s="2">
        <f>+'s1'!Z108*0.0098</f>
        <v>0</v>
      </c>
      <c r="P108" s="2">
        <f>+'s1'!AA108*0.0098</f>
        <v>0</v>
      </c>
      <c r="Q108" s="2">
        <f>+'s1'!AB108*0.0098</f>
        <v>5288.3</v>
      </c>
      <c r="R108" s="2">
        <f>+'s1'!AC108*0.0098</f>
        <v>0</v>
      </c>
      <c r="S108" s="78">
        <f t="shared" si="5"/>
        <v>8997.69</v>
      </c>
      <c r="T108" s="78"/>
    </row>
    <row r="109" spans="1:20" s="20" customFormat="1" x14ac:dyDescent="0.2">
      <c r="A109" s="1" t="s">
        <v>68</v>
      </c>
      <c r="B109" s="2">
        <f>+'s1'!M109*0.0098</f>
        <v>0</v>
      </c>
      <c r="C109" s="2">
        <f>+'s1'!N109*0.0098</f>
        <v>0</v>
      </c>
      <c r="D109" s="2">
        <f>+'s1'!O109*0.0098</f>
        <v>272.3</v>
      </c>
      <c r="E109" s="2">
        <f>+'s1'!P109*0.0098</f>
        <v>0</v>
      </c>
      <c r="F109" s="2">
        <f>+'s1'!Q109*0.0098</f>
        <v>0</v>
      </c>
      <c r="G109" s="2">
        <f>+'s1'!R109*0.0098</f>
        <v>0</v>
      </c>
      <c r="H109" s="2">
        <f>+'s1'!S109*0.0098</f>
        <v>0</v>
      </c>
      <c r="I109" s="2">
        <f>+'s1'!T109*0.0098</f>
        <v>0</v>
      </c>
      <c r="J109" s="2">
        <f>+'s1'!U109*0.0098</f>
        <v>0</v>
      </c>
      <c r="K109" s="2">
        <f>+'s1'!V109*0.0098</f>
        <v>0</v>
      </c>
      <c r="L109" s="2">
        <f>+'s1'!W109*0.0098</f>
        <v>0</v>
      </c>
      <c r="M109" s="2">
        <f>+'s1'!X109*0.0098</f>
        <v>0</v>
      </c>
      <c r="N109" s="2">
        <f>+'s1'!Y109*0.0098</f>
        <v>0</v>
      </c>
      <c r="O109" s="2">
        <f>+'s1'!Z109*0.0098</f>
        <v>0</v>
      </c>
      <c r="P109" s="2">
        <f>+'s1'!AA109*0.0098</f>
        <v>0</v>
      </c>
      <c r="Q109" s="2">
        <f>+'s1'!AB109*0.0098</f>
        <v>0</v>
      </c>
      <c r="R109" s="2">
        <f>+'s1'!AC109*0.0098</f>
        <v>0</v>
      </c>
      <c r="S109" s="78">
        <f t="shared" si="5"/>
        <v>272.3</v>
      </c>
      <c r="T109" s="78"/>
    </row>
    <row r="110" spans="1:20" s="20" customFormat="1" x14ac:dyDescent="0.2">
      <c r="A110" s="1" t="s">
        <v>69</v>
      </c>
      <c r="B110" s="2">
        <f>+'s1'!M110*0.0098</f>
        <v>0</v>
      </c>
      <c r="C110" s="2">
        <f>+'s1'!N110*0.0098</f>
        <v>475.45</v>
      </c>
      <c r="D110" s="2">
        <f>+'s1'!O110*0.0098</f>
        <v>0</v>
      </c>
      <c r="E110" s="2">
        <f>+'s1'!P110*0.0098</f>
        <v>0</v>
      </c>
      <c r="F110" s="2">
        <f>+'s1'!Q110*0.0098</f>
        <v>0</v>
      </c>
      <c r="G110" s="2">
        <f>+'s1'!R110*0.0098</f>
        <v>0</v>
      </c>
      <c r="H110" s="2">
        <f>+'s1'!S110*0.0098</f>
        <v>0</v>
      </c>
      <c r="I110" s="2">
        <f>+'s1'!T110*0.0098</f>
        <v>0</v>
      </c>
      <c r="J110" s="2">
        <f>+'s1'!U110*0.0098</f>
        <v>0</v>
      </c>
      <c r="K110" s="2">
        <f>+'s1'!V110*0.0098</f>
        <v>0</v>
      </c>
      <c r="L110" s="2">
        <f>+'s1'!W110*0.0098</f>
        <v>484.17</v>
      </c>
      <c r="M110" s="2">
        <f>+'s1'!X110*0.0098</f>
        <v>591.01</v>
      </c>
      <c r="N110" s="2">
        <f>+'s1'!Y110*0.0098</f>
        <v>0</v>
      </c>
      <c r="O110" s="2">
        <f>+'s1'!Z110*0.0098</f>
        <v>0</v>
      </c>
      <c r="P110" s="2">
        <f>+'s1'!AA110*0.0098</f>
        <v>0</v>
      </c>
      <c r="Q110" s="2">
        <f>+'s1'!AB110*0.0098</f>
        <v>677.24</v>
      </c>
      <c r="R110" s="2">
        <f>+'s1'!AC110*0.0098</f>
        <v>0</v>
      </c>
      <c r="S110" s="78">
        <f t="shared" si="5"/>
        <v>2227.87</v>
      </c>
      <c r="T110" s="78"/>
    </row>
    <row r="111" spans="1:20" x14ac:dyDescent="0.2">
      <c r="A111" s="1" t="s">
        <v>574</v>
      </c>
      <c r="B111" s="2">
        <f>+'s1'!M111*0.0098</f>
        <v>1880.98</v>
      </c>
      <c r="C111" s="2">
        <f>+'s1'!N111*0.0098</f>
        <v>0</v>
      </c>
      <c r="D111" s="2">
        <f>+'s1'!O111*0.0098</f>
        <v>48805.440000000002</v>
      </c>
      <c r="E111" s="2">
        <f>+'s1'!P111*0.0098</f>
        <v>1616.57</v>
      </c>
      <c r="F111" s="2">
        <f>+'s1'!Q111*0.0098</f>
        <v>0</v>
      </c>
      <c r="G111" s="2">
        <f>+'s1'!R111*0.0098</f>
        <v>0</v>
      </c>
      <c r="H111" s="2">
        <f>+'s1'!S111*0.0098</f>
        <v>0</v>
      </c>
      <c r="I111" s="2">
        <f>+'s1'!T111*0.0098</f>
        <v>0</v>
      </c>
      <c r="J111" s="2">
        <f>+'s1'!U111*0.0098</f>
        <v>0</v>
      </c>
      <c r="K111" s="2">
        <f>+'s1'!V111*0.0098</f>
        <v>0</v>
      </c>
      <c r="L111" s="2">
        <f>+'s1'!W111*0.0098</f>
        <v>921.68</v>
      </c>
      <c r="M111" s="2">
        <f>+'s1'!X111*0.0098</f>
        <v>0</v>
      </c>
      <c r="N111" s="2">
        <f>+'s1'!Y111*0.0098</f>
        <v>0</v>
      </c>
      <c r="O111" s="2">
        <f>+'s1'!Z111*0.0098</f>
        <v>0</v>
      </c>
      <c r="P111" s="2">
        <f>+'s1'!AA111*0.0098</f>
        <v>0</v>
      </c>
      <c r="Q111" s="2">
        <f>+'s1'!AB111*0.0098</f>
        <v>17089.46</v>
      </c>
      <c r="R111" s="2">
        <f>+'s1'!AC111*0.0098</f>
        <v>0</v>
      </c>
      <c r="S111" s="2">
        <f>SUM(B111:R111)</f>
        <v>70314.13</v>
      </c>
      <c r="T111" s="2"/>
    </row>
    <row r="112" spans="1:20" s="20" customFormat="1" x14ac:dyDescent="0.2">
      <c r="A112" s="1" t="s">
        <v>712</v>
      </c>
      <c r="B112" s="2">
        <f>+'s1'!M112*0.0098</f>
        <v>0</v>
      </c>
      <c r="C112" s="2">
        <f>+'s1'!N112*0.0098</f>
        <v>0</v>
      </c>
      <c r="D112" s="2">
        <f>+'s1'!O112*0.0098</f>
        <v>476.71</v>
      </c>
      <c r="E112" s="2">
        <f>+'s1'!P112*0.0098</f>
        <v>0</v>
      </c>
      <c r="F112" s="2">
        <f>+'s1'!Q112*0.0098</f>
        <v>0</v>
      </c>
      <c r="G112" s="2">
        <f>+'s1'!R112*0.0098</f>
        <v>0</v>
      </c>
      <c r="H112" s="2">
        <f>+'s1'!S112*0.0098</f>
        <v>0</v>
      </c>
      <c r="I112" s="2">
        <f>+'s1'!T112*0.0098</f>
        <v>0</v>
      </c>
      <c r="J112" s="2">
        <f>+'s1'!U112*0.0098</f>
        <v>0</v>
      </c>
      <c r="K112" s="2">
        <f>+'s1'!V112*0.0098</f>
        <v>0</v>
      </c>
      <c r="L112" s="2">
        <f>+'s1'!W112*0.0098</f>
        <v>0</v>
      </c>
      <c r="M112" s="2">
        <f>+'s1'!X112*0.0098</f>
        <v>0</v>
      </c>
      <c r="N112" s="2">
        <f>+'s1'!Y112*0.0098</f>
        <v>0</v>
      </c>
      <c r="O112" s="2">
        <f>+'s1'!Z112*0.0098</f>
        <v>0</v>
      </c>
      <c r="P112" s="2">
        <f>+'s1'!AA112*0.0098</f>
        <v>0</v>
      </c>
      <c r="Q112" s="2">
        <f>+'s1'!AB112*0.0098</f>
        <v>0</v>
      </c>
      <c r="R112" s="2">
        <f>+'s1'!AC112*0.0098</f>
        <v>0</v>
      </c>
      <c r="S112" s="78">
        <f>SUM(B112:R112)</f>
        <v>476.71</v>
      </c>
      <c r="T112" s="78"/>
    </row>
    <row r="113" spans="1:20" s="20" customFormat="1" x14ac:dyDescent="0.2">
      <c r="A113" s="1" t="s">
        <v>716</v>
      </c>
      <c r="B113" s="2">
        <f>+'s1'!M113*0.0098</f>
        <v>0</v>
      </c>
      <c r="C113" s="2">
        <f>+'s1'!N113*0.0098</f>
        <v>0</v>
      </c>
      <c r="D113" s="2">
        <f>+'s1'!O113*0.0098</f>
        <v>8129.11</v>
      </c>
      <c r="E113" s="2">
        <f>+'s1'!P113*0.0098</f>
        <v>0</v>
      </c>
      <c r="F113" s="2">
        <f>+'s1'!Q113*0.0098</f>
        <v>809.82</v>
      </c>
      <c r="G113" s="2">
        <f>+'s1'!R113*0.0098</f>
        <v>0</v>
      </c>
      <c r="H113" s="2">
        <f>+'s1'!S113*0.0098</f>
        <v>0</v>
      </c>
      <c r="I113" s="2">
        <f>+'s1'!T113*0.0098</f>
        <v>0</v>
      </c>
      <c r="J113" s="2">
        <f>+'s1'!U113*0.0098</f>
        <v>0</v>
      </c>
      <c r="K113" s="2">
        <f>+'s1'!V113*0.0098</f>
        <v>49.05</v>
      </c>
      <c r="L113" s="2">
        <f>+'s1'!W113*0.0098</f>
        <v>0</v>
      </c>
      <c r="M113" s="2">
        <f>+'s1'!X113*0.0098</f>
        <v>0</v>
      </c>
      <c r="N113" s="2">
        <f>+'s1'!Y113*0.0098</f>
        <v>324.02</v>
      </c>
      <c r="O113" s="2">
        <f>+'s1'!Z113*0.0098</f>
        <v>0</v>
      </c>
      <c r="P113" s="2">
        <f>+'s1'!AA113*0.0098</f>
        <v>0</v>
      </c>
      <c r="Q113" s="2">
        <f>+'s1'!AB113*0.0098</f>
        <v>0</v>
      </c>
      <c r="R113" s="2">
        <f>+'s1'!AC113*0.0098</f>
        <v>0</v>
      </c>
      <c r="S113" s="78">
        <f>SUM(B113:R113)</f>
        <v>9312</v>
      </c>
      <c r="T113" s="78"/>
    </row>
    <row r="114" spans="1:20" s="20" customFormat="1" x14ac:dyDescent="0.2">
      <c r="A114" s="1" t="s">
        <v>440</v>
      </c>
      <c r="B114" s="2">
        <f>+'s1'!M114*0.0098</f>
        <v>0</v>
      </c>
      <c r="C114" s="2">
        <f>+'s1'!N114*0.0098</f>
        <v>0</v>
      </c>
      <c r="D114" s="2">
        <f>+'s1'!O114*0.0098</f>
        <v>1069.8800000000001</v>
      </c>
      <c r="E114" s="2">
        <f>+'s1'!P114*0.0098</f>
        <v>0</v>
      </c>
      <c r="F114" s="2">
        <f>+'s1'!Q114*0.0098</f>
        <v>0</v>
      </c>
      <c r="G114" s="2">
        <f>+'s1'!R114*0.0098</f>
        <v>0</v>
      </c>
      <c r="H114" s="2">
        <f>+'s1'!S114*0.0098</f>
        <v>0</v>
      </c>
      <c r="I114" s="2">
        <f>+'s1'!T114*0.0098</f>
        <v>0</v>
      </c>
      <c r="J114" s="2">
        <f>+'s1'!U114*0.0098</f>
        <v>0</v>
      </c>
      <c r="K114" s="2">
        <f>+'s1'!V114*0.0098</f>
        <v>0</v>
      </c>
      <c r="L114" s="2">
        <f>+'s1'!W114*0.0098</f>
        <v>0</v>
      </c>
      <c r="M114" s="2">
        <f>+'s1'!X114*0.0098</f>
        <v>0</v>
      </c>
      <c r="N114" s="2">
        <f>+'s1'!Y114*0.0098</f>
        <v>0</v>
      </c>
      <c r="O114" s="2">
        <f>+'s1'!Z114*0.0098</f>
        <v>0</v>
      </c>
      <c r="P114" s="2">
        <f>+'s1'!AA114*0.0098</f>
        <v>0</v>
      </c>
      <c r="Q114" s="2">
        <f>+'s1'!AB114*0.0098</f>
        <v>115.76</v>
      </c>
      <c r="R114" s="2">
        <f>+'s1'!AC114*0.0098</f>
        <v>0</v>
      </c>
      <c r="S114" s="78">
        <f>SUM(B114:R114)</f>
        <v>1185.6400000000001</v>
      </c>
      <c r="T114" s="78"/>
    </row>
    <row r="115" spans="1:20" s="88" customFormat="1" x14ac:dyDescent="0.2">
      <c r="A115" s="1" t="s">
        <v>494</v>
      </c>
      <c r="B115" s="2">
        <f>+'s1'!M115*0.0098</f>
        <v>0</v>
      </c>
      <c r="C115" s="2">
        <f>+'s1'!N115*0.0098</f>
        <v>0</v>
      </c>
      <c r="D115" s="2">
        <f>+'s1'!O115*0.0098</f>
        <v>2.17</v>
      </c>
      <c r="E115" s="2">
        <f>+'s1'!P115*0.0098</f>
        <v>0</v>
      </c>
      <c r="F115" s="2">
        <f>+'s1'!Q115*0.0098</f>
        <v>0</v>
      </c>
      <c r="G115" s="2">
        <f>+'s1'!R115*0.0098</f>
        <v>0</v>
      </c>
      <c r="H115" s="2">
        <f>+'s1'!S115*0.0098</f>
        <v>0</v>
      </c>
      <c r="I115" s="2">
        <f>+'s1'!T115*0.0098</f>
        <v>0</v>
      </c>
      <c r="J115" s="2">
        <f>+'s1'!U115*0.0098</f>
        <v>0</v>
      </c>
      <c r="K115" s="2">
        <f>+'s1'!V115*0.0098</f>
        <v>0</v>
      </c>
      <c r="L115" s="2">
        <f>+'s1'!W115*0.0098</f>
        <v>0</v>
      </c>
      <c r="M115" s="2">
        <f>+'s1'!X115*0.0098</f>
        <v>0</v>
      </c>
      <c r="N115" s="2">
        <f>+'s1'!Y115*0.0098</f>
        <v>0</v>
      </c>
      <c r="O115" s="2">
        <f>+'s1'!Z115*0.0098</f>
        <v>0</v>
      </c>
      <c r="P115" s="2">
        <f>+'s1'!AA115*0.0098</f>
        <v>0</v>
      </c>
      <c r="Q115" s="2">
        <f>+'s1'!AB115*0.0098</f>
        <v>0</v>
      </c>
      <c r="R115" s="2">
        <f>+'s1'!AC115*0.0098</f>
        <v>0</v>
      </c>
      <c r="S115" s="78">
        <f t="shared" ref="S115:S122" si="6">SUM(B115:R115)</f>
        <v>2.17</v>
      </c>
      <c r="T115" s="10"/>
    </row>
    <row r="116" spans="1:20" s="88" customFormat="1" x14ac:dyDescent="0.2">
      <c r="A116" s="1" t="s">
        <v>84</v>
      </c>
      <c r="B116" s="2">
        <f>+'s1'!M116*0.0098</f>
        <v>0</v>
      </c>
      <c r="C116" s="2">
        <f>+'s1'!N116*0.0098</f>
        <v>0</v>
      </c>
      <c r="D116" s="2">
        <f>+'s1'!O116*0.0098</f>
        <v>0</v>
      </c>
      <c r="E116" s="2">
        <f>+'s1'!P116*0.0098</f>
        <v>0</v>
      </c>
      <c r="F116" s="2">
        <f>+'s1'!Q116*0.0098</f>
        <v>18.05</v>
      </c>
      <c r="G116" s="2">
        <f>+'s1'!R116*0.0098</f>
        <v>0</v>
      </c>
      <c r="H116" s="2">
        <f>+'s1'!S116*0.0098</f>
        <v>0</v>
      </c>
      <c r="I116" s="2">
        <f>+'s1'!T116*0.0098</f>
        <v>147.97999999999999</v>
      </c>
      <c r="J116" s="2">
        <f>+'s1'!U116*0.0098</f>
        <v>0</v>
      </c>
      <c r="K116" s="2">
        <f>+'s1'!V116*0.0098</f>
        <v>0</v>
      </c>
      <c r="L116" s="2">
        <f>+'s1'!W116*0.0098</f>
        <v>0</v>
      </c>
      <c r="M116" s="2">
        <f>+'s1'!X116*0.0098</f>
        <v>0</v>
      </c>
      <c r="N116" s="2">
        <f>+'s1'!Y116*0.0098</f>
        <v>0</v>
      </c>
      <c r="O116" s="2">
        <f>+'s1'!Z116*0.0098</f>
        <v>0</v>
      </c>
      <c r="P116" s="2">
        <f>+'s1'!AA116*0.0098</f>
        <v>0</v>
      </c>
      <c r="Q116" s="2">
        <f>+'s1'!AB116*0.0098</f>
        <v>0</v>
      </c>
      <c r="R116" s="2">
        <f>+'s1'!AC116*0.0098</f>
        <v>0</v>
      </c>
      <c r="S116" s="78">
        <f t="shared" si="6"/>
        <v>166.03</v>
      </c>
      <c r="T116" s="10"/>
    </row>
    <row r="117" spans="1:20" s="88" customFormat="1" x14ac:dyDescent="0.2">
      <c r="A117" s="18" t="s">
        <v>575</v>
      </c>
      <c r="B117" s="2">
        <f>+'s1'!M117*0.0098</f>
        <v>0</v>
      </c>
      <c r="C117" s="2">
        <f>+'s1'!N117*0.0098</f>
        <v>0</v>
      </c>
      <c r="D117" s="2">
        <f>+'s1'!O117*0.0098</f>
        <v>3883.71</v>
      </c>
      <c r="E117" s="2">
        <f>+'s1'!P117*0.0098</f>
        <v>0</v>
      </c>
      <c r="F117" s="2">
        <f>+'s1'!Q117*0.0098</f>
        <v>0</v>
      </c>
      <c r="G117" s="2">
        <f>+'s1'!R117*0.0098</f>
        <v>0</v>
      </c>
      <c r="H117" s="2">
        <f>+'s1'!S117*0.0098</f>
        <v>0</v>
      </c>
      <c r="I117" s="2">
        <f>+'s1'!T117*0.0098</f>
        <v>0</v>
      </c>
      <c r="J117" s="2">
        <f>+'s1'!U117*0.0098</f>
        <v>0</v>
      </c>
      <c r="K117" s="2">
        <f>+'s1'!V117*0.0098</f>
        <v>0</v>
      </c>
      <c r="L117" s="2">
        <f>+'s1'!W117*0.0098</f>
        <v>0</v>
      </c>
      <c r="M117" s="2">
        <f>+'s1'!X117*0.0098</f>
        <v>0</v>
      </c>
      <c r="N117" s="2">
        <f>+'s1'!Y117*0.0098</f>
        <v>0</v>
      </c>
      <c r="O117" s="2">
        <f>+'s1'!Z117*0.0098</f>
        <v>0</v>
      </c>
      <c r="P117" s="2">
        <f>+'s1'!AA117*0.0098</f>
        <v>0</v>
      </c>
      <c r="Q117" s="2">
        <f>+'s1'!AB117*0.0098</f>
        <v>2038.59</v>
      </c>
      <c r="R117" s="2">
        <f>+'s1'!AC117*0.0098</f>
        <v>0</v>
      </c>
      <c r="S117" s="78">
        <f t="shared" si="6"/>
        <v>5922.3</v>
      </c>
      <c r="T117" s="10"/>
    </row>
    <row r="118" spans="1:20" s="248" customFormat="1" x14ac:dyDescent="0.2">
      <c r="A118" s="18" t="s">
        <v>738</v>
      </c>
      <c r="B118" s="78">
        <f>+'s1'!M118*0.0098</f>
        <v>0</v>
      </c>
      <c r="C118" s="78">
        <f>+'s1'!N118*0.0098</f>
        <v>-5090.34</v>
      </c>
      <c r="D118" s="78">
        <f>+'s1'!O118*0.0098</f>
        <v>5090.34</v>
      </c>
      <c r="E118" s="78">
        <f>+'s1'!P118*0.0098</f>
        <v>0</v>
      </c>
      <c r="F118" s="78">
        <f>+'s1'!Q118*0.0098</f>
        <v>0</v>
      </c>
      <c r="G118" s="78">
        <f>+'s1'!R118*0.0098</f>
        <v>0</v>
      </c>
      <c r="H118" s="78">
        <f>+'s1'!S118*0.0098</f>
        <v>0</v>
      </c>
      <c r="I118" s="78">
        <f>+'s1'!T118*0.0098</f>
        <v>0</v>
      </c>
      <c r="J118" s="78">
        <f>+'s1'!U118*0.0098</f>
        <v>0</v>
      </c>
      <c r="K118" s="78">
        <f>+'s1'!V118*0.0098</f>
        <v>0</v>
      </c>
      <c r="L118" s="78">
        <f>+'s1'!W118*0.0098</f>
        <v>0</v>
      </c>
      <c r="M118" s="78">
        <f>+'s1'!X118*0.0098</f>
        <v>0</v>
      </c>
      <c r="N118" s="78">
        <f>+'s1'!Y118*0.0098</f>
        <v>0</v>
      </c>
      <c r="O118" s="78">
        <f>+'s1'!Z118*0.0098</f>
        <v>0</v>
      </c>
      <c r="P118" s="78">
        <f>+'s1'!AA118*0.0098</f>
        <v>0</v>
      </c>
      <c r="Q118" s="78">
        <f>+'s1'!AB118*0.0098</f>
        <v>0</v>
      </c>
      <c r="R118" s="78">
        <f>+'s1'!AC118*0.0098</f>
        <v>0</v>
      </c>
      <c r="S118" s="78">
        <f>SUM(B118:R118)</f>
        <v>0</v>
      </c>
      <c r="T118" s="386"/>
    </row>
    <row r="119" spans="1:20" s="248" customFormat="1" x14ac:dyDescent="0.2">
      <c r="A119" s="18" t="s">
        <v>70</v>
      </c>
      <c r="B119" s="78">
        <f>+'s1'!M119*0.0098</f>
        <v>0</v>
      </c>
      <c r="C119" s="78">
        <f>+'s1'!N119*0.0098</f>
        <v>0</v>
      </c>
      <c r="D119" s="78">
        <f>+'s1'!O119*0.0098</f>
        <v>2.12</v>
      </c>
      <c r="E119" s="78">
        <f>+'s1'!P119*0.0098</f>
        <v>0</v>
      </c>
      <c r="F119" s="78">
        <f>+'s1'!Q119*0.0098</f>
        <v>0</v>
      </c>
      <c r="G119" s="78">
        <f>+'s1'!R119*0.0098</f>
        <v>0</v>
      </c>
      <c r="H119" s="78">
        <f>+'s1'!S119*0.0098</f>
        <v>0</v>
      </c>
      <c r="I119" s="78">
        <f>+'s1'!T119*0.0098</f>
        <v>0</v>
      </c>
      <c r="J119" s="78">
        <f>+'s1'!U119*0.0098</f>
        <v>0</v>
      </c>
      <c r="K119" s="78">
        <f>+'s1'!V119*0.0098</f>
        <v>0</v>
      </c>
      <c r="L119" s="78">
        <f>+'s1'!W119*0.0098</f>
        <v>0</v>
      </c>
      <c r="M119" s="78">
        <f>+'s1'!X119*0.0098</f>
        <v>0</v>
      </c>
      <c r="N119" s="78">
        <f>+'s1'!Y119*0.0098</f>
        <v>0</v>
      </c>
      <c r="O119" s="78">
        <f>+'s1'!Z119*0.0098</f>
        <v>0</v>
      </c>
      <c r="P119" s="78">
        <f>+'s1'!AA119*0.0098</f>
        <v>0</v>
      </c>
      <c r="Q119" s="78">
        <f>+'s1'!AB119*0.0098</f>
        <v>0</v>
      </c>
      <c r="R119" s="78">
        <f>+'s1'!AC119*0.0098</f>
        <v>0</v>
      </c>
      <c r="S119" s="78">
        <f>SUM(B119:R119)</f>
        <v>2.12</v>
      </c>
      <c r="T119" s="386"/>
    </row>
    <row r="120" spans="1:20" s="88" customFormat="1" x14ac:dyDescent="0.2">
      <c r="A120" s="18" t="s">
        <v>70</v>
      </c>
      <c r="B120" s="2">
        <f>+'s1'!M120*0.0098</f>
        <v>0</v>
      </c>
      <c r="C120" s="2">
        <f>+'s1'!N120*0.0098</f>
        <v>0</v>
      </c>
      <c r="D120" s="2">
        <f>+'s1'!O120*0.0098</f>
        <v>0</v>
      </c>
      <c r="E120" s="2">
        <f>+'s1'!P120*0.0098</f>
        <v>0</v>
      </c>
      <c r="F120" s="2">
        <f>+'s1'!Q120*0.0098</f>
        <v>0</v>
      </c>
      <c r="G120" s="2">
        <f>+'s1'!R120*0.0098</f>
        <v>0</v>
      </c>
      <c r="H120" s="2">
        <f>+'s1'!S120*0.0098</f>
        <v>0</v>
      </c>
      <c r="I120" s="2">
        <f>+'s1'!T120*0.0098</f>
        <v>0</v>
      </c>
      <c r="J120" s="2">
        <f>+'s1'!U120*0.0098</f>
        <v>0</v>
      </c>
      <c r="K120" s="2">
        <f>+'s1'!V120*0.0098</f>
        <v>0</v>
      </c>
      <c r="L120" s="2">
        <f>+'s1'!W120*0.0098</f>
        <v>0</v>
      </c>
      <c r="M120" s="2">
        <f>+'s1'!X120*0.0098</f>
        <v>0</v>
      </c>
      <c r="N120" s="2">
        <f>+'s1'!Y120*0.0098</f>
        <v>0</v>
      </c>
      <c r="O120" s="2">
        <f>+'s1'!Z120*0.0098</f>
        <v>0</v>
      </c>
      <c r="P120" s="2">
        <f>+'s1'!AA120*0.0098</f>
        <v>0</v>
      </c>
      <c r="Q120" s="2">
        <f>+'s1'!AB120*0.0098</f>
        <v>1439.02</v>
      </c>
      <c r="R120" s="2">
        <f>+'s1'!AC120*0.0098</f>
        <v>0</v>
      </c>
      <c r="S120" s="78">
        <f t="shared" si="6"/>
        <v>1439.02</v>
      </c>
      <c r="T120" s="10"/>
    </row>
    <row r="121" spans="1:20" s="88" customFormat="1" x14ac:dyDescent="0.2">
      <c r="A121" s="1" t="s">
        <v>71</v>
      </c>
      <c r="B121" s="2">
        <f>+'s1'!M121*0.0098</f>
        <v>0</v>
      </c>
      <c r="C121" s="2">
        <f>+'s1'!N121*0.0098</f>
        <v>1555.52</v>
      </c>
      <c r="D121" s="2">
        <f>+'s1'!O121*0.0098</f>
        <v>0</v>
      </c>
      <c r="E121" s="2">
        <f>+'s1'!P121*0.0098</f>
        <v>0</v>
      </c>
      <c r="F121" s="2">
        <f>+'s1'!Q121*0.0098</f>
        <v>0</v>
      </c>
      <c r="G121" s="2">
        <f>+'s1'!R121*0.0098</f>
        <v>14.7</v>
      </c>
      <c r="H121" s="2">
        <f>+'s1'!S121*0.0098</f>
        <v>0</v>
      </c>
      <c r="I121" s="2">
        <f>+'s1'!T121*0.0098</f>
        <v>0</v>
      </c>
      <c r="J121" s="2">
        <f>+'s1'!U121*0.0098</f>
        <v>0</v>
      </c>
      <c r="K121" s="2">
        <f>+'s1'!V121*0.0098</f>
        <v>0</v>
      </c>
      <c r="L121" s="2">
        <f>+'s1'!W121*0.0098</f>
        <v>0</v>
      </c>
      <c r="M121" s="2">
        <f>+'s1'!X121*0.0098</f>
        <v>617.9</v>
      </c>
      <c r="N121" s="2">
        <f>+'s1'!Y121*0.0098</f>
        <v>0</v>
      </c>
      <c r="O121" s="2">
        <f>+'s1'!Z121*0.0098</f>
        <v>0</v>
      </c>
      <c r="P121" s="2">
        <f>+'s1'!AA121*0.0098</f>
        <v>0</v>
      </c>
      <c r="Q121" s="2">
        <f>+'s1'!AB121*0.0098</f>
        <v>0</v>
      </c>
      <c r="R121" s="2">
        <f>+'s1'!AC121*0.0098</f>
        <v>0</v>
      </c>
      <c r="S121" s="78">
        <f t="shared" si="6"/>
        <v>2188.12</v>
      </c>
      <c r="T121" s="10"/>
    </row>
    <row r="122" spans="1:20" s="88" customFormat="1" x14ac:dyDescent="0.2">
      <c r="A122" s="1" t="s">
        <v>361</v>
      </c>
      <c r="B122" s="2">
        <f>+'s1'!M122*0.0098</f>
        <v>0</v>
      </c>
      <c r="C122" s="2">
        <f>+'s1'!N122*0.0098</f>
        <v>0</v>
      </c>
      <c r="D122" s="2">
        <f>+'s1'!O122*0.0098</f>
        <v>1537</v>
      </c>
      <c r="E122" s="2">
        <f>+'s1'!P122*0.0098</f>
        <v>0</v>
      </c>
      <c r="F122" s="2">
        <f>+'s1'!Q122*0.0098</f>
        <v>0</v>
      </c>
      <c r="G122" s="2">
        <f>+'s1'!R122*0.0098</f>
        <v>0</v>
      </c>
      <c r="H122" s="2">
        <f>+'s1'!S122*0.0098</f>
        <v>0</v>
      </c>
      <c r="I122" s="2">
        <f>+'s1'!T122*0.0098</f>
        <v>0</v>
      </c>
      <c r="J122" s="2">
        <f>+'s1'!U122*0.0098</f>
        <v>0</v>
      </c>
      <c r="K122" s="2">
        <f>+'s1'!V122*0.0098</f>
        <v>0</v>
      </c>
      <c r="L122" s="2">
        <f>+'s1'!W122*0.0098</f>
        <v>0</v>
      </c>
      <c r="M122" s="2">
        <f>+'s1'!X122*0.0098</f>
        <v>0</v>
      </c>
      <c r="N122" s="2">
        <f>+'s1'!Y122*0.0098</f>
        <v>0</v>
      </c>
      <c r="O122" s="2">
        <f>+'s1'!Z122*0.0098</f>
        <v>0</v>
      </c>
      <c r="P122" s="2">
        <f>+'s1'!AA122*0.0098</f>
        <v>0</v>
      </c>
      <c r="Q122" s="2">
        <f>+'s1'!AB122*0.0098</f>
        <v>0</v>
      </c>
      <c r="R122" s="2">
        <f>+'s1'!AC122*0.0098</f>
        <v>0</v>
      </c>
      <c r="S122" s="78">
        <f t="shared" si="6"/>
        <v>1537</v>
      </c>
      <c r="T122" s="10"/>
    </row>
    <row r="123" spans="1:20" ht="24.75" customHeight="1" thickBot="1" x14ac:dyDescent="0.25">
      <c r="A123" s="1" t="s">
        <v>12</v>
      </c>
      <c r="B123" s="36">
        <f t="shared" ref="B123:S123" si="7">SUM(B12:B122)</f>
        <v>30693.67</v>
      </c>
      <c r="C123" s="36">
        <f t="shared" si="7"/>
        <v>3577.79</v>
      </c>
      <c r="D123" s="36">
        <f t="shared" si="7"/>
        <v>617429.43999999994</v>
      </c>
      <c r="E123" s="36">
        <f t="shared" si="7"/>
        <v>20952.560000000001</v>
      </c>
      <c r="F123" s="36">
        <f t="shared" si="7"/>
        <v>24067.33</v>
      </c>
      <c r="G123" s="36">
        <f t="shared" si="7"/>
        <v>205.36</v>
      </c>
      <c r="H123" s="36">
        <f t="shared" si="7"/>
        <v>900.62</v>
      </c>
      <c r="I123" s="36">
        <f t="shared" si="7"/>
        <v>10556.43</v>
      </c>
      <c r="J123" s="36">
        <f t="shared" si="7"/>
        <v>3605.63</v>
      </c>
      <c r="K123" s="36">
        <f t="shared" si="7"/>
        <v>1718.39</v>
      </c>
      <c r="L123" s="36">
        <f t="shared" si="7"/>
        <v>16331.23</v>
      </c>
      <c r="M123" s="36">
        <f t="shared" si="7"/>
        <v>3052.55</v>
      </c>
      <c r="N123" s="36">
        <f t="shared" si="7"/>
        <v>20100.61</v>
      </c>
      <c r="O123" s="36">
        <f t="shared" si="7"/>
        <v>2331.63</v>
      </c>
      <c r="P123" s="36">
        <f t="shared" si="7"/>
        <v>251.36</v>
      </c>
      <c r="Q123" s="36">
        <f t="shared" si="7"/>
        <v>156283.43</v>
      </c>
      <c r="R123" s="36">
        <f t="shared" si="7"/>
        <v>4863.8999999999996</v>
      </c>
      <c r="S123" s="36">
        <f t="shared" si="7"/>
        <v>916921.93</v>
      </c>
      <c r="T123" s="1"/>
    </row>
    <row r="124" spans="1:20" hidden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1"/>
    </row>
    <row r="125" spans="1:20" hidden="1" x14ac:dyDescent="0.2">
      <c r="B125" s="2"/>
    </row>
    <row r="126" spans="1:20" hidden="1" x14ac:dyDescent="0.2">
      <c r="S126" s="11">
        <f>SUM(B123:R123)</f>
        <v>916921.93</v>
      </c>
      <c r="T126" t="s">
        <v>106</v>
      </c>
    </row>
    <row r="127" spans="1:20" hidden="1" x14ac:dyDescent="0.2"/>
    <row r="128" spans="1:20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</sheetData>
  <phoneticPr fontId="0" type="noConversion"/>
  <printOptions horizontalCentered="1"/>
  <pageMargins left="0.28000000000000003" right="0.33" top="0.5" bottom="0.5" header="0.25" footer="0.25"/>
  <pageSetup scale="58" fitToHeight="2" orientation="landscape" r:id="rId1"/>
  <headerFooter alignWithMargins="0"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164"/>
  <sheetViews>
    <sheetView topLeftCell="A4" zoomScale="75" workbookViewId="0">
      <selection activeCell="A5" sqref="A5"/>
    </sheetView>
  </sheetViews>
  <sheetFormatPr defaultRowHeight="12.75" x14ac:dyDescent="0.2"/>
  <cols>
    <col min="1" max="1" width="15.7109375" customWidth="1"/>
    <col min="2" max="2" width="15.85546875" customWidth="1"/>
    <col min="3" max="3" width="15.7109375" customWidth="1"/>
    <col min="4" max="4" width="17.85546875" customWidth="1"/>
    <col min="5" max="5" width="12.85546875" customWidth="1"/>
    <col min="6" max="6" width="14.28515625" customWidth="1"/>
    <col min="7" max="7" width="9.85546875" customWidth="1"/>
    <col min="8" max="8" width="20.140625" customWidth="1"/>
    <col min="9" max="9" width="13.28515625" hidden="1" customWidth="1"/>
    <col min="10" max="10" width="0" hidden="1" customWidth="1"/>
    <col min="11" max="11" width="16.140625" hidden="1" customWidth="1"/>
    <col min="12" max="14" width="13.7109375" hidden="1" customWidth="1"/>
    <col min="15" max="15" width="15.140625" style="264" hidden="1" customWidth="1"/>
    <col min="16" max="16" width="17.28515625" hidden="1" customWidth="1"/>
    <col min="17" max="17" width="13.5703125" hidden="1" customWidth="1"/>
    <col min="18" max="18" width="17.140625" hidden="1" customWidth="1"/>
    <col min="19" max="19" width="14.5703125" hidden="1" customWidth="1"/>
    <col min="20" max="63" width="0" hidden="1" customWidth="1"/>
  </cols>
  <sheetData>
    <row r="1" spans="1:22" ht="15.75" x14ac:dyDescent="0.25">
      <c r="A1" s="63" t="s">
        <v>107</v>
      </c>
      <c r="B1" s="1"/>
      <c r="C1" s="1"/>
      <c r="D1" s="1"/>
      <c r="E1" s="1"/>
      <c r="F1" s="1"/>
      <c r="G1" s="1"/>
      <c r="H1" s="1"/>
      <c r="I1" s="1"/>
      <c r="J1" s="1"/>
      <c r="K1" s="63" t="s">
        <v>107</v>
      </c>
      <c r="L1" s="63"/>
      <c r="N1" s="1"/>
      <c r="O1" s="262"/>
      <c r="P1" s="1"/>
      <c r="Q1" s="1"/>
      <c r="R1" s="1"/>
      <c r="S1" s="1"/>
      <c r="T1" s="1"/>
      <c r="U1" s="1"/>
      <c r="V1" s="1"/>
    </row>
    <row r="2" spans="1:22" ht="15.75" x14ac:dyDescent="0.25">
      <c r="A2" s="115" t="str">
        <f>ReportMonth</f>
        <v>MAY 2004</v>
      </c>
      <c r="B2" s="1"/>
      <c r="C2" s="1"/>
      <c r="D2" s="1"/>
      <c r="E2" s="1"/>
      <c r="F2" s="1"/>
      <c r="G2" s="1"/>
      <c r="H2" s="1"/>
      <c r="I2" s="2">
        <f>ST5.35</f>
        <v>4902699.91</v>
      </c>
      <c r="J2" s="1"/>
      <c r="K2" s="77" t="str">
        <f>ReportMonth</f>
        <v>MAY 2004</v>
      </c>
      <c r="L2" s="63"/>
      <c r="M2" s="63"/>
      <c r="N2" s="1"/>
      <c r="O2" s="262"/>
      <c r="P2" s="1"/>
      <c r="Q2" s="1"/>
      <c r="R2" s="1"/>
      <c r="S2" s="1"/>
      <c r="T2" s="1"/>
      <c r="U2" s="1"/>
      <c r="V2" s="1"/>
    </row>
    <row r="3" spans="1:22" ht="14.25" customHeight="1" x14ac:dyDescent="0.2">
      <c r="A3" s="117" t="s">
        <v>108</v>
      </c>
      <c r="B3" s="1"/>
      <c r="D3" s="1"/>
      <c r="E3" s="1"/>
      <c r="F3" s="1"/>
      <c r="G3" s="1"/>
      <c r="H3" s="1"/>
      <c r="I3" s="130">
        <f>LessWP535</f>
        <v>60110.720000000001</v>
      </c>
      <c r="J3" s="1"/>
      <c r="K3" s="117" t="s">
        <v>109</v>
      </c>
      <c r="L3" s="1"/>
      <c r="M3" s="1"/>
      <c r="N3" s="1"/>
      <c r="O3" s="262"/>
      <c r="Q3" s="1"/>
      <c r="R3" s="1"/>
      <c r="S3" s="1"/>
      <c r="T3" s="1"/>
      <c r="U3" s="1"/>
      <c r="V3" s="1"/>
    </row>
    <row r="4" spans="1:22" ht="15.75" x14ac:dyDescent="0.25">
      <c r="A4" s="66" t="s">
        <v>110</v>
      </c>
      <c r="B4" s="42"/>
      <c r="C4" s="42"/>
      <c r="D4" s="42"/>
      <c r="E4" s="42"/>
      <c r="F4" s="42"/>
      <c r="G4" s="1"/>
      <c r="H4" s="1"/>
      <c r="I4" s="12">
        <f>LessAF535</f>
        <v>15805.83</v>
      </c>
      <c r="J4" s="1"/>
      <c r="K4" s="94" t="s">
        <v>111</v>
      </c>
      <c r="L4" s="43"/>
      <c r="M4" s="43"/>
      <c r="N4" s="43"/>
      <c r="O4" s="263"/>
      <c r="P4" s="43"/>
      <c r="Q4" s="43"/>
      <c r="R4" s="43"/>
      <c r="T4" s="1"/>
      <c r="U4" s="1"/>
      <c r="V4" s="1"/>
    </row>
    <row r="5" spans="1:22" x14ac:dyDescent="0.2">
      <c r="G5" s="1"/>
      <c r="H5" s="1"/>
      <c r="I5" s="2">
        <f>SUM(I2-(I3+I4))</f>
        <v>4826783.3600000003</v>
      </c>
      <c r="J5" s="1"/>
      <c r="K5" s="1"/>
      <c r="S5" s="1"/>
      <c r="T5" s="1"/>
      <c r="U5" s="1"/>
      <c r="V5" s="1"/>
    </row>
    <row r="6" spans="1:22" x14ac:dyDescent="0.2">
      <c r="A6" s="1"/>
      <c r="B6" s="6"/>
      <c r="E6" s="5"/>
      <c r="F6" s="5"/>
      <c r="G6" s="1"/>
      <c r="H6" s="1"/>
      <c r="I6" s="1"/>
      <c r="J6" s="1"/>
      <c r="K6" s="1"/>
      <c r="L6" s="1"/>
      <c r="M6" s="1"/>
      <c r="N6" s="1"/>
      <c r="O6" s="262"/>
      <c r="Q6" s="1"/>
      <c r="R6" s="1"/>
      <c r="S6" s="1"/>
      <c r="T6" s="1"/>
      <c r="U6" s="1"/>
      <c r="V6" s="1"/>
    </row>
    <row r="7" spans="1:22" x14ac:dyDescent="0.2">
      <c r="A7" s="1"/>
      <c r="B7" s="6"/>
      <c r="C7" s="118" t="s">
        <v>113</v>
      </c>
      <c r="D7" s="118" t="s">
        <v>114</v>
      </c>
      <c r="E7" s="118" t="s">
        <v>115</v>
      </c>
      <c r="F7" s="5" t="s">
        <v>73</v>
      </c>
      <c r="G7" s="1"/>
      <c r="H7" s="1"/>
      <c r="I7" s="2">
        <f>SUM($I$5*0.327103)</f>
        <v>1578855.32</v>
      </c>
      <c r="J7" s="1"/>
      <c r="K7" s="1"/>
      <c r="L7" s="1"/>
      <c r="M7" s="1"/>
      <c r="N7" s="1"/>
      <c r="O7" s="265" t="s">
        <v>73</v>
      </c>
      <c r="P7" s="118" t="s">
        <v>116</v>
      </c>
      <c r="Q7" s="118" t="s">
        <v>117</v>
      </c>
      <c r="R7" s="118" t="s">
        <v>118</v>
      </c>
      <c r="S7" s="1"/>
      <c r="T7" s="1"/>
      <c r="U7" s="1"/>
      <c r="V7" s="1"/>
    </row>
    <row r="8" spans="1:22" x14ac:dyDescent="0.2">
      <c r="A8" s="1"/>
      <c r="B8" s="96" t="s">
        <v>119</v>
      </c>
      <c r="C8" s="96" t="s">
        <v>120</v>
      </c>
      <c r="D8" s="96" t="s">
        <v>121</v>
      </c>
      <c r="E8" s="96" t="s">
        <v>122</v>
      </c>
      <c r="F8" s="96" t="s">
        <v>123</v>
      </c>
      <c r="G8" s="1"/>
      <c r="H8" s="1"/>
      <c r="I8" s="2">
        <f>SUM($I$5*0.233645)</f>
        <v>1127753.8</v>
      </c>
      <c r="J8" s="1"/>
      <c r="K8" s="4"/>
      <c r="L8" s="40" t="s">
        <v>124</v>
      </c>
      <c r="M8" s="40" t="s">
        <v>125</v>
      </c>
      <c r="N8" s="40" t="s">
        <v>126</v>
      </c>
      <c r="O8" s="266" t="s">
        <v>127</v>
      </c>
      <c r="P8" s="96" t="s">
        <v>128</v>
      </c>
      <c r="Q8" s="96" t="s">
        <v>129</v>
      </c>
      <c r="R8" s="96" t="s">
        <v>130</v>
      </c>
      <c r="S8" s="1"/>
      <c r="T8" s="1"/>
      <c r="U8" s="1"/>
      <c r="V8" s="1"/>
    </row>
    <row r="9" spans="1:22" x14ac:dyDescent="0.2">
      <c r="A9" s="1"/>
      <c r="B9" s="1"/>
      <c r="C9" s="1"/>
      <c r="D9" s="1"/>
      <c r="E9" s="1"/>
      <c r="F9" s="1"/>
      <c r="G9" s="1"/>
      <c r="H9" s="1"/>
      <c r="I9" s="2">
        <f>SUM($I$5*0.439252)</f>
        <v>2120174.2400000002</v>
      </c>
      <c r="J9" s="1"/>
      <c r="K9" s="1"/>
      <c r="L9" s="1"/>
      <c r="M9" s="1"/>
      <c r="N9" s="1"/>
      <c r="O9" s="262"/>
      <c r="P9" s="1"/>
      <c r="Q9" s="1"/>
      <c r="R9" s="1"/>
      <c r="S9" s="1"/>
      <c r="T9" s="1"/>
      <c r="U9" s="1"/>
      <c r="V9" s="1"/>
    </row>
    <row r="10" spans="1:22" x14ac:dyDescent="0.2">
      <c r="A10" s="1" t="s">
        <v>131</v>
      </c>
      <c r="B10" s="7">
        <f>CA</f>
        <v>3132007</v>
      </c>
      <c r="C10" s="30">
        <f t="shared" ref="C10:C26" si="0">SUM(B10/$B$27)</f>
        <v>3.3471427999999998E-2</v>
      </c>
      <c r="D10" s="2">
        <f t="shared" ref="D10:D26" si="1">SUM($I$7*C10)</f>
        <v>52846.54</v>
      </c>
      <c r="E10" s="2">
        <v>43.58</v>
      </c>
      <c r="F10" s="2">
        <f t="shared" ref="F10:F26" si="2">SUM(+D10-E10)</f>
        <v>52802.96</v>
      </c>
      <c r="G10" s="1"/>
      <c r="H10" s="1"/>
      <c r="I10" s="1"/>
      <c r="J10" s="14"/>
      <c r="K10" s="1" t="s">
        <v>131</v>
      </c>
      <c r="L10" s="2">
        <f t="shared" ref="L10:L26" si="3">F10</f>
        <v>52802.96</v>
      </c>
      <c r="M10" s="2">
        <f t="shared" ref="M10:M26" si="4">F37</f>
        <v>19627.47</v>
      </c>
      <c r="N10" s="2">
        <f t="shared" ref="N10:N26" si="5">F68</f>
        <v>0</v>
      </c>
      <c r="O10" s="267">
        <f t="shared" ref="O10:O26" si="6">L10+M10+N10</f>
        <v>72430.429999999993</v>
      </c>
      <c r="P10" s="2">
        <f>NETCAG</f>
        <v>274637.69</v>
      </c>
      <c r="Q10" s="2">
        <f>NETCAG1</f>
        <v>30668.77</v>
      </c>
      <c r="R10" s="2">
        <f t="shared" ref="R10:R26" si="7">SUM(O10:Q10)</f>
        <v>377736.89</v>
      </c>
      <c r="S10" s="1">
        <f t="shared" ref="S10:S26" si="8">L10+M10+N10+P10+Q10</f>
        <v>377736.89</v>
      </c>
      <c r="T10" s="1"/>
      <c r="U10" s="1"/>
      <c r="V10" s="1"/>
    </row>
    <row r="11" spans="1:22" x14ac:dyDescent="0.2">
      <c r="A11" s="1" t="s">
        <v>132</v>
      </c>
      <c r="B11" s="7">
        <f>CH</f>
        <v>365081</v>
      </c>
      <c r="C11" s="30">
        <f t="shared" si="0"/>
        <v>3.9015819999999998E-3</v>
      </c>
      <c r="D11" s="2">
        <f t="shared" si="1"/>
        <v>6160.03</v>
      </c>
      <c r="E11" s="2">
        <v>81.96</v>
      </c>
      <c r="F11" s="2">
        <f t="shared" si="2"/>
        <v>6078.07</v>
      </c>
      <c r="G11" s="1"/>
      <c r="H11" s="1"/>
      <c r="I11" s="2">
        <f>SUM(I7:I9)</f>
        <v>4826783.3600000003</v>
      </c>
      <c r="J11" s="14"/>
      <c r="K11" s="1" t="s">
        <v>132</v>
      </c>
      <c r="L11" s="2">
        <f t="shared" si="3"/>
        <v>6078.07</v>
      </c>
      <c r="M11" s="2">
        <f t="shared" si="4"/>
        <v>28846.35</v>
      </c>
      <c r="N11" s="2">
        <f t="shared" si="5"/>
        <v>0</v>
      </c>
      <c r="O11" s="267">
        <f t="shared" si="6"/>
        <v>34924.42</v>
      </c>
      <c r="P11" s="2">
        <f>NETCHG</f>
        <v>31617.64</v>
      </c>
      <c r="Q11" s="2">
        <f>NETCHG1</f>
        <v>3530.95</v>
      </c>
      <c r="R11" s="2">
        <f t="shared" si="7"/>
        <v>70073.009999999995</v>
      </c>
      <c r="S11" s="1">
        <f t="shared" si="8"/>
        <v>70073.009999999995</v>
      </c>
      <c r="T11" s="1"/>
      <c r="U11" s="1"/>
      <c r="V11" s="1"/>
    </row>
    <row r="12" spans="1:22" x14ac:dyDescent="0.2">
      <c r="A12" s="1" t="s">
        <v>133</v>
      </c>
      <c r="B12" s="7">
        <f>CL</f>
        <v>63002872</v>
      </c>
      <c r="C12" s="30">
        <f t="shared" si="0"/>
        <v>0.67330503799999997</v>
      </c>
      <c r="D12" s="2">
        <f t="shared" si="1"/>
        <v>1063051.24</v>
      </c>
      <c r="E12" s="2">
        <v>745.8</v>
      </c>
      <c r="F12" s="2">
        <f t="shared" si="2"/>
        <v>1062305.44</v>
      </c>
      <c r="G12" s="1"/>
      <c r="H12" s="1"/>
      <c r="I12" s="1"/>
      <c r="J12" s="14"/>
      <c r="K12" s="1" t="s">
        <v>133</v>
      </c>
      <c r="L12" s="2">
        <f t="shared" si="3"/>
        <v>1062305.44</v>
      </c>
      <c r="M12" s="2">
        <f t="shared" si="4"/>
        <v>517928.67</v>
      </c>
      <c r="N12" s="2">
        <f t="shared" si="5"/>
        <v>0</v>
      </c>
      <c r="O12" s="267">
        <f t="shared" si="6"/>
        <v>1580234.11</v>
      </c>
      <c r="P12" s="2">
        <f>NETCLG</f>
        <v>5525244.9299999997</v>
      </c>
      <c r="Q12" s="2">
        <f>NETCLG1</f>
        <v>617003.26</v>
      </c>
      <c r="R12" s="2">
        <f t="shared" si="7"/>
        <v>7722482.2999999998</v>
      </c>
      <c r="S12" s="1">
        <f t="shared" si="8"/>
        <v>7722482.2999999998</v>
      </c>
      <c r="T12" s="1"/>
      <c r="U12" s="1"/>
      <c r="V12" s="1"/>
    </row>
    <row r="13" spans="1:22" x14ac:dyDescent="0.2">
      <c r="A13" s="1" t="s">
        <v>134</v>
      </c>
      <c r="B13" s="7">
        <f>DO</f>
        <v>2138016</v>
      </c>
      <c r="C13" s="30">
        <f t="shared" si="0"/>
        <v>2.2848751E-2</v>
      </c>
      <c r="D13" s="2">
        <f t="shared" si="1"/>
        <v>36074.870000000003</v>
      </c>
      <c r="E13" s="2">
        <v>34.76</v>
      </c>
      <c r="F13" s="2">
        <f t="shared" si="2"/>
        <v>36040.11</v>
      </c>
      <c r="G13" s="1"/>
      <c r="H13" s="1"/>
      <c r="I13" s="1"/>
      <c r="J13" s="14"/>
      <c r="K13" s="1" t="s">
        <v>134</v>
      </c>
      <c r="L13" s="2">
        <f t="shared" si="3"/>
        <v>36040.11</v>
      </c>
      <c r="M13" s="2">
        <f t="shared" si="4"/>
        <v>17190.41</v>
      </c>
      <c r="N13" s="2">
        <f t="shared" si="5"/>
        <v>0</v>
      </c>
      <c r="O13" s="267">
        <f t="shared" si="6"/>
        <v>53230.52</v>
      </c>
      <c r="P13" s="2">
        <f>NETDOG</f>
        <v>83311.72</v>
      </c>
      <c r="Q13" s="2">
        <f>NETDOG1</f>
        <v>20932.689999999999</v>
      </c>
      <c r="R13" s="2">
        <f t="shared" si="7"/>
        <v>157474.93</v>
      </c>
      <c r="S13" s="1">
        <f t="shared" si="8"/>
        <v>157474.93</v>
      </c>
      <c r="T13" s="1"/>
      <c r="U13" s="1"/>
      <c r="V13" s="1"/>
    </row>
    <row r="14" spans="1:22" x14ac:dyDescent="0.2">
      <c r="A14" s="1" t="s">
        <v>135</v>
      </c>
      <c r="B14" s="7">
        <f>EL</f>
        <v>2456087</v>
      </c>
      <c r="C14" s="30">
        <f t="shared" si="0"/>
        <v>2.6247942E-2</v>
      </c>
      <c r="D14" s="2">
        <f t="shared" si="1"/>
        <v>41441.699999999997</v>
      </c>
      <c r="E14" s="2">
        <v>204.6</v>
      </c>
      <c r="F14" s="2">
        <f t="shared" si="2"/>
        <v>41237.1</v>
      </c>
      <c r="G14" s="1"/>
      <c r="H14" s="1"/>
      <c r="I14" s="2">
        <f>+'s1'!I126</f>
        <v>65678.12</v>
      </c>
      <c r="J14" s="14"/>
      <c r="K14" s="1" t="s">
        <v>135</v>
      </c>
      <c r="L14" s="2">
        <f t="shared" si="3"/>
        <v>41237.1</v>
      </c>
      <c r="M14" s="2">
        <f t="shared" si="4"/>
        <v>68002.41</v>
      </c>
      <c r="N14" s="2">
        <f t="shared" si="5"/>
        <v>0</v>
      </c>
      <c r="O14" s="267">
        <f t="shared" si="6"/>
        <v>109239.51</v>
      </c>
      <c r="P14" s="2">
        <f>NETELG</f>
        <v>95320.44</v>
      </c>
      <c r="Q14" s="2">
        <f>NETELG1</f>
        <v>23950.43</v>
      </c>
      <c r="R14" s="2">
        <f t="shared" si="7"/>
        <v>228510.38</v>
      </c>
      <c r="S14" s="1">
        <f t="shared" si="8"/>
        <v>228510.38</v>
      </c>
      <c r="T14" s="1"/>
      <c r="U14" s="1"/>
      <c r="V14" s="1"/>
    </row>
    <row r="15" spans="1:22" x14ac:dyDescent="0.2">
      <c r="A15" s="1" t="s">
        <v>136</v>
      </c>
      <c r="B15" s="7">
        <f>ES</f>
        <v>20955</v>
      </c>
      <c r="C15" s="30">
        <f t="shared" si="0"/>
        <v>2.2394400000000001E-4</v>
      </c>
      <c r="D15" s="2">
        <f t="shared" si="1"/>
        <v>353.58</v>
      </c>
      <c r="E15" s="2">
        <v>0</v>
      </c>
      <c r="F15" s="2">
        <f t="shared" si="2"/>
        <v>353.58</v>
      </c>
      <c r="G15" s="1"/>
      <c r="H15" s="5"/>
      <c r="I15" s="14">
        <v>2.7400000000000001E-2</v>
      </c>
      <c r="J15" s="14"/>
      <c r="K15" s="1" t="s">
        <v>136</v>
      </c>
      <c r="L15" s="2">
        <f t="shared" si="3"/>
        <v>353.58</v>
      </c>
      <c r="M15" s="2">
        <f t="shared" si="4"/>
        <v>15829.05</v>
      </c>
      <c r="N15" s="2">
        <f t="shared" si="5"/>
        <v>0</v>
      </c>
      <c r="O15" s="267">
        <f t="shared" si="6"/>
        <v>16182.63</v>
      </c>
      <c r="P15" s="2">
        <f>NETESG</f>
        <v>817.32</v>
      </c>
      <c r="Q15" s="2">
        <f>NETESG1</f>
        <v>205.36</v>
      </c>
      <c r="R15" s="2">
        <f t="shared" si="7"/>
        <v>17205.310000000001</v>
      </c>
      <c r="S15" s="1">
        <f t="shared" si="8"/>
        <v>17205.310000000001</v>
      </c>
      <c r="T15" s="1"/>
      <c r="U15" s="1"/>
      <c r="V15" s="1"/>
    </row>
    <row r="16" spans="1:22" x14ac:dyDescent="0.2">
      <c r="A16" s="1" t="s">
        <v>137</v>
      </c>
      <c r="B16" s="7">
        <f>EU</f>
        <v>91899</v>
      </c>
      <c r="C16" s="30">
        <f t="shared" si="0"/>
        <v>9.8211499999999998E-4</v>
      </c>
      <c r="D16" s="2">
        <f t="shared" si="1"/>
        <v>1550.62</v>
      </c>
      <c r="E16" s="2">
        <v>60.98</v>
      </c>
      <c r="F16" s="2">
        <f t="shared" si="2"/>
        <v>1489.64</v>
      </c>
      <c r="G16" s="1"/>
      <c r="H16" s="1"/>
      <c r="I16" s="1"/>
      <c r="J16" s="14"/>
      <c r="K16" s="1" t="s">
        <v>137</v>
      </c>
      <c r="L16" s="2">
        <f t="shared" si="3"/>
        <v>1489.64</v>
      </c>
      <c r="M16" s="2">
        <f t="shared" si="4"/>
        <v>20202.86</v>
      </c>
      <c r="N16" s="2">
        <f t="shared" si="5"/>
        <v>0</v>
      </c>
      <c r="O16" s="267">
        <f t="shared" si="6"/>
        <v>21692.5</v>
      </c>
      <c r="P16" s="2">
        <f>NETEUG</f>
        <v>3445.03</v>
      </c>
      <c r="Q16" s="2">
        <f>NETEUG1</f>
        <v>865.77</v>
      </c>
      <c r="R16" s="2">
        <f t="shared" si="7"/>
        <v>26003.3</v>
      </c>
      <c r="S16" s="1">
        <f t="shared" si="8"/>
        <v>26003.3</v>
      </c>
      <c r="T16" s="1"/>
      <c r="U16" s="1"/>
      <c r="V16" s="1"/>
    </row>
    <row r="17" spans="1:19" x14ac:dyDescent="0.2">
      <c r="A17" s="1" t="s">
        <v>138</v>
      </c>
      <c r="B17" s="7">
        <f>HU</f>
        <v>1077186</v>
      </c>
      <c r="C17" s="30">
        <f t="shared" si="0"/>
        <v>1.1511772999999999E-2</v>
      </c>
      <c r="D17" s="2">
        <f t="shared" si="1"/>
        <v>18175.419999999998</v>
      </c>
      <c r="E17" s="2">
        <v>243.59</v>
      </c>
      <c r="F17" s="2">
        <f t="shared" si="2"/>
        <v>17931.830000000002</v>
      </c>
      <c r="G17" s="1"/>
      <c r="H17" s="5"/>
      <c r="I17" s="221">
        <f>+Q107</f>
        <v>7488.95</v>
      </c>
      <c r="J17" s="14"/>
      <c r="K17" s="1" t="s">
        <v>138</v>
      </c>
      <c r="L17" s="2">
        <f t="shared" si="3"/>
        <v>17931.830000000002</v>
      </c>
      <c r="M17" s="2">
        <f t="shared" si="4"/>
        <v>40822.269999999997</v>
      </c>
      <c r="N17" s="2">
        <f t="shared" si="5"/>
        <v>0</v>
      </c>
      <c r="O17" s="267">
        <f t="shared" si="6"/>
        <v>58754.1</v>
      </c>
      <c r="P17" s="2">
        <f>NETHUG</f>
        <v>93280.04</v>
      </c>
      <c r="Q17" s="2">
        <f>NETHUG1</f>
        <v>10417.25</v>
      </c>
      <c r="R17" s="2">
        <f t="shared" si="7"/>
        <v>162451.39000000001</v>
      </c>
      <c r="S17" s="1">
        <f t="shared" si="8"/>
        <v>162451.39000000001</v>
      </c>
    </row>
    <row r="18" spans="1:19" x14ac:dyDescent="0.2">
      <c r="A18" s="1" t="s">
        <v>139</v>
      </c>
      <c r="B18" s="7">
        <f>LA</f>
        <v>370823</v>
      </c>
      <c r="C18" s="30">
        <f t="shared" si="0"/>
        <v>3.9629460000000002E-3</v>
      </c>
      <c r="D18" s="2">
        <f t="shared" si="1"/>
        <v>6256.92</v>
      </c>
      <c r="E18" s="2">
        <v>34.08</v>
      </c>
      <c r="F18" s="2">
        <f t="shared" si="2"/>
        <v>6222.84</v>
      </c>
      <c r="G18" s="1"/>
      <c r="H18" s="24"/>
      <c r="I18" s="221">
        <f>+Q108</f>
        <v>5337.87</v>
      </c>
      <c r="J18" s="14"/>
      <c r="K18" s="1" t="s">
        <v>139</v>
      </c>
      <c r="L18" s="2">
        <f t="shared" si="3"/>
        <v>6222.84</v>
      </c>
      <c r="M18" s="2">
        <f t="shared" si="4"/>
        <v>25826.34</v>
      </c>
      <c r="N18" s="2">
        <f t="shared" si="5"/>
        <v>0</v>
      </c>
      <c r="O18" s="267">
        <f t="shared" si="6"/>
        <v>32049.18</v>
      </c>
      <c r="P18" s="2">
        <f>NETLAG</f>
        <v>30618.53</v>
      </c>
      <c r="Q18" s="2">
        <f>NETLAG1</f>
        <v>3586.16</v>
      </c>
      <c r="R18" s="2">
        <f t="shared" si="7"/>
        <v>66253.87</v>
      </c>
      <c r="S18" s="1">
        <f t="shared" si="8"/>
        <v>66253.87</v>
      </c>
    </row>
    <row r="19" spans="1:19" x14ac:dyDescent="0.2">
      <c r="A19" s="1" t="s">
        <v>140</v>
      </c>
      <c r="B19" s="7">
        <f>LI</f>
        <v>175346</v>
      </c>
      <c r="C19" s="30">
        <f t="shared" si="0"/>
        <v>1.873904E-3</v>
      </c>
      <c r="D19" s="2">
        <f t="shared" si="1"/>
        <v>2958.62</v>
      </c>
      <c r="E19" s="2">
        <v>22.74</v>
      </c>
      <c r="F19" s="2">
        <f t="shared" si="2"/>
        <v>2935.88</v>
      </c>
      <c r="G19" s="1"/>
      <c r="H19" s="5"/>
      <c r="I19" s="221">
        <f>+Q109</f>
        <v>10054.32</v>
      </c>
      <c r="J19" s="14"/>
      <c r="K19" s="1" t="s">
        <v>140</v>
      </c>
      <c r="L19" s="2">
        <f t="shared" si="3"/>
        <v>2935.88</v>
      </c>
      <c r="M19" s="2">
        <f t="shared" si="4"/>
        <v>44987.81</v>
      </c>
      <c r="N19" s="2">
        <f t="shared" si="5"/>
        <v>0</v>
      </c>
      <c r="O19" s="267">
        <f t="shared" si="6"/>
        <v>47923.69</v>
      </c>
      <c r="P19" s="2">
        <f>NETLIG</f>
        <v>6787.22</v>
      </c>
      <c r="Q19" s="2">
        <f>NETLIG1</f>
        <v>1705.4</v>
      </c>
      <c r="R19" s="2">
        <f t="shared" si="7"/>
        <v>56416.31</v>
      </c>
      <c r="S19" s="1">
        <f t="shared" si="8"/>
        <v>56416.31</v>
      </c>
    </row>
    <row r="20" spans="1:19" x14ac:dyDescent="0.2">
      <c r="A20" s="1" t="s">
        <v>141</v>
      </c>
      <c r="B20" s="7">
        <f>LY</f>
        <v>1666451</v>
      </c>
      <c r="C20" s="30">
        <f t="shared" si="0"/>
        <v>1.7809186000000001E-2</v>
      </c>
      <c r="D20" s="2">
        <f t="shared" si="1"/>
        <v>28118.13</v>
      </c>
      <c r="E20" s="2">
        <f>82.43+0.01</f>
        <v>82.44</v>
      </c>
      <c r="F20" s="2">
        <f t="shared" si="2"/>
        <v>28035.69</v>
      </c>
      <c r="G20" s="1"/>
      <c r="H20" s="107"/>
      <c r="I20" s="219">
        <f>+Q110</f>
        <v>22881.14</v>
      </c>
      <c r="J20" s="14"/>
      <c r="K20" s="1" t="s">
        <v>141</v>
      </c>
      <c r="L20" s="2">
        <f t="shared" si="3"/>
        <v>28035.69</v>
      </c>
      <c r="M20" s="2">
        <f t="shared" si="4"/>
        <v>21331.919999999998</v>
      </c>
      <c r="N20" s="2">
        <f t="shared" si="5"/>
        <v>0</v>
      </c>
      <c r="O20" s="267">
        <f t="shared" si="6"/>
        <v>49367.61</v>
      </c>
      <c r="P20" s="2">
        <f>NETLYG</f>
        <v>145822.1</v>
      </c>
      <c r="Q20" s="2">
        <f>NETLYG1</f>
        <v>16284.12</v>
      </c>
      <c r="R20" s="2">
        <f t="shared" si="7"/>
        <v>211473.83</v>
      </c>
      <c r="S20" s="1">
        <f t="shared" si="8"/>
        <v>211473.83</v>
      </c>
    </row>
    <row r="21" spans="1:19" x14ac:dyDescent="0.2">
      <c r="A21" s="1" t="s">
        <v>142</v>
      </c>
      <c r="B21" s="7">
        <f>MI</f>
        <v>311483</v>
      </c>
      <c r="C21" s="30">
        <f t="shared" si="0"/>
        <v>3.3287859999999998E-3</v>
      </c>
      <c r="D21" s="2">
        <f t="shared" si="1"/>
        <v>5255.67</v>
      </c>
      <c r="E21" s="2">
        <v>81</v>
      </c>
      <c r="F21" s="2">
        <f t="shared" si="2"/>
        <v>5174.67</v>
      </c>
      <c r="G21" s="1"/>
      <c r="H21" s="391"/>
      <c r="I21" s="221">
        <f>+Q111-R113</f>
        <v>38510.75</v>
      </c>
      <c r="J21" s="14"/>
      <c r="K21" s="1" t="s">
        <v>142</v>
      </c>
      <c r="L21" s="2">
        <f t="shared" si="3"/>
        <v>5174.67</v>
      </c>
      <c r="M21" s="2">
        <f t="shared" si="4"/>
        <v>14579.38</v>
      </c>
      <c r="N21" s="2">
        <f t="shared" si="5"/>
        <v>0</v>
      </c>
      <c r="O21" s="267">
        <f t="shared" si="6"/>
        <v>19754.05</v>
      </c>
      <c r="P21" s="2">
        <f>NETMIG</f>
        <v>26918.89</v>
      </c>
      <c r="Q21" s="2">
        <f>NETMIG1</f>
        <v>3006.27</v>
      </c>
      <c r="R21" s="2">
        <f t="shared" si="7"/>
        <v>49679.21</v>
      </c>
      <c r="S21" s="1">
        <f t="shared" si="8"/>
        <v>49679.21</v>
      </c>
    </row>
    <row r="22" spans="1:19" x14ac:dyDescent="0.2">
      <c r="A22" s="1" t="s">
        <v>143</v>
      </c>
      <c r="B22" s="7">
        <f>NY</f>
        <v>2051045</v>
      </c>
      <c r="C22" s="30">
        <f t="shared" si="0"/>
        <v>2.1919300999999999E-2</v>
      </c>
      <c r="D22" s="2">
        <f t="shared" si="1"/>
        <v>34607.4</v>
      </c>
      <c r="E22" s="2">
        <v>2742.79</v>
      </c>
      <c r="F22" s="2">
        <f t="shared" si="2"/>
        <v>31864.61</v>
      </c>
      <c r="G22" s="1"/>
      <c r="H22" s="392"/>
      <c r="I22" s="221">
        <f>+Q112</f>
        <v>4286.2299999999996</v>
      </c>
      <c r="J22" s="14"/>
      <c r="K22" s="1" t="s">
        <v>143</v>
      </c>
      <c r="L22" s="2">
        <f t="shared" si="3"/>
        <v>31864.61</v>
      </c>
      <c r="M22" s="2">
        <f t="shared" si="4"/>
        <v>70501.73</v>
      </c>
      <c r="N22" s="2">
        <f t="shared" si="5"/>
        <v>0</v>
      </c>
      <c r="O22" s="267">
        <f t="shared" si="6"/>
        <v>102366.34</v>
      </c>
      <c r="P22" s="2">
        <f>NETNYG</f>
        <v>73731.28</v>
      </c>
      <c r="Q22" s="2">
        <f>NETNYG1</f>
        <v>18533.32</v>
      </c>
      <c r="R22" s="2">
        <f t="shared" si="7"/>
        <v>194630.94</v>
      </c>
      <c r="S22" s="1">
        <f t="shared" si="8"/>
        <v>194630.94</v>
      </c>
    </row>
    <row r="23" spans="1:19" x14ac:dyDescent="0.2">
      <c r="A23" s="1" t="s">
        <v>144</v>
      </c>
      <c r="B23" s="7">
        <f>PE</f>
        <v>237921</v>
      </c>
      <c r="C23" s="30">
        <f t="shared" si="0"/>
        <v>2.5426369999999999E-3</v>
      </c>
      <c r="D23" s="2">
        <f t="shared" si="1"/>
        <v>4014.46</v>
      </c>
      <c r="E23" s="2">
        <v>50.78</v>
      </c>
      <c r="F23" s="2">
        <f t="shared" si="2"/>
        <v>3963.68</v>
      </c>
      <c r="G23" s="1"/>
      <c r="H23" s="392"/>
      <c r="I23" s="219">
        <f>+Q113</f>
        <v>65678.12</v>
      </c>
      <c r="J23" s="14"/>
      <c r="K23" s="1" t="s">
        <v>144</v>
      </c>
      <c r="L23" s="2">
        <f t="shared" si="3"/>
        <v>3963.68</v>
      </c>
      <c r="M23" s="2">
        <f t="shared" si="4"/>
        <v>32466.39</v>
      </c>
      <c r="N23" s="2">
        <f t="shared" si="5"/>
        <v>0</v>
      </c>
      <c r="O23" s="267">
        <f t="shared" si="6"/>
        <v>36430.07</v>
      </c>
      <c r="P23" s="2">
        <f>NETPEG</f>
        <v>20618.560000000001</v>
      </c>
      <c r="Q23" s="2">
        <f>NETPEG1</f>
        <v>2302.61</v>
      </c>
      <c r="R23" s="2">
        <f t="shared" si="7"/>
        <v>59351.24</v>
      </c>
      <c r="S23" s="1">
        <f t="shared" si="8"/>
        <v>59351.24</v>
      </c>
    </row>
    <row r="24" spans="1:19" x14ac:dyDescent="0.2">
      <c r="A24" s="1" t="s">
        <v>145</v>
      </c>
      <c r="B24" s="7">
        <f>ST</f>
        <v>25649</v>
      </c>
      <c r="C24" s="30">
        <f t="shared" si="0"/>
        <v>2.7410800000000001E-4</v>
      </c>
      <c r="D24" s="2">
        <f t="shared" si="1"/>
        <v>432.78</v>
      </c>
      <c r="E24" s="2">
        <v>0</v>
      </c>
      <c r="F24" s="2">
        <f t="shared" si="2"/>
        <v>432.78</v>
      </c>
      <c r="G24" s="1"/>
      <c r="H24" s="10"/>
      <c r="I24" s="1"/>
      <c r="J24" s="14"/>
      <c r="K24" s="1" t="s">
        <v>145</v>
      </c>
      <c r="L24" s="2">
        <f t="shared" si="3"/>
        <v>432.78</v>
      </c>
      <c r="M24" s="2">
        <f t="shared" si="4"/>
        <v>2291.0500000000002</v>
      </c>
      <c r="N24" s="2">
        <f t="shared" si="5"/>
        <v>0</v>
      </c>
      <c r="O24" s="267">
        <f t="shared" si="6"/>
        <v>2723.83</v>
      </c>
      <c r="P24" s="2">
        <f>NETSTG</f>
        <v>1000.42</v>
      </c>
      <c r="Q24" s="2">
        <f>NETSTG1</f>
        <v>251.36</v>
      </c>
      <c r="R24" s="2">
        <f t="shared" si="7"/>
        <v>3975.61</v>
      </c>
      <c r="S24" s="1">
        <f t="shared" si="8"/>
        <v>3975.61</v>
      </c>
    </row>
    <row r="25" spans="1:19" x14ac:dyDescent="0.2">
      <c r="A25" s="1" t="s">
        <v>146</v>
      </c>
      <c r="B25" s="7">
        <f>WA</f>
        <v>15953418</v>
      </c>
      <c r="C25" s="30">
        <f t="shared" si="0"/>
        <v>0.17049249299999999</v>
      </c>
      <c r="D25" s="2">
        <f>SUM($I$7*C25)+0.01</f>
        <v>269182.99</v>
      </c>
      <c r="E25" s="2">
        <v>4626.28</v>
      </c>
      <c r="F25" s="2">
        <f t="shared" si="2"/>
        <v>264556.71000000002</v>
      </c>
      <c r="G25" s="1"/>
      <c r="H25" s="357"/>
      <c r="I25" s="89">
        <f>+'s1'!I126</f>
        <v>65678.12</v>
      </c>
      <c r="J25" s="14"/>
      <c r="K25" s="1" t="s">
        <v>146</v>
      </c>
      <c r="L25" s="2">
        <f t="shared" si="3"/>
        <v>264556.71000000002</v>
      </c>
      <c r="M25" s="2">
        <f t="shared" si="4"/>
        <v>138738.35999999999</v>
      </c>
      <c r="N25" s="2">
        <f t="shared" si="5"/>
        <v>0</v>
      </c>
      <c r="O25" s="267">
        <f t="shared" si="6"/>
        <v>403295.07</v>
      </c>
      <c r="P25" s="2">
        <f>NETWAG</f>
        <v>1375725.9</v>
      </c>
      <c r="Q25" s="2">
        <f>NETWAG1</f>
        <v>153639.84</v>
      </c>
      <c r="R25" s="2">
        <f t="shared" si="7"/>
        <v>1932660.81</v>
      </c>
      <c r="S25" s="1">
        <f t="shared" si="8"/>
        <v>1932660.81</v>
      </c>
    </row>
    <row r="26" spans="1:19" x14ac:dyDescent="0.2">
      <c r="A26" s="1" t="s">
        <v>147</v>
      </c>
      <c r="B26" s="7">
        <f>WH</f>
        <v>496315</v>
      </c>
      <c r="C26" s="30">
        <f t="shared" si="0"/>
        <v>5.3040659999999996E-3</v>
      </c>
      <c r="D26" s="2">
        <f t="shared" si="1"/>
        <v>8374.35</v>
      </c>
      <c r="E26" s="2">
        <v>203.6</v>
      </c>
      <c r="F26" s="2">
        <f t="shared" si="2"/>
        <v>8170.75</v>
      </c>
      <c r="G26" s="1"/>
      <c r="I26" s="358">
        <f>+I23-I25</f>
        <v>0</v>
      </c>
      <c r="J26" s="14"/>
      <c r="K26" s="1" t="s">
        <v>147</v>
      </c>
      <c r="L26" s="2">
        <f t="shared" si="3"/>
        <v>8170.75</v>
      </c>
      <c r="M26" s="2">
        <f t="shared" si="4"/>
        <v>41967.8</v>
      </c>
      <c r="N26" s="2">
        <f t="shared" si="5"/>
        <v>0</v>
      </c>
      <c r="O26" s="267">
        <f t="shared" si="6"/>
        <v>50138.55</v>
      </c>
      <c r="P26" s="2">
        <f>NETWHG</f>
        <v>42538.85</v>
      </c>
      <c r="Q26" s="2">
        <f>NETWHG1</f>
        <v>4747.5600000000004</v>
      </c>
      <c r="R26" s="2">
        <f t="shared" si="7"/>
        <v>97424.960000000006</v>
      </c>
      <c r="S26" s="1">
        <f t="shared" si="8"/>
        <v>97424.960000000006</v>
      </c>
    </row>
    <row r="27" spans="1:19" ht="21.75" customHeight="1" thickBot="1" x14ac:dyDescent="0.25">
      <c r="A27" s="1" t="s">
        <v>12</v>
      </c>
      <c r="B27" s="34">
        <f>SUM(B10:B26)</f>
        <v>93572554</v>
      </c>
      <c r="C27" s="41">
        <f>ROUND(B27/B$27,4)</f>
        <v>1</v>
      </c>
      <c r="D27" s="131">
        <f>SUM(D10:D26)</f>
        <v>1578855.32</v>
      </c>
      <c r="E27" s="131">
        <f>SUM(E10:E26)</f>
        <v>9258.98</v>
      </c>
      <c r="F27" s="131">
        <f>SUM(F10:F26)</f>
        <v>1569596.34</v>
      </c>
      <c r="G27" s="1"/>
      <c r="H27" s="1"/>
      <c r="I27" s="1"/>
      <c r="J27" s="14"/>
      <c r="K27" s="1" t="s">
        <v>12</v>
      </c>
      <c r="L27" s="131">
        <f t="shared" ref="L27:R27" si="9">SUM(L10:L26)</f>
        <v>1569596.34</v>
      </c>
      <c r="M27" s="131">
        <f t="shared" si="9"/>
        <v>1121140.27</v>
      </c>
      <c r="N27" s="131">
        <f t="shared" si="9"/>
        <v>0</v>
      </c>
      <c r="O27" s="268">
        <f t="shared" si="9"/>
        <v>2690736.61</v>
      </c>
      <c r="P27" s="131">
        <f t="shared" si="9"/>
        <v>7831436.5599999996</v>
      </c>
      <c r="Q27" s="131">
        <f t="shared" si="9"/>
        <v>911631.12</v>
      </c>
      <c r="R27" s="131">
        <f t="shared" si="9"/>
        <v>11433804.289999999</v>
      </c>
      <c r="S27" s="1"/>
    </row>
    <row r="28" spans="1:19" ht="22.5" customHeight="1" x14ac:dyDescent="0.2">
      <c r="A28" s="1"/>
      <c r="B28" s="7"/>
      <c r="C28" s="1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62"/>
      <c r="P28" s="1"/>
      <c r="Q28" s="1"/>
      <c r="R28" s="9"/>
      <c r="S28" s="1"/>
    </row>
    <row r="29" spans="1:19" hidden="1" x14ac:dyDescent="0.2">
      <c r="A29" s="1"/>
      <c r="B29" s="7">
        <f>TOTGAL</f>
        <v>93692007</v>
      </c>
      <c r="C29" s="1"/>
      <c r="D29" s="9">
        <f>I7</f>
        <v>1578855.32</v>
      </c>
      <c r="E29" s="1"/>
      <c r="F29" s="1"/>
      <c r="G29" s="1"/>
      <c r="H29" s="1"/>
      <c r="I29" s="1"/>
      <c r="J29" s="1"/>
      <c r="K29" s="1"/>
      <c r="L29" s="2"/>
      <c r="M29" s="2"/>
      <c r="N29" s="9"/>
      <c r="P29" s="1"/>
      <c r="Q29" s="1"/>
      <c r="R29" s="2"/>
      <c r="S29" s="1"/>
    </row>
    <row r="30" spans="1:19" ht="23.25" customHeight="1" x14ac:dyDescent="0.25">
      <c r="A30" s="63" t="s">
        <v>426</v>
      </c>
      <c r="B30" s="21"/>
      <c r="C30" s="2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69">
        <f>NET5.35</f>
        <v>4798477.41</v>
      </c>
      <c r="P30" s="1"/>
      <c r="Q30" s="1"/>
      <c r="R30" s="2">
        <f>SUM($O$27:$Q$27)</f>
        <v>11433804.289999999</v>
      </c>
      <c r="S30" s="1"/>
    </row>
    <row r="31" spans="1:19" ht="15.75" x14ac:dyDescent="0.25">
      <c r="A31" s="77" t="str">
        <f>ReportMonth</f>
        <v>MAY 2004</v>
      </c>
      <c r="B31" s="21"/>
      <c r="D31" s="1"/>
      <c r="E31" s="1"/>
      <c r="F31" s="1"/>
      <c r="G31" s="1"/>
      <c r="H31" s="1"/>
      <c r="I31" s="1"/>
      <c r="J31" s="1"/>
      <c r="S31" s="1"/>
    </row>
    <row r="32" spans="1:19" ht="15" x14ac:dyDescent="0.2">
      <c r="A32" s="117" t="s">
        <v>108</v>
      </c>
      <c r="B32" s="1"/>
      <c r="C32" s="1"/>
      <c r="D32" s="1"/>
      <c r="E32" s="1"/>
      <c r="F32" s="1"/>
      <c r="G32" s="1"/>
      <c r="H32" s="1"/>
      <c r="I32" s="1"/>
      <c r="J32" s="1"/>
    </row>
    <row r="33" spans="1:10" ht="28.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</row>
    <row r="34" spans="1:10" x14ac:dyDescent="0.2">
      <c r="A34" s="1"/>
      <c r="B34" s="1"/>
      <c r="C34" s="118"/>
      <c r="D34" s="95" t="s">
        <v>149</v>
      </c>
      <c r="E34" s="118" t="s">
        <v>115</v>
      </c>
      <c r="F34" s="5" t="s">
        <v>73</v>
      </c>
      <c r="H34" s="1"/>
      <c r="I34" s="1"/>
      <c r="J34" s="1"/>
    </row>
    <row r="35" spans="1:10" x14ac:dyDescent="0.2">
      <c r="A35" s="1"/>
      <c r="B35" s="1"/>
      <c r="C35" s="123"/>
      <c r="D35" s="38" t="s">
        <v>151</v>
      </c>
      <c r="E35" s="96" t="s">
        <v>122</v>
      </c>
      <c r="F35" s="96" t="s">
        <v>152</v>
      </c>
      <c r="H35" s="1"/>
      <c r="I35" s="1"/>
      <c r="J35" s="1"/>
    </row>
    <row r="36" spans="1:10" x14ac:dyDescent="0.2">
      <c r="A36" s="4"/>
      <c r="B36" s="4"/>
      <c r="C36" s="4"/>
      <c r="H36" s="1"/>
      <c r="I36" s="1"/>
      <c r="J36" s="1"/>
    </row>
    <row r="37" spans="1:10" x14ac:dyDescent="0.2">
      <c r="A37" s="1" t="s">
        <v>131</v>
      </c>
      <c r="B37" s="1"/>
      <c r="C37" s="14"/>
      <c r="D37" s="214">
        <f t="shared" ref="D37:D53" si="10">F37+E37</f>
        <v>19766.349999999999</v>
      </c>
      <c r="E37" s="2">
        <v>138.88</v>
      </c>
      <c r="F37" s="150">
        <f>IF(s3b!$C$4&gt;s3b!$C$2,s3b!T25,s3b!I4)</f>
        <v>19627.47</v>
      </c>
      <c r="H37" s="1"/>
      <c r="I37" s="1"/>
      <c r="J37" s="1"/>
    </row>
    <row r="38" spans="1:10" x14ac:dyDescent="0.2">
      <c r="A38" s="1" t="s">
        <v>132</v>
      </c>
      <c r="B38" s="1"/>
      <c r="C38" s="14"/>
      <c r="D38" s="214">
        <f t="shared" si="10"/>
        <v>28958.78</v>
      </c>
      <c r="E38" s="2">
        <v>112.43</v>
      </c>
      <c r="F38" s="150">
        <f>IF(s3b!$C$4&gt;s3b!$C$2,s3b!T26,s3b!I5)</f>
        <v>28846.35</v>
      </c>
      <c r="H38" s="1"/>
      <c r="I38" s="1"/>
      <c r="J38" s="1"/>
    </row>
    <row r="39" spans="1:10" x14ac:dyDescent="0.2">
      <c r="A39" s="1" t="s">
        <v>133</v>
      </c>
      <c r="B39" s="1"/>
      <c r="C39" s="14"/>
      <c r="D39" s="214">
        <f t="shared" si="10"/>
        <v>521559.5</v>
      </c>
      <c r="E39" s="2">
        <v>3630.83</v>
      </c>
      <c r="F39" s="150">
        <f>IF(s3b!$C$4&gt;s3b!$C$2,s3b!T27,s3b!I6)</f>
        <v>517928.67</v>
      </c>
      <c r="H39" s="1"/>
      <c r="I39" s="1"/>
      <c r="J39" s="9"/>
    </row>
    <row r="40" spans="1:10" x14ac:dyDescent="0.2">
      <c r="A40" s="1" t="s">
        <v>134</v>
      </c>
      <c r="B40" s="1"/>
      <c r="C40" s="14"/>
      <c r="D40" s="214">
        <f t="shared" si="10"/>
        <v>17302.84</v>
      </c>
      <c r="E40" s="2">
        <v>112.43</v>
      </c>
      <c r="F40" s="150">
        <f>IF(s3b!$C$4&gt;s3b!$C$2,s3b!T28,s3b!I7)</f>
        <v>17190.41</v>
      </c>
      <c r="H40" s="1"/>
      <c r="I40" s="1"/>
      <c r="J40" s="2"/>
    </row>
    <row r="41" spans="1:10" x14ac:dyDescent="0.2">
      <c r="A41" s="1" t="s">
        <v>135</v>
      </c>
      <c r="B41" s="1"/>
      <c r="C41" s="14"/>
      <c r="D41" s="214">
        <f t="shared" si="10"/>
        <v>68220.66</v>
      </c>
      <c r="E41" s="2">
        <v>218.25</v>
      </c>
      <c r="F41" s="150">
        <f>IF(s3b!$C$4&gt;s3b!$C$2,s3b!T29,s3b!I8)</f>
        <v>68002.41</v>
      </c>
      <c r="H41" s="1"/>
      <c r="I41" s="1"/>
      <c r="J41" s="2"/>
    </row>
    <row r="42" spans="1:10" x14ac:dyDescent="0.2">
      <c r="A42" s="1" t="s">
        <v>136</v>
      </c>
      <c r="B42" s="1"/>
      <c r="C42" s="14"/>
      <c r="D42" s="214">
        <f t="shared" si="10"/>
        <v>15881.96</v>
      </c>
      <c r="E42" s="2">
        <v>52.91</v>
      </c>
      <c r="F42" s="150">
        <f>IF(s3b!$C$4&gt;s3b!$C$2,s3b!T30,s3b!I9)</f>
        <v>15829.05</v>
      </c>
      <c r="H42" s="1"/>
      <c r="I42" s="1"/>
      <c r="J42" s="2"/>
    </row>
    <row r="43" spans="1:10" x14ac:dyDescent="0.2">
      <c r="A43" s="1" t="s">
        <v>137</v>
      </c>
      <c r="B43" s="1"/>
      <c r="C43" s="14"/>
      <c r="D43" s="214">
        <f t="shared" si="10"/>
        <v>20308.68</v>
      </c>
      <c r="E43" s="2">
        <v>105.82</v>
      </c>
      <c r="F43" s="150">
        <f>IF(s3b!$C$4&gt;s3b!$C$2,s3b!T31,s3b!I10)</f>
        <v>20202.86</v>
      </c>
      <c r="H43" s="1"/>
      <c r="I43" s="1"/>
      <c r="J43" s="2"/>
    </row>
    <row r="44" spans="1:10" x14ac:dyDescent="0.2">
      <c r="A44" s="1" t="s">
        <v>138</v>
      </c>
      <c r="B44" s="1"/>
      <c r="C44" s="14"/>
      <c r="D44" s="214">
        <f t="shared" si="10"/>
        <v>40961.15</v>
      </c>
      <c r="E44" s="2">
        <v>138.88</v>
      </c>
      <c r="F44" s="150">
        <f>IF(s3b!$C$4&gt;s3b!$C$2,s3b!T32,s3b!I11)</f>
        <v>40822.269999999997</v>
      </c>
      <c r="H44" s="1"/>
      <c r="I44" s="1"/>
      <c r="J44" s="2"/>
    </row>
    <row r="45" spans="1:10" x14ac:dyDescent="0.2">
      <c r="A45" s="1" t="s">
        <v>139</v>
      </c>
      <c r="B45" s="1"/>
      <c r="C45" s="14"/>
      <c r="D45" s="214">
        <f t="shared" si="10"/>
        <v>25958.61</v>
      </c>
      <c r="E45" s="2">
        <v>132.27000000000001</v>
      </c>
      <c r="F45" s="150">
        <f>IF(s3b!$C$4&gt;s3b!$C$2,s3b!T33,s3b!I12)</f>
        <v>25826.34</v>
      </c>
      <c r="H45" s="1"/>
      <c r="I45" s="1"/>
      <c r="J45" s="2"/>
    </row>
    <row r="46" spans="1:10" x14ac:dyDescent="0.2">
      <c r="A46" s="1" t="s">
        <v>140</v>
      </c>
      <c r="B46" s="1"/>
      <c r="C46" s="14"/>
      <c r="D46" s="214">
        <f t="shared" si="10"/>
        <v>45199.44</v>
      </c>
      <c r="E46" s="2">
        <v>211.63</v>
      </c>
      <c r="F46" s="150">
        <f>IF(s3b!$C$4&gt;s3b!$C$2,s3b!T34,s3b!I13)</f>
        <v>44987.81</v>
      </c>
      <c r="H46" s="1"/>
      <c r="I46" s="1"/>
      <c r="J46" s="2"/>
    </row>
    <row r="47" spans="1:10" x14ac:dyDescent="0.2">
      <c r="A47" s="1" t="s">
        <v>141</v>
      </c>
      <c r="B47" s="1"/>
      <c r="C47" s="14"/>
      <c r="D47" s="214">
        <f t="shared" si="10"/>
        <v>21470.799999999999</v>
      </c>
      <c r="E47" s="2">
        <v>138.88</v>
      </c>
      <c r="F47" s="150">
        <f>IF(s3b!$C$4&gt;s3b!$C$2,s3b!T35,s3b!I14)</f>
        <v>21331.919999999998</v>
      </c>
      <c r="H47" s="1"/>
      <c r="I47" s="1"/>
      <c r="J47" s="2"/>
    </row>
    <row r="48" spans="1:10" x14ac:dyDescent="0.2">
      <c r="A48" s="1" t="s">
        <v>142</v>
      </c>
      <c r="B48" s="1"/>
      <c r="C48" s="14"/>
      <c r="D48" s="214">
        <f t="shared" si="10"/>
        <v>14625.67</v>
      </c>
      <c r="E48" s="2">
        <v>46.29</v>
      </c>
      <c r="F48" s="150">
        <f>IF(s3b!$C$4&gt;s3b!$C$2,s3b!T36,s3b!I15)</f>
        <v>14579.38</v>
      </c>
      <c r="H48" s="1"/>
      <c r="I48" s="1"/>
      <c r="J48" s="2"/>
    </row>
    <row r="49" spans="1:10" x14ac:dyDescent="0.2">
      <c r="A49" s="1" t="s">
        <v>143</v>
      </c>
      <c r="B49" s="1"/>
      <c r="C49" s="14"/>
      <c r="D49" s="214">
        <f t="shared" si="10"/>
        <v>70792.73</v>
      </c>
      <c r="E49" s="2">
        <v>291</v>
      </c>
      <c r="F49" s="150">
        <f>IF(s3b!$C$4&gt;s3b!$C$2,s3b!T37,s3b!I16)</f>
        <v>70501.73</v>
      </c>
      <c r="H49" s="1"/>
      <c r="I49" s="1"/>
      <c r="J49" s="2"/>
    </row>
    <row r="50" spans="1:10" x14ac:dyDescent="0.2">
      <c r="A50" s="1" t="s">
        <v>144</v>
      </c>
      <c r="B50" s="1"/>
      <c r="C50" s="14"/>
      <c r="D50" s="214">
        <f t="shared" si="10"/>
        <v>32684.639999999999</v>
      </c>
      <c r="E50" s="2">
        <v>218.25</v>
      </c>
      <c r="F50" s="150">
        <f>IF(s3b!$C$4&gt;s3b!$C$2,s3b!T38,s3b!I17)</f>
        <v>32466.39</v>
      </c>
      <c r="H50" s="1"/>
      <c r="I50" s="1"/>
      <c r="J50" s="2"/>
    </row>
    <row r="51" spans="1:10" x14ac:dyDescent="0.2">
      <c r="A51" s="1" t="s">
        <v>145</v>
      </c>
      <c r="B51" s="1"/>
      <c r="C51" s="14"/>
      <c r="D51" s="214">
        <f t="shared" si="10"/>
        <v>2304.2800000000002</v>
      </c>
      <c r="E51" s="2">
        <v>13.23</v>
      </c>
      <c r="F51" s="150">
        <f>IF(s3b!$C$4&gt;s3b!$C$2,s3b!T39,s3b!I18)</f>
        <v>2291.0500000000002</v>
      </c>
      <c r="H51" s="1"/>
      <c r="I51" s="1"/>
      <c r="J51" s="2"/>
    </row>
    <row r="52" spans="1:10" x14ac:dyDescent="0.2">
      <c r="A52" s="1" t="s">
        <v>146</v>
      </c>
      <c r="B52" s="1"/>
      <c r="C52" s="14"/>
      <c r="D52" s="214">
        <f t="shared" si="10"/>
        <v>139651.03</v>
      </c>
      <c r="E52" s="2">
        <v>912.67</v>
      </c>
      <c r="F52" s="150">
        <f>IF(s3b!$C$4&gt;s3b!$C$2,s3b!T40,s3b!I19)</f>
        <v>138738.35999999999</v>
      </c>
      <c r="H52" s="1"/>
      <c r="I52" s="1"/>
      <c r="J52" s="2"/>
    </row>
    <row r="53" spans="1:10" x14ac:dyDescent="0.2">
      <c r="A53" s="1" t="s">
        <v>147</v>
      </c>
      <c r="B53" s="1"/>
      <c r="C53" s="211"/>
      <c r="D53" s="214">
        <f t="shared" si="10"/>
        <v>42106.68</v>
      </c>
      <c r="E53" s="2">
        <v>138.88</v>
      </c>
      <c r="F53" s="150">
        <f>IF(s3b!$C$4&gt;s3b!$C$2,s3b!T41,s3b!I20)</f>
        <v>41967.8</v>
      </c>
      <c r="H53" s="1"/>
      <c r="I53" s="1"/>
      <c r="J53" s="2"/>
    </row>
    <row r="54" spans="1:10" ht="13.5" thickBot="1" x14ac:dyDescent="0.25">
      <c r="A54" s="1" t="s">
        <v>12</v>
      </c>
      <c r="B54" s="1"/>
      <c r="C54" s="211"/>
      <c r="D54" s="131">
        <f>SUM(D37:D53)</f>
        <v>1127753.8</v>
      </c>
      <c r="E54" s="131">
        <f>SUM(E37:E53)</f>
        <v>6613.53</v>
      </c>
      <c r="F54" s="131">
        <f>SUM(F37:F53)</f>
        <v>1121140.27</v>
      </c>
      <c r="H54" s="1"/>
      <c r="I54" s="1"/>
      <c r="J54" s="2"/>
    </row>
    <row r="56" spans="1:10" hidden="1" x14ac:dyDescent="0.2">
      <c r="A56" s="1"/>
      <c r="B56" s="1"/>
      <c r="C56" s="1"/>
      <c r="D56" s="2">
        <f>I8</f>
        <v>1127753.8</v>
      </c>
      <c r="E56" s="1"/>
      <c r="F56" s="1"/>
      <c r="G56" s="1"/>
      <c r="H56" s="1"/>
      <c r="I56" s="1"/>
      <c r="J56" s="9"/>
    </row>
    <row r="57" spans="1:10" hidden="1" x14ac:dyDescent="0.2"/>
    <row r="58" spans="1:10" ht="15.75" hidden="1" x14ac:dyDescent="0.25">
      <c r="A58" s="63" t="s">
        <v>107</v>
      </c>
      <c r="B58" s="63"/>
      <c r="C58" s="63"/>
      <c r="D58" s="1"/>
      <c r="E58" s="1"/>
      <c r="F58" s="1"/>
      <c r="G58" s="1"/>
      <c r="H58" s="1"/>
      <c r="I58" s="1"/>
      <c r="J58" s="1"/>
    </row>
    <row r="59" spans="1:10" ht="15.75" hidden="1" x14ac:dyDescent="0.25">
      <c r="A59" s="77" t="str">
        <f>ReportMonth</f>
        <v>MAY 2004</v>
      </c>
      <c r="B59" s="63"/>
      <c r="D59" s="1"/>
      <c r="E59" s="1"/>
      <c r="F59" s="1"/>
      <c r="G59" s="1"/>
      <c r="H59" s="1"/>
      <c r="I59" s="1"/>
      <c r="J59" s="1"/>
    </row>
    <row r="60" spans="1:10" ht="15" hidden="1" x14ac:dyDescent="0.2">
      <c r="A60" s="117" t="s">
        <v>153</v>
      </c>
      <c r="B60" s="1"/>
      <c r="C60" s="1"/>
      <c r="D60" s="1"/>
      <c r="E60" s="1"/>
      <c r="F60" s="1"/>
      <c r="G60" s="1"/>
      <c r="H60" s="1"/>
      <c r="I60" s="1"/>
      <c r="J60" s="1"/>
    </row>
    <row r="61" spans="1:10" ht="15.75" hidden="1" x14ac:dyDescent="0.25">
      <c r="A61" s="94" t="s">
        <v>419</v>
      </c>
      <c r="B61" s="42"/>
      <c r="C61" s="42"/>
      <c r="D61" s="42"/>
      <c r="E61" s="42"/>
      <c r="F61" s="42"/>
      <c r="G61" s="1"/>
      <c r="H61" s="1"/>
      <c r="I61" s="1"/>
      <c r="J61" s="1"/>
    </row>
    <row r="62" spans="1:10" hidden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</row>
    <row r="63" spans="1:10" hidden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</row>
    <row r="64" spans="1:10" hidden="1" x14ac:dyDescent="0.2">
      <c r="A64" s="1"/>
      <c r="B64" s="1"/>
      <c r="C64" s="1"/>
      <c r="D64" s="1"/>
      <c r="E64" s="1"/>
      <c r="F64" s="5"/>
      <c r="G64" s="1"/>
      <c r="H64" s="1"/>
      <c r="I64" s="1"/>
      <c r="J64" s="1"/>
    </row>
    <row r="65" spans="1:6" hidden="1" x14ac:dyDescent="0.2">
      <c r="A65" s="1"/>
      <c r="B65" s="1"/>
      <c r="C65" s="118"/>
      <c r="D65" s="118" t="s">
        <v>154</v>
      </c>
      <c r="E65" s="118" t="s">
        <v>115</v>
      </c>
      <c r="F65" s="5" t="s">
        <v>73</v>
      </c>
    </row>
    <row r="66" spans="1:6" hidden="1" x14ac:dyDescent="0.2">
      <c r="A66" s="1"/>
      <c r="B66" s="1"/>
      <c r="C66" s="123"/>
      <c r="D66" s="96" t="s">
        <v>121</v>
      </c>
      <c r="E66" s="96" t="s">
        <v>122</v>
      </c>
      <c r="F66" s="96" t="s">
        <v>155</v>
      </c>
    </row>
    <row r="67" spans="1:6" hidden="1" x14ac:dyDescent="0.2"/>
    <row r="68" spans="1:6" hidden="1" x14ac:dyDescent="0.2">
      <c r="A68" s="1" t="s">
        <v>131</v>
      </c>
      <c r="B68" s="1"/>
      <c r="C68" s="14"/>
      <c r="D68" s="2"/>
      <c r="E68" s="2">
        <v>261.10000000000002</v>
      </c>
      <c r="F68" s="2"/>
    </row>
    <row r="69" spans="1:6" hidden="1" x14ac:dyDescent="0.2">
      <c r="A69" s="1" t="s">
        <v>132</v>
      </c>
      <c r="B69" s="1"/>
      <c r="C69" s="14"/>
      <c r="D69" s="2"/>
      <c r="E69" s="2">
        <v>211.37</v>
      </c>
      <c r="F69" s="2"/>
    </row>
    <row r="70" spans="1:6" hidden="1" x14ac:dyDescent="0.2">
      <c r="A70" s="1" t="s">
        <v>133</v>
      </c>
      <c r="B70" s="1"/>
      <c r="C70" s="14"/>
      <c r="D70" s="2"/>
      <c r="E70" s="2">
        <v>6825.96</v>
      </c>
      <c r="F70" s="2"/>
    </row>
    <row r="71" spans="1:6" hidden="1" x14ac:dyDescent="0.2">
      <c r="A71" s="1" t="s">
        <v>134</v>
      </c>
      <c r="B71" s="1"/>
      <c r="C71" s="14"/>
      <c r="D71" s="2"/>
      <c r="E71" s="2">
        <v>211.37</v>
      </c>
      <c r="F71" s="2"/>
    </row>
    <row r="72" spans="1:6" hidden="1" x14ac:dyDescent="0.2">
      <c r="A72" s="1" t="s">
        <v>135</v>
      </c>
      <c r="B72" s="1"/>
      <c r="C72" s="14"/>
      <c r="D72" s="2"/>
      <c r="E72" s="2">
        <v>410.3</v>
      </c>
      <c r="F72" s="2"/>
    </row>
    <row r="73" spans="1:6" hidden="1" x14ac:dyDescent="0.2">
      <c r="A73" s="1" t="s">
        <v>136</v>
      </c>
      <c r="B73" s="1"/>
      <c r="C73" s="14"/>
      <c r="D73" s="2"/>
      <c r="E73" s="2">
        <v>99.47</v>
      </c>
      <c r="F73" s="2"/>
    </row>
    <row r="74" spans="1:6" hidden="1" x14ac:dyDescent="0.2">
      <c r="A74" s="1" t="s">
        <v>137</v>
      </c>
      <c r="B74" s="1"/>
      <c r="C74" s="14"/>
      <c r="D74" s="2"/>
      <c r="E74" s="2">
        <v>198.93</v>
      </c>
      <c r="F74" s="2"/>
    </row>
    <row r="75" spans="1:6" hidden="1" x14ac:dyDescent="0.2">
      <c r="A75" s="1" t="s">
        <v>138</v>
      </c>
      <c r="B75" s="1"/>
      <c r="C75" s="14"/>
      <c r="D75" s="2"/>
      <c r="E75" s="2">
        <v>261.10000000000002</v>
      </c>
      <c r="F75" s="2"/>
    </row>
    <row r="76" spans="1:6" hidden="1" x14ac:dyDescent="0.2">
      <c r="A76" s="1" t="s">
        <v>139</v>
      </c>
      <c r="B76" s="1"/>
      <c r="C76" s="14"/>
      <c r="D76" s="2"/>
      <c r="E76" s="2">
        <v>248.67</v>
      </c>
      <c r="F76" s="2"/>
    </row>
    <row r="77" spans="1:6" hidden="1" x14ac:dyDescent="0.2">
      <c r="A77" s="1" t="s">
        <v>140</v>
      </c>
      <c r="B77" s="1"/>
      <c r="C77" s="14"/>
      <c r="D77" s="2"/>
      <c r="E77" s="2">
        <v>397.87</v>
      </c>
      <c r="F77" s="2"/>
    </row>
    <row r="78" spans="1:6" hidden="1" x14ac:dyDescent="0.2">
      <c r="A78" s="1" t="s">
        <v>141</v>
      </c>
      <c r="B78" s="1"/>
      <c r="C78" s="14"/>
      <c r="D78" s="2"/>
      <c r="E78" s="2">
        <v>261.10000000000002</v>
      </c>
      <c r="F78" s="2"/>
    </row>
    <row r="79" spans="1:6" hidden="1" x14ac:dyDescent="0.2">
      <c r="A79" s="1" t="s">
        <v>142</v>
      </c>
      <c r="B79" s="1"/>
      <c r="C79" s="14"/>
      <c r="D79" s="2"/>
      <c r="E79" s="2">
        <v>87.03</v>
      </c>
      <c r="F79" s="2"/>
    </row>
    <row r="80" spans="1:6" hidden="1" x14ac:dyDescent="0.2">
      <c r="A80" s="1" t="s">
        <v>143</v>
      </c>
      <c r="B80" s="1"/>
      <c r="C80" s="14"/>
      <c r="D80" s="2"/>
      <c r="E80" s="2">
        <v>547.07000000000005</v>
      </c>
      <c r="F80" s="2"/>
    </row>
    <row r="81" spans="1:6" hidden="1" x14ac:dyDescent="0.2">
      <c r="A81" s="1" t="s">
        <v>144</v>
      </c>
      <c r="B81" s="1"/>
      <c r="C81" s="14"/>
      <c r="D81" s="2"/>
      <c r="E81" s="2">
        <v>410.3</v>
      </c>
      <c r="F81" s="2"/>
    </row>
    <row r="82" spans="1:6" hidden="1" x14ac:dyDescent="0.2">
      <c r="A82" s="1" t="s">
        <v>145</v>
      </c>
      <c r="B82" s="1"/>
      <c r="C82" s="14"/>
      <c r="D82" s="2"/>
      <c r="E82" s="2">
        <v>24.87</v>
      </c>
      <c r="F82" s="2"/>
    </row>
    <row r="83" spans="1:6" hidden="1" x14ac:dyDescent="0.2">
      <c r="A83" s="1" t="s">
        <v>146</v>
      </c>
      <c r="B83" s="1"/>
      <c r="C83" s="14"/>
      <c r="D83" s="2"/>
      <c r="E83" s="2">
        <v>1715.81</v>
      </c>
      <c r="F83" s="2"/>
    </row>
    <row r="84" spans="1:6" hidden="1" x14ac:dyDescent="0.2">
      <c r="A84" s="1" t="s">
        <v>147</v>
      </c>
      <c r="B84" s="1"/>
      <c r="C84" s="211"/>
      <c r="D84" s="2"/>
      <c r="E84" s="2">
        <v>261.10000000000002</v>
      </c>
      <c r="F84" s="2"/>
    </row>
    <row r="85" spans="1:6" ht="13.5" hidden="1" thickBot="1" x14ac:dyDescent="0.25">
      <c r="A85" s="1" t="s">
        <v>12</v>
      </c>
      <c r="B85" s="1"/>
      <c r="C85" s="211"/>
      <c r="D85" s="131">
        <f>SUM(D68:D84)</f>
        <v>0</v>
      </c>
      <c r="E85" s="131">
        <f>SUM(E68:E84)</f>
        <v>12433.42</v>
      </c>
      <c r="F85" s="36">
        <f>SUM(F68:F84)</f>
        <v>0</v>
      </c>
    </row>
    <row r="86" spans="1:6" hidden="1" x14ac:dyDescent="0.2"/>
    <row r="87" spans="1:6" hidden="1" x14ac:dyDescent="0.2">
      <c r="A87" s="1"/>
      <c r="B87" s="1"/>
      <c r="C87" s="1"/>
      <c r="D87" s="9">
        <f>I9</f>
        <v>2120174.2400000002</v>
      </c>
      <c r="E87" s="1"/>
      <c r="F87" s="1"/>
    </row>
    <row r="88" spans="1:6" hidden="1" x14ac:dyDescent="0.2"/>
    <row r="89" spans="1:6" hidden="1" x14ac:dyDescent="0.2"/>
    <row r="90" spans="1:6" hidden="1" x14ac:dyDescent="0.2"/>
    <row r="91" spans="1:6" hidden="1" x14ac:dyDescent="0.2"/>
    <row r="92" spans="1:6" hidden="1" x14ac:dyDescent="0.2"/>
    <row r="93" spans="1:6" hidden="1" x14ac:dyDescent="0.2"/>
    <row r="94" spans="1:6" hidden="1" x14ac:dyDescent="0.2"/>
    <row r="95" spans="1:6" hidden="1" x14ac:dyDescent="0.2"/>
    <row r="96" spans="1:6" hidden="1" x14ac:dyDescent="0.2"/>
    <row r="97" spans="1:19" hidden="1" x14ac:dyDescent="0.2">
      <c r="K97" s="394" t="s">
        <v>680</v>
      </c>
      <c r="L97" s="394"/>
      <c r="M97" s="394"/>
      <c r="N97" s="394"/>
      <c r="O97" s="394"/>
      <c r="P97" s="394"/>
      <c r="Q97" s="394"/>
      <c r="R97" s="394"/>
    </row>
    <row r="98" spans="1:19" hidden="1" x14ac:dyDescent="0.2">
      <c r="L98" s="1"/>
      <c r="M98" s="1"/>
      <c r="N98" s="1"/>
      <c r="O98" s="265" t="s">
        <v>73</v>
      </c>
      <c r="P98" s="118" t="s">
        <v>116</v>
      </c>
      <c r="Q98" s="118" t="s">
        <v>117</v>
      </c>
      <c r="R98" s="118" t="s">
        <v>118</v>
      </c>
    </row>
    <row r="99" spans="1:19" x14ac:dyDescent="0.2">
      <c r="L99" s="40" t="s">
        <v>124</v>
      </c>
      <c r="M99" s="40" t="s">
        <v>125</v>
      </c>
      <c r="N99" s="40" t="s">
        <v>126</v>
      </c>
      <c r="O99" s="266" t="s">
        <v>127</v>
      </c>
      <c r="P99" s="96" t="s">
        <v>128</v>
      </c>
      <c r="Q99" s="96" t="s">
        <v>129</v>
      </c>
      <c r="R99" s="40" t="s">
        <v>231</v>
      </c>
    </row>
    <row r="100" spans="1:19" ht="15.75" x14ac:dyDescent="0.25">
      <c r="A100" s="63" t="s">
        <v>427</v>
      </c>
      <c r="B100" s="63"/>
      <c r="D100" s="1"/>
      <c r="E100" s="262"/>
      <c r="F100" s="1"/>
      <c r="G100" s="1"/>
      <c r="H100" s="1"/>
      <c r="K100" s="154" t="s">
        <v>681</v>
      </c>
      <c r="L100" s="222">
        <f>+s3a!J51</f>
        <v>2911.37</v>
      </c>
      <c r="M100" s="222">
        <f>+Q108</f>
        <v>5337.87</v>
      </c>
      <c r="N100" s="222">
        <f>+$Q$109*s3c!F108</f>
        <v>5751.77</v>
      </c>
      <c r="O100" s="274">
        <f>+L100+M100+N100</f>
        <v>14001.01</v>
      </c>
      <c r="P100" s="222">
        <f>+Q111</f>
        <v>38510.75</v>
      </c>
      <c r="Q100" s="222">
        <f>ROUND(+$Q$112*s3c!I108,2)</f>
        <v>1148.81</v>
      </c>
      <c r="R100" s="222">
        <f>+O100+P100+Q100</f>
        <v>53660.57</v>
      </c>
    </row>
    <row r="101" spans="1:19" ht="15.75" x14ac:dyDescent="0.25">
      <c r="A101" s="77" t="str">
        <f>ReportMonth</f>
        <v>MAY 2004</v>
      </c>
      <c r="B101" s="63"/>
      <c r="C101" s="63"/>
      <c r="D101" s="1"/>
      <c r="E101" s="262"/>
      <c r="F101" s="1"/>
      <c r="G101" s="1"/>
      <c r="H101" s="1"/>
      <c r="K101" s="154" t="s">
        <v>682</v>
      </c>
      <c r="L101" s="222">
        <f>+s3a!J52</f>
        <v>3422.92</v>
      </c>
      <c r="M101" s="222"/>
      <c r="N101" s="222">
        <f>+$Q$109*s3c!F109+0.01</f>
        <v>3099.96</v>
      </c>
      <c r="O101" s="274">
        <f>+L101+M101+N101</f>
        <v>6522.88</v>
      </c>
      <c r="P101" s="222"/>
      <c r="Q101" s="222">
        <f>ROUND(+$Q$112*s3c!I109,2)</f>
        <v>2239.98</v>
      </c>
      <c r="R101" s="222">
        <f>+O101+P101+Q101</f>
        <v>8762.86</v>
      </c>
    </row>
    <row r="102" spans="1:19" ht="15.75" x14ac:dyDescent="0.25">
      <c r="A102" s="94" t="s">
        <v>111</v>
      </c>
      <c r="B102" s="43"/>
      <c r="C102" s="43"/>
      <c r="D102" s="43"/>
      <c r="E102" s="263"/>
      <c r="F102" s="43"/>
      <c r="G102" s="43"/>
      <c r="H102" s="43"/>
      <c r="K102" s="154" t="s">
        <v>683</v>
      </c>
      <c r="L102" s="222">
        <f>+s3a!J53</f>
        <v>1154.6500000000001</v>
      </c>
      <c r="M102" s="222"/>
      <c r="N102" s="222">
        <f>+$Q$109*s3c!F110</f>
        <v>1202.5999999999999</v>
      </c>
      <c r="O102" s="274">
        <f>+L102+M102+N102</f>
        <v>2357.25</v>
      </c>
      <c r="P102" s="222"/>
      <c r="Q102" s="222">
        <f>ROUND(+$Q$112*s3c!I110,2)</f>
        <v>897.44</v>
      </c>
      <c r="R102" s="222">
        <f>+O102+P102+Q102</f>
        <v>3254.69</v>
      </c>
    </row>
    <row r="103" spans="1:19" x14ac:dyDescent="0.2">
      <c r="A103" s="1"/>
      <c r="B103" s="1"/>
      <c r="C103" s="1"/>
      <c r="D103" s="1"/>
      <c r="E103" s="265" t="s">
        <v>73</v>
      </c>
      <c r="F103" s="118" t="s">
        <v>116</v>
      </c>
      <c r="G103" s="118" t="s">
        <v>117</v>
      </c>
      <c r="H103" s="118" t="s">
        <v>118</v>
      </c>
      <c r="K103" s="359" t="s">
        <v>684</v>
      </c>
      <c r="L103" s="360">
        <f>+L100+L101+L102</f>
        <v>7488.94</v>
      </c>
      <c r="M103" s="360">
        <f>+M100+M101+M102</f>
        <v>5337.87</v>
      </c>
      <c r="N103" s="360">
        <f>SUM(N100:N102)</f>
        <v>10054.33</v>
      </c>
      <c r="O103" s="361">
        <f>SUM(O100:O102)</f>
        <v>22881.14</v>
      </c>
      <c r="P103" s="360">
        <f>+P100+P101+P102</f>
        <v>38510.75</v>
      </c>
      <c r="Q103" s="360">
        <f>+Q100+Q101+Q102</f>
        <v>4286.2299999999996</v>
      </c>
      <c r="R103" s="360">
        <f>+O103+P103+Q103</f>
        <v>65678.12</v>
      </c>
    </row>
    <row r="104" spans="1:19" x14ac:dyDescent="0.2">
      <c r="A104" s="4"/>
      <c r="B104" s="40" t="s">
        <v>124</v>
      </c>
      <c r="C104" s="40" t="s">
        <v>125</v>
      </c>
      <c r="D104" s="40" t="s">
        <v>126</v>
      </c>
      <c r="E104" s="266" t="s">
        <v>127</v>
      </c>
      <c r="F104" s="96" t="s">
        <v>128</v>
      </c>
      <c r="G104" s="96" t="s">
        <v>129</v>
      </c>
      <c r="H104" s="40" t="s">
        <v>231</v>
      </c>
      <c r="L104" s="222"/>
      <c r="M104" s="222"/>
      <c r="N104" s="222"/>
      <c r="O104" s="274"/>
      <c r="P104" s="222"/>
      <c r="Q104" s="222"/>
      <c r="R104" s="222">
        <f>+R100+R101+R102</f>
        <v>65678.12</v>
      </c>
      <c r="S104" s="222">
        <f>+R103-R104</f>
        <v>0</v>
      </c>
    </row>
    <row r="105" spans="1:19" x14ac:dyDescent="0.2">
      <c r="A105" s="1"/>
      <c r="B105" s="2"/>
      <c r="C105" s="1"/>
      <c r="D105" s="1"/>
      <c r="E105" s="262"/>
      <c r="F105" s="1"/>
      <c r="G105" s="1"/>
      <c r="H105" s="1"/>
      <c r="O105" s="362"/>
      <c r="P105" s="283"/>
      <c r="Q105" s="283"/>
      <c r="R105" s="283"/>
    </row>
    <row r="106" spans="1:19" x14ac:dyDescent="0.2">
      <c r="A106" s="218" t="s">
        <v>21</v>
      </c>
      <c r="B106" s="219">
        <f>s3a!K8</f>
        <v>52802.96</v>
      </c>
      <c r="C106" s="219">
        <f>F37</f>
        <v>19627.47</v>
      </c>
      <c r="D106" s="219">
        <f>s3c!G71</f>
        <v>36899.57</v>
      </c>
      <c r="E106" s="270">
        <f>SUM(B106:D106)</f>
        <v>109330</v>
      </c>
      <c r="F106" s="219">
        <f>P10</f>
        <v>274637.69</v>
      </c>
      <c r="G106" s="219">
        <f>+s3c!H71</f>
        <v>30668.77</v>
      </c>
      <c r="H106" s="220">
        <f t="shared" ref="H106:H143" si="11">SUM(E106:G106)</f>
        <v>414636.46</v>
      </c>
      <c r="K106" t="s">
        <v>685</v>
      </c>
      <c r="L106" t="s">
        <v>601</v>
      </c>
      <c r="M106" t="s">
        <v>679</v>
      </c>
      <c r="N106" t="s">
        <v>686</v>
      </c>
      <c r="O106" s="362" t="s">
        <v>687</v>
      </c>
      <c r="P106" s="283" t="s">
        <v>688</v>
      </c>
      <c r="Q106" s="283" t="s">
        <v>689</v>
      </c>
      <c r="R106" s="283"/>
    </row>
    <row r="107" spans="1:19" x14ac:dyDescent="0.2">
      <c r="A107" s="154" t="s">
        <v>22</v>
      </c>
      <c r="B107" s="221">
        <f>s3a!K9</f>
        <v>4493.1499999999996</v>
      </c>
      <c r="C107" s="221">
        <f>F38</f>
        <v>28846.35</v>
      </c>
      <c r="D107" s="221">
        <f>s3c!G72</f>
        <v>47415.37</v>
      </c>
      <c r="E107" s="271">
        <f>SUM(B107:D107)</f>
        <v>80754.87</v>
      </c>
      <c r="F107" s="221">
        <f>P11</f>
        <v>31617.64</v>
      </c>
      <c r="G107" s="221">
        <f>+s3c!H72</f>
        <v>2381.2399999999998</v>
      </c>
      <c r="H107" s="222">
        <f t="shared" si="11"/>
        <v>114753.75</v>
      </c>
      <c r="K107">
        <v>1.75</v>
      </c>
      <c r="L107" s="1">
        <v>1.7140200000000001E-2</v>
      </c>
      <c r="M107" s="363">
        <v>2.7400000000000001E-2</v>
      </c>
      <c r="N107" s="20">
        <f>ROUND(L107*M107,6)</f>
        <v>4.6999999999999999E-4</v>
      </c>
      <c r="O107" s="364">
        <f>N107/$N$113</f>
        <v>0.114025086</v>
      </c>
      <c r="P107" s="222">
        <f>+I14</f>
        <v>65678.12</v>
      </c>
      <c r="Q107" s="222">
        <f>+$P$107*O107</f>
        <v>7488.95</v>
      </c>
    </row>
    <row r="108" spans="1:19" x14ac:dyDescent="0.2">
      <c r="A108" s="197" t="s">
        <v>372</v>
      </c>
      <c r="B108" s="221">
        <f>s3a!K10</f>
        <v>1584.92</v>
      </c>
      <c r="C108" s="221"/>
      <c r="D108" s="221">
        <f>s3c!G73</f>
        <v>6815.77</v>
      </c>
      <c r="E108" s="271">
        <f>SUM(B108:D108)</f>
        <v>8400.69</v>
      </c>
      <c r="F108" s="221"/>
      <c r="G108" s="221">
        <f>+s3c!H73</f>
        <v>1149.71</v>
      </c>
      <c r="H108" s="222">
        <f t="shared" si="11"/>
        <v>9550.4</v>
      </c>
      <c r="K108">
        <v>1.25</v>
      </c>
      <c r="L108">
        <v>1.2243E-2</v>
      </c>
      <c r="M108" s="363">
        <v>2.7400000000000001E-2</v>
      </c>
      <c r="N108" s="20">
        <f>ROUND(L108*M108,6)</f>
        <v>3.3500000000000001E-4</v>
      </c>
      <c r="O108" s="364">
        <f>N108/$N$113</f>
        <v>8.1273199000000004E-2</v>
      </c>
      <c r="P108" s="222" t="s">
        <v>82</v>
      </c>
      <c r="Q108" s="222">
        <f>+$P$107*O108</f>
        <v>5337.87</v>
      </c>
    </row>
    <row r="109" spans="1:19" x14ac:dyDescent="0.2">
      <c r="A109" s="217" t="s">
        <v>428</v>
      </c>
      <c r="B109" s="219">
        <f>SUM(B107:B108)</f>
        <v>6078.07</v>
      </c>
      <c r="C109" s="219">
        <f>C107</f>
        <v>28846.35</v>
      </c>
      <c r="D109" s="219">
        <f>s3c!G74</f>
        <v>54231.14</v>
      </c>
      <c r="E109" s="270">
        <f>SUM(E107:E108)</f>
        <v>89155.56</v>
      </c>
      <c r="F109" s="219">
        <f>P11</f>
        <v>31617.64</v>
      </c>
      <c r="G109" s="219">
        <f>SUM(G107:G108)</f>
        <v>3530.95</v>
      </c>
      <c r="H109" s="220">
        <f t="shared" si="11"/>
        <v>124304.15</v>
      </c>
      <c r="K109">
        <v>2.35</v>
      </c>
      <c r="L109" s="1">
        <v>2.30168E-2</v>
      </c>
      <c r="M109" s="363">
        <v>2.7400000000000001E-2</v>
      </c>
      <c r="N109" s="20">
        <f>ROUND(L109*M109,6)</f>
        <v>6.3100000000000005E-4</v>
      </c>
      <c r="O109" s="364">
        <f>N109/$N$113</f>
        <v>0.153084742</v>
      </c>
      <c r="P109" s="222" t="s">
        <v>82</v>
      </c>
      <c r="Q109" s="222">
        <f>+$P$107*O109</f>
        <v>10054.32</v>
      </c>
      <c r="R109" s="222" t="s">
        <v>82</v>
      </c>
      <c r="S109" s="222" t="str">
        <f>+R109</f>
        <v xml:space="preserve"> </v>
      </c>
    </row>
    <row r="110" spans="1:19" x14ac:dyDescent="0.2">
      <c r="A110" s="154" t="s">
        <v>23</v>
      </c>
      <c r="B110" s="221">
        <f>s3a!K12</f>
        <v>543581.68999999994</v>
      </c>
      <c r="C110" s="221">
        <f>F39</f>
        <v>517928.67</v>
      </c>
      <c r="D110" s="221">
        <f>s3c!G75</f>
        <v>603228.94999999995</v>
      </c>
      <c r="E110" s="271">
        <f t="shared" ref="E110:E115" si="12">SUM(B110:D110)</f>
        <v>1664739.31</v>
      </c>
      <c r="F110" s="221">
        <f>P12</f>
        <v>5525244.9299999997</v>
      </c>
      <c r="G110" s="221">
        <f>+s3c!H75</f>
        <v>263382.03000000003</v>
      </c>
      <c r="H110" s="222">
        <f t="shared" si="11"/>
        <v>7453366.2699999996</v>
      </c>
      <c r="K110" s="356" t="s">
        <v>690</v>
      </c>
      <c r="L110" s="365">
        <f>+L108+L109+L107</f>
        <v>5.2400000000000002E-2</v>
      </c>
      <c r="M110" s="344">
        <v>2.7400000000000001E-2</v>
      </c>
      <c r="N110" s="345">
        <f>ROUND(L110*M110,6)</f>
        <v>1.436E-3</v>
      </c>
      <c r="O110" s="346">
        <f>SUM(O107:O109)</f>
        <v>0.34838302700000001</v>
      </c>
      <c r="P110" s="220" t="s">
        <v>82</v>
      </c>
      <c r="Q110" s="220">
        <f>+Q107+Q108+Q109</f>
        <v>22881.14</v>
      </c>
      <c r="R110" s="222">
        <f>+O103</f>
        <v>22881.14</v>
      </c>
      <c r="S110" s="222">
        <f>+Q110-R110</f>
        <v>0</v>
      </c>
    </row>
    <row r="111" spans="1:19" x14ac:dyDescent="0.2">
      <c r="A111" s="154" t="s">
        <v>373</v>
      </c>
      <c r="B111" s="221">
        <f>s3a!K13</f>
        <v>11084.09</v>
      </c>
      <c r="C111" s="221"/>
      <c r="D111" s="221">
        <f>s3c!G76</f>
        <v>13164.47</v>
      </c>
      <c r="E111" s="271">
        <f t="shared" si="12"/>
        <v>24248.560000000001</v>
      </c>
      <c r="F111" s="221"/>
      <c r="G111" s="221">
        <f>+s3c!H76</f>
        <v>5909.66</v>
      </c>
      <c r="H111" s="222">
        <f t="shared" si="11"/>
        <v>30158.22</v>
      </c>
      <c r="K111">
        <v>0.09</v>
      </c>
      <c r="L111" s="20">
        <v>8.8200000000000001E-2</v>
      </c>
      <c r="M111" s="366">
        <v>2.7400000000000001E-2</v>
      </c>
      <c r="N111" s="20">
        <f>ROUND(L111*M111,6)-0.0000001</f>
        <v>2.4169E-3</v>
      </c>
      <c r="O111" s="364">
        <f>N111/$N$113</f>
        <v>0.58635580700000001</v>
      </c>
      <c r="P111" s="222" t="s">
        <v>82</v>
      </c>
      <c r="Q111" s="222">
        <f>+$P$107*O111</f>
        <v>38510.75</v>
      </c>
    </row>
    <row r="112" spans="1:19" x14ac:dyDescent="0.2">
      <c r="A112" s="154" t="s">
        <v>374</v>
      </c>
      <c r="B112" s="221">
        <f>s3a!K14</f>
        <v>161753</v>
      </c>
      <c r="C112" s="221"/>
      <c r="D112" s="221">
        <f>s3c!G77</f>
        <v>86591.47</v>
      </c>
      <c r="E112" s="271">
        <f t="shared" si="12"/>
        <v>248344.47</v>
      </c>
      <c r="F112" s="221"/>
      <c r="G112" s="221">
        <f>+s3c!H77</f>
        <v>83407.73</v>
      </c>
      <c r="H112" s="222">
        <f t="shared" si="11"/>
        <v>331752.2</v>
      </c>
      <c r="K112">
        <v>0.01</v>
      </c>
      <c r="L112">
        <v>9.7999999999999997E-3</v>
      </c>
      <c r="M112" s="363">
        <v>2.7400000000000001E-2</v>
      </c>
      <c r="N112" s="20">
        <f>ROUND(L112*M112,6)</f>
        <v>2.6899999999999998E-4</v>
      </c>
      <c r="O112" s="364">
        <f>N112/$N$113</f>
        <v>6.5261165999999995E-2</v>
      </c>
      <c r="P112" s="222" t="s">
        <v>82</v>
      </c>
      <c r="Q112" s="222">
        <f>+$P$107*O112</f>
        <v>4286.2299999999996</v>
      </c>
    </row>
    <row r="113" spans="1:18" x14ac:dyDescent="0.2">
      <c r="A113" s="154" t="s">
        <v>375</v>
      </c>
      <c r="B113" s="221">
        <f>s3a!K15</f>
        <v>272943.45</v>
      </c>
      <c r="C113" s="221"/>
      <c r="D113" s="221">
        <f>s3c!G78</f>
        <v>204711.48</v>
      </c>
      <c r="E113" s="271">
        <f t="shared" si="12"/>
        <v>477654.93</v>
      </c>
      <c r="F113" s="221"/>
      <c r="G113" s="221">
        <f>+s3c!H78</f>
        <v>204906.17</v>
      </c>
      <c r="H113" s="222">
        <f t="shared" si="11"/>
        <v>682561.1</v>
      </c>
      <c r="K113" s="356" t="s">
        <v>691</v>
      </c>
      <c r="L113" s="365">
        <f>+L110+L111+L112</f>
        <v>0.15040000000000001</v>
      </c>
      <c r="M113" s="367">
        <f>+M112</f>
        <v>2.7400000000000001E-2</v>
      </c>
      <c r="N113" s="368">
        <f>+N111+N112+N110</f>
        <v>4.1219000000000004E-3</v>
      </c>
      <c r="O113" s="346">
        <f>+O110+O111+O112</f>
        <v>1</v>
      </c>
      <c r="P113" s="220" t="s">
        <v>82</v>
      </c>
      <c r="Q113" s="220">
        <f>+Q110+Q111+Q112</f>
        <v>65678.12</v>
      </c>
      <c r="R113" s="222">
        <f>+P107-Q113</f>
        <v>0</v>
      </c>
    </row>
    <row r="114" spans="1:18" x14ac:dyDescent="0.2">
      <c r="A114" s="154" t="s">
        <v>376</v>
      </c>
      <c r="B114" s="221">
        <f>s3a!K16</f>
        <v>7929.05</v>
      </c>
      <c r="C114" s="221"/>
      <c r="D114" s="221">
        <f>s3c!G79</f>
        <v>5462.48</v>
      </c>
      <c r="E114" s="271">
        <f t="shared" si="12"/>
        <v>13391.53</v>
      </c>
      <c r="F114" s="221"/>
      <c r="G114" s="221">
        <f>+s3c!H79</f>
        <v>5261.8</v>
      </c>
      <c r="H114" s="222">
        <f t="shared" si="11"/>
        <v>18653.330000000002</v>
      </c>
    </row>
    <row r="115" spans="1:18" x14ac:dyDescent="0.2">
      <c r="A115" s="154" t="s">
        <v>377</v>
      </c>
      <c r="B115" s="221">
        <f>s3a!K17</f>
        <v>65014.16</v>
      </c>
      <c r="C115" s="221"/>
      <c r="D115" s="221">
        <f>s3c!G80</f>
        <v>60544.9</v>
      </c>
      <c r="E115" s="271">
        <f t="shared" si="12"/>
        <v>125559.06</v>
      </c>
      <c r="F115" s="221"/>
      <c r="G115" s="221">
        <f>+s3c!H80</f>
        <v>54135.87</v>
      </c>
      <c r="H115" s="222">
        <f t="shared" si="11"/>
        <v>179694.93</v>
      </c>
    </row>
    <row r="116" spans="1:18" x14ac:dyDescent="0.2">
      <c r="A116" s="217" t="s">
        <v>428</v>
      </c>
      <c r="B116" s="219">
        <f>SUM(B110:B115)</f>
        <v>1062305.44</v>
      </c>
      <c r="C116" s="223">
        <f>C110</f>
        <v>517928.67</v>
      </c>
      <c r="D116" s="219">
        <f>s3c!G81</f>
        <v>973703.75</v>
      </c>
      <c r="E116" s="270">
        <f>SUM(E110:E115)</f>
        <v>2553937.86</v>
      </c>
      <c r="F116" s="219">
        <f>P12</f>
        <v>5525244.9299999997</v>
      </c>
      <c r="G116" s="219">
        <f>SUM(G110:G115)</f>
        <v>617003.26</v>
      </c>
      <c r="H116" s="220">
        <f t="shared" si="11"/>
        <v>8696186.0500000007</v>
      </c>
    </row>
    <row r="117" spans="1:18" x14ac:dyDescent="0.2">
      <c r="A117" s="218" t="s">
        <v>24</v>
      </c>
      <c r="B117" s="219">
        <f>s3a!K19</f>
        <v>36040.11</v>
      </c>
      <c r="C117" s="219">
        <f>F40</f>
        <v>17190.41</v>
      </c>
      <c r="D117" s="219">
        <f>s3c!G82</f>
        <v>32317.93</v>
      </c>
      <c r="E117" s="272">
        <f t="shared" ref="E117:E122" si="13">SUM(B117:D117)</f>
        <v>85548.45</v>
      </c>
      <c r="F117" s="220">
        <f>P13</f>
        <v>83311.72</v>
      </c>
      <c r="G117" s="219">
        <f>+s3c!H82</f>
        <v>20932.689999999999</v>
      </c>
      <c r="H117" s="220">
        <f t="shared" si="11"/>
        <v>189792.86</v>
      </c>
    </row>
    <row r="118" spans="1:18" x14ac:dyDescent="0.2">
      <c r="A118" s="154" t="s">
        <v>25</v>
      </c>
      <c r="B118" s="221">
        <f>s3a!K20</f>
        <v>22645.4</v>
      </c>
      <c r="C118" s="221">
        <f>F41</f>
        <v>68002.41</v>
      </c>
      <c r="D118" s="221">
        <f>s3c!G83</f>
        <v>99243.14</v>
      </c>
      <c r="E118" s="271">
        <f t="shared" si="13"/>
        <v>189890.95</v>
      </c>
      <c r="F118" s="221">
        <f>P14</f>
        <v>95320.44</v>
      </c>
      <c r="G118" s="221">
        <f>+s3c!H83</f>
        <v>11190.79</v>
      </c>
      <c r="H118" s="222">
        <f t="shared" si="11"/>
        <v>296402.18</v>
      </c>
    </row>
    <row r="119" spans="1:18" x14ac:dyDescent="0.2">
      <c r="A119" s="154" t="s">
        <v>378</v>
      </c>
      <c r="B119" s="221">
        <f>s3a!K21</f>
        <v>921.73</v>
      </c>
      <c r="C119" s="221"/>
      <c r="D119" s="221">
        <f>s3c!G84</f>
        <v>2292.25</v>
      </c>
      <c r="E119" s="271">
        <f t="shared" si="13"/>
        <v>3213.98</v>
      </c>
      <c r="F119" s="221"/>
      <c r="G119" s="221">
        <f>+s3c!H84</f>
        <v>1066.46</v>
      </c>
      <c r="H119" s="222">
        <f t="shared" si="11"/>
        <v>4280.4399999999996</v>
      </c>
    </row>
    <row r="120" spans="1:18" x14ac:dyDescent="0.2">
      <c r="A120" s="154" t="s">
        <v>135</v>
      </c>
      <c r="B120" s="221">
        <f>s3a!K22</f>
        <v>13134.26</v>
      </c>
      <c r="C120" s="221"/>
      <c r="D120" s="221">
        <f>s3c!G85</f>
        <v>20423.16</v>
      </c>
      <c r="E120" s="271">
        <f t="shared" si="13"/>
        <v>33557.42</v>
      </c>
      <c r="F120" s="221"/>
      <c r="G120" s="221">
        <f>+s3c!H85</f>
        <v>8582.18</v>
      </c>
      <c r="H120" s="222">
        <f t="shared" si="11"/>
        <v>42139.6</v>
      </c>
    </row>
    <row r="121" spans="1:18" x14ac:dyDescent="0.2">
      <c r="A121" s="154" t="s">
        <v>379</v>
      </c>
      <c r="B121" s="221">
        <f>s3a!K23</f>
        <v>748.82</v>
      </c>
      <c r="C121" s="221"/>
      <c r="D121" s="221">
        <f>s3c!G86</f>
        <v>1924.06</v>
      </c>
      <c r="E121" s="271">
        <f t="shared" si="13"/>
        <v>2672.88</v>
      </c>
      <c r="F121" s="221"/>
      <c r="G121" s="221">
        <f>+s3c!H86</f>
        <v>714.25</v>
      </c>
      <c r="H121" s="222">
        <f t="shared" si="11"/>
        <v>3387.13</v>
      </c>
    </row>
    <row r="122" spans="1:18" x14ac:dyDescent="0.2">
      <c r="A122" s="154" t="s">
        <v>380</v>
      </c>
      <c r="B122" s="221">
        <f>s3a!K24</f>
        <v>3786.89</v>
      </c>
      <c r="C122" s="221"/>
      <c r="D122" s="221">
        <f>s3c!G87</f>
        <v>3961.9</v>
      </c>
      <c r="E122" s="271">
        <f t="shared" si="13"/>
        <v>7748.79</v>
      </c>
      <c r="F122" s="221"/>
      <c r="G122" s="221">
        <f>+s3c!H87</f>
        <v>2396.7399999999998</v>
      </c>
      <c r="H122" s="222">
        <f t="shared" si="11"/>
        <v>10145.530000000001</v>
      </c>
    </row>
    <row r="123" spans="1:18" x14ac:dyDescent="0.2">
      <c r="A123" s="217" t="s">
        <v>428</v>
      </c>
      <c r="B123" s="219">
        <f>SUM(B118:B122)</f>
        <v>41237.1</v>
      </c>
      <c r="C123" s="223">
        <f>C118</f>
        <v>68002.41</v>
      </c>
      <c r="D123" s="219">
        <f>s3c!G88</f>
        <v>127844.51</v>
      </c>
      <c r="E123" s="270">
        <f>SUM(E118:E122)</f>
        <v>237084.02</v>
      </c>
      <c r="F123" s="219">
        <f>P14</f>
        <v>95320.44</v>
      </c>
      <c r="G123" s="219">
        <f>SUM(G118:G122)</f>
        <v>23950.42</v>
      </c>
      <c r="H123" s="220">
        <f t="shared" si="11"/>
        <v>356354.88</v>
      </c>
    </row>
    <row r="124" spans="1:18" x14ac:dyDescent="0.2">
      <c r="A124" s="218" t="s">
        <v>26</v>
      </c>
      <c r="B124" s="219">
        <f>s3a!K26</f>
        <v>353.58</v>
      </c>
      <c r="C124" s="219">
        <f>F42</f>
        <v>15829.05</v>
      </c>
      <c r="D124" s="219">
        <f>s3c!G89</f>
        <v>29758.6</v>
      </c>
      <c r="E124" s="272">
        <f>SUM(B124:D124)</f>
        <v>45941.23</v>
      </c>
      <c r="F124" s="220">
        <f>P15</f>
        <v>817.32</v>
      </c>
      <c r="G124" s="219">
        <f>+s3c!H89</f>
        <v>205.36</v>
      </c>
      <c r="H124" s="220">
        <f t="shared" si="11"/>
        <v>46963.91</v>
      </c>
    </row>
    <row r="125" spans="1:18" x14ac:dyDescent="0.2">
      <c r="A125" s="242" t="s">
        <v>27</v>
      </c>
      <c r="B125" s="243">
        <f>s3a!K27</f>
        <v>1489.64</v>
      </c>
      <c r="C125" s="243">
        <f>F43</f>
        <v>20202.86</v>
      </c>
      <c r="D125" s="243">
        <f>s3c!G90</f>
        <v>37981.370000000003</v>
      </c>
      <c r="E125" s="273">
        <f>SUM(B125:D125)</f>
        <v>59673.87</v>
      </c>
      <c r="F125" s="244">
        <f>P16</f>
        <v>3445.03</v>
      </c>
      <c r="G125" s="243">
        <f>+s3c!H90</f>
        <v>865.77</v>
      </c>
      <c r="H125" s="244">
        <f t="shared" si="11"/>
        <v>63984.67</v>
      </c>
    </row>
    <row r="126" spans="1:18" x14ac:dyDescent="0.2">
      <c r="A126" s="154" t="s">
        <v>28</v>
      </c>
      <c r="B126" s="221">
        <f>s3a!K28</f>
        <v>13645.69</v>
      </c>
      <c r="C126" s="221">
        <f>F44</f>
        <v>40822.269999999997</v>
      </c>
      <c r="D126" s="221">
        <f>s3c!G91</f>
        <v>64706.75</v>
      </c>
      <c r="E126" s="274">
        <f>SUM(B126:D126)</f>
        <v>119174.71</v>
      </c>
      <c r="F126" s="222">
        <f>P17</f>
        <v>93280.04</v>
      </c>
      <c r="G126" s="221">
        <f>+s3c!H91</f>
        <v>5796.3</v>
      </c>
      <c r="H126" s="222">
        <f t="shared" si="11"/>
        <v>218251.05</v>
      </c>
    </row>
    <row r="127" spans="1:18" x14ac:dyDescent="0.2">
      <c r="A127" s="154" t="s">
        <v>381</v>
      </c>
      <c r="B127" s="221">
        <f>s3a!K29</f>
        <v>4286.1400000000003</v>
      </c>
      <c r="C127" s="222"/>
      <c r="D127" s="221">
        <f>s3c!G92</f>
        <v>12039.12</v>
      </c>
      <c r="E127" s="274">
        <f>SUM(B127:D127)</f>
        <v>16325.26</v>
      </c>
      <c r="F127" s="222"/>
      <c r="G127" s="221">
        <f>+s3c!H92</f>
        <v>4620.95</v>
      </c>
      <c r="H127" s="222">
        <f t="shared" si="11"/>
        <v>20946.21</v>
      </c>
    </row>
    <row r="128" spans="1:18" x14ac:dyDescent="0.2">
      <c r="A128" s="217" t="s">
        <v>428</v>
      </c>
      <c r="B128" s="219">
        <f>SUM(B126:B127)</f>
        <v>17931.830000000002</v>
      </c>
      <c r="C128" s="223">
        <f>C126</f>
        <v>40822.269999999997</v>
      </c>
      <c r="D128" s="219">
        <f>s3c!G93</f>
        <v>76745.87</v>
      </c>
      <c r="E128" s="270">
        <f>SUM(E126:E127)</f>
        <v>135499.97</v>
      </c>
      <c r="F128" s="219">
        <f>P17</f>
        <v>93280.04</v>
      </c>
      <c r="G128" s="219">
        <f>SUM(G126:G127)</f>
        <v>10417.25</v>
      </c>
      <c r="H128" s="220">
        <f t="shared" si="11"/>
        <v>239197.26</v>
      </c>
    </row>
    <row r="129" spans="1:8" x14ac:dyDescent="0.2">
      <c r="A129" s="154" t="s">
        <v>29</v>
      </c>
      <c r="B129" s="221">
        <f>s3a!K31</f>
        <v>6163.13</v>
      </c>
      <c r="C129" s="221">
        <f>F45</f>
        <v>25826.34</v>
      </c>
      <c r="D129" s="221">
        <f>s3c!G94</f>
        <v>48553.51</v>
      </c>
      <c r="E129" s="274">
        <f>SUM(B129:D129)</f>
        <v>80542.98</v>
      </c>
      <c r="F129" s="222">
        <f>P18</f>
        <v>30618.53</v>
      </c>
      <c r="G129" s="221">
        <f>+s3c!H94</f>
        <v>3586.16</v>
      </c>
      <c r="H129" s="222">
        <f t="shared" si="11"/>
        <v>114747.67</v>
      </c>
    </row>
    <row r="130" spans="1:8" x14ac:dyDescent="0.2">
      <c r="A130" s="216" t="s">
        <v>382</v>
      </c>
      <c r="B130" s="221">
        <f>s3a!K32</f>
        <v>59.71</v>
      </c>
      <c r="C130" s="222"/>
      <c r="D130" s="222"/>
      <c r="E130" s="274">
        <f>SUM(B130:D130)</f>
        <v>59.71</v>
      </c>
      <c r="F130" s="222"/>
      <c r="G130" s="222"/>
      <c r="H130" s="222">
        <f t="shared" si="11"/>
        <v>59.71</v>
      </c>
    </row>
    <row r="131" spans="1:8" x14ac:dyDescent="0.2">
      <c r="A131" s="217" t="s">
        <v>428</v>
      </c>
      <c r="B131" s="219">
        <f>SUM(B129:B130)</f>
        <v>6222.84</v>
      </c>
      <c r="C131" s="223">
        <f>C129</f>
        <v>25826.34</v>
      </c>
      <c r="D131" s="219">
        <f>s3c!G94</f>
        <v>48553.51</v>
      </c>
      <c r="E131" s="270">
        <f>SUM(E129:E130)</f>
        <v>80602.69</v>
      </c>
      <c r="F131" s="219">
        <f>P18</f>
        <v>30618.53</v>
      </c>
      <c r="G131" s="219">
        <f>SUM(G129:G130)</f>
        <v>3586.16</v>
      </c>
      <c r="H131" s="220">
        <f t="shared" si="11"/>
        <v>114807.38</v>
      </c>
    </row>
    <row r="132" spans="1:8" x14ac:dyDescent="0.2">
      <c r="A132" s="154" t="s">
        <v>30</v>
      </c>
      <c r="B132" s="221">
        <f>s3a!K34</f>
        <v>2711.64</v>
      </c>
      <c r="C132" s="221">
        <f>F46</f>
        <v>44987.81</v>
      </c>
      <c r="D132" s="221">
        <f>s3c!G95</f>
        <v>78309.919999999998</v>
      </c>
      <c r="E132" s="274">
        <f>SUM(B132:D132)</f>
        <v>126009.37</v>
      </c>
      <c r="F132" s="222">
        <f>P19</f>
        <v>6787.22</v>
      </c>
      <c r="G132" s="221">
        <f>+s3c!H95</f>
        <v>1240.25</v>
      </c>
      <c r="H132" s="222">
        <f t="shared" si="11"/>
        <v>134036.84</v>
      </c>
    </row>
    <row r="133" spans="1:8" x14ac:dyDescent="0.2">
      <c r="A133" s="154" t="s">
        <v>383</v>
      </c>
      <c r="B133" s="221">
        <f>s3a!K35</f>
        <v>224.24</v>
      </c>
      <c r="C133" s="222"/>
      <c r="D133" s="221">
        <f>s3c!G96</f>
        <v>6267.16</v>
      </c>
      <c r="E133" s="274">
        <f>SUM(B133:D133)</f>
        <v>6491.4</v>
      </c>
      <c r="F133" s="222"/>
      <c r="G133" s="221">
        <f>+s3c!H96</f>
        <v>465.15</v>
      </c>
      <c r="H133" s="222">
        <f t="shared" si="11"/>
        <v>6956.55</v>
      </c>
    </row>
    <row r="134" spans="1:8" x14ac:dyDescent="0.2">
      <c r="A134" s="217" t="s">
        <v>428</v>
      </c>
      <c r="B134" s="219">
        <f>SUM(B132:B133)</f>
        <v>2935.88</v>
      </c>
      <c r="C134" s="223">
        <f>C132</f>
        <v>44987.81</v>
      </c>
      <c r="D134" s="219">
        <f>s3c!G97</f>
        <v>84577.08</v>
      </c>
      <c r="E134" s="270">
        <f>SUM(E132:E133)</f>
        <v>132500.76999999999</v>
      </c>
      <c r="F134" s="219">
        <f>P19</f>
        <v>6787.22</v>
      </c>
      <c r="G134" s="219">
        <f>SUM(G132:G133)</f>
        <v>1705.4</v>
      </c>
      <c r="H134" s="220">
        <f t="shared" si="11"/>
        <v>140993.39000000001</v>
      </c>
    </row>
    <row r="135" spans="1:8" x14ac:dyDescent="0.2">
      <c r="A135" s="154" t="s">
        <v>31</v>
      </c>
      <c r="B135" s="221">
        <f>s3a!K37</f>
        <v>16927.47</v>
      </c>
      <c r="C135" s="221">
        <f>F47</f>
        <v>21331.919999999998</v>
      </c>
      <c r="D135" s="221">
        <f>s3c!G98</f>
        <v>33379.71</v>
      </c>
      <c r="E135" s="274">
        <f>SUM(B135:D135)</f>
        <v>71639.100000000006</v>
      </c>
      <c r="F135" s="222">
        <f>P20</f>
        <v>145822.1</v>
      </c>
      <c r="G135" s="221">
        <f>+s3c!H98</f>
        <v>10699.3</v>
      </c>
      <c r="H135" s="222">
        <f t="shared" si="11"/>
        <v>228160.5</v>
      </c>
    </row>
    <row r="136" spans="1:8" x14ac:dyDescent="0.2">
      <c r="A136" s="154" t="s">
        <v>384</v>
      </c>
      <c r="B136" s="221">
        <f>s3a!K39</f>
        <v>1446.28</v>
      </c>
      <c r="C136" s="222"/>
      <c r="D136" s="221">
        <f>s3c!G100</f>
        <v>1348.29</v>
      </c>
      <c r="E136" s="274">
        <f>SUM(B136:D136)</f>
        <v>2794.57</v>
      </c>
      <c r="F136" s="222"/>
      <c r="G136" s="221">
        <f>+s3c!H100</f>
        <v>1200.6099999999999</v>
      </c>
      <c r="H136" s="222">
        <f>SUM(E136:G136)</f>
        <v>3995.18</v>
      </c>
    </row>
    <row r="137" spans="1:8" x14ac:dyDescent="0.2">
      <c r="A137" s="154" t="s">
        <v>385</v>
      </c>
      <c r="B137" s="221">
        <f>s3a!K38</f>
        <v>9661.94</v>
      </c>
      <c r="C137" s="222"/>
      <c r="D137" s="221">
        <f>s3c!G99</f>
        <v>5375.93</v>
      </c>
      <c r="E137" s="274">
        <f>SUM(B137:D137)</f>
        <v>15037.87</v>
      </c>
      <c r="F137" s="222"/>
      <c r="G137" s="221">
        <f>+s3c!H99</f>
        <v>4384.21</v>
      </c>
      <c r="H137" s="222">
        <f>SUM(E137:G137)</f>
        <v>19422.080000000002</v>
      </c>
    </row>
    <row r="138" spans="1:8" x14ac:dyDescent="0.2">
      <c r="A138" s="217" t="s">
        <v>428</v>
      </c>
      <c r="B138" s="219">
        <f>SUM(B135:B137)</f>
        <v>28035.69</v>
      </c>
      <c r="C138" s="223">
        <f>C135</f>
        <v>21331.919999999998</v>
      </c>
      <c r="D138" s="219">
        <f>s3c!G101</f>
        <v>40103.93</v>
      </c>
      <c r="E138" s="270">
        <f>SUM(E135:E137)</f>
        <v>89471.54</v>
      </c>
      <c r="F138" s="219">
        <f>P20</f>
        <v>145822.1</v>
      </c>
      <c r="G138" s="219">
        <f>SUM(G135:G137)</f>
        <v>16284.12</v>
      </c>
      <c r="H138" s="220">
        <f t="shared" si="11"/>
        <v>251577.76</v>
      </c>
    </row>
    <row r="139" spans="1:8" x14ac:dyDescent="0.2">
      <c r="A139" s="218" t="s">
        <v>32</v>
      </c>
      <c r="B139" s="219">
        <f>s3a!K41</f>
        <v>5174.67</v>
      </c>
      <c r="C139" s="219">
        <f>F48</f>
        <v>14579.38</v>
      </c>
      <c r="D139" s="219">
        <f>s3c!G102</f>
        <v>27409.24</v>
      </c>
      <c r="E139" s="272">
        <f>SUM(B139:D139)</f>
        <v>47163.29</v>
      </c>
      <c r="F139" s="220">
        <f>P21</f>
        <v>26918.89</v>
      </c>
      <c r="G139" s="219">
        <f>+s3c!H102</f>
        <v>3006.27</v>
      </c>
      <c r="H139" s="220">
        <f t="shared" si="11"/>
        <v>77088.45</v>
      </c>
    </row>
    <row r="140" spans="1:8" x14ac:dyDescent="0.2">
      <c r="A140" s="154" t="s">
        <v>33</v>
      </c>
      <c r="B140" s="221">
        <f>s3a!K42</f>
        <v>5011.2700000000004</v>
      </c>
      <c r="C140" s="221">
        <f>F49</f>
        <v>70501.73</v>
      </c>
      <c r="D140" s="221">
        <f>s3c!G103</f>
        <v>132543.25</v>
      </c>
      <c r="E140" s="274">
        <f>SUM(B140:D140)</f>
        <v>208056.25</v>
      </c>
      <c r="F140" s="222">
        <f>P22</f>
        <v>73731.28</v>
      </c>
      <c r="G140" s="221">
        <f>+s3c!H103</f>
        <v>18533.32</v>
      </c>
      <c r="H140" s="222">
        <f t="shared" si="11"/>
        <v>300320.84999999998</v>
      </c>
    </row>
    <row r="141" spans="1:8" x14ac:dyDescent="0.2">
      <c r="A141" s="216" t="s">
        <v>386</v>
      </c>
      <c r="B141" s="221">
        <f>s3a!K43</f>
        <v>22121.5</v>
      </c>
      <c r="C141" s="222"/>
      <c r="D141" s="222"/>
      <c r="E141" s="274">
        <f>SUM(B141:D141)</f>
        <v>22121.5</v>
      </c>
      <c r="F141" s="222"/>
      <c r="G141" s="222"/>
      <c r="H141" s="222">
        <f t="shared" si="11"/>
        <v>22121.5</v>
      </c>
    </row>
    <row r="142" spans="1:8" x14ac:dyDescent="0.2">
      <c r="A142" s="216" t="s">
        <v>387</v>
      </c>
      <c r="B142" s="221">
        <f>s3a!K44</f>
        <v>3805.34</v>
      </c>
      <c r="C142" s="222"/>
      <c r="D142" s="222"/>
      <c r="E142" s="274">
        <f>SUM(B142:D142)</f>
        <v>3805.34</v>
      </c>
      <c r="F142" s="222"/>
      <c r="G142" s="222"/>
      <c r="H142" s="222">
        <f t="shared" si="11"/>
        <v>3805.34</v>
      </c>
    </row>
    <row r="143" spans="1:8" x14ac:dyDescent="0.2">
      <c r="A143" s="216" t="s">
        <v>388</v>
      </c>
      <c r="B143" s="221">
        <f>s3a!K45</f>
        <v>926.5</v>
      </c>
      <c r="C143" s="222"/>
      <c r="D143" s="222"/>
      <c r="E143" s="274">
        <f>SUM(B143:D143)</f>
        <v>926.5</v>
      </c>
      <c r="F143" s="222"/>
      <c r="G143" s="222"/>
      <c r="H143" s="222">
        <f t="shared" si="11"/>
        <v>926.5</v>
      </c>
    </row>
    <row r="144" spans="1:8" x14ac:dyDescent="0.2">
      <c r="A144" s="217" t="s">
        <v>428</v>
      </c>
      <c r="B144" s="219">
        <f>SUM(B140:B143)</f>
        <v>31864.61</v>
      </c>
      <c r="C144" s="223">
        <f>C140</f>
        <v>70501.73</v>
      </c>
      <c r="D144" s="219">
        <f>s3c!G103</f>
        <v>132543.25</v>
      </c>
      <c r="E144" s="270">
        <f>SUM(E140:E143)</f>
        <v>234909.59</v>
      </c>
      <c r="F144" s="219">
        <f>P22</f>
        <v>73731.28</v>
      </c>
      <c r="G144" s="219">
        <f>SUM(G140:G143)</f>
        <v>18533.32</v>
      </c>
      <c r="H144" s="220">
        <f t="shared" ref="H144:H152" si="14">SUM(E144:G144)</f>
        <v>327174.19</v>
      </c>
    </row>
    <row r="145" spans="1:8" x14ac:dyDescent="0.2">
      <c r="A145" s="154" t="s">
        <v>34</v>
      </c>
      <c r="B145" s="221">
        <f>s3a!K47</f>
        <v>3536.4</v>
      </c>
      <c r="C145" s="221">
        <f>F50</f>
        <v>32466.39</v>
      </c>
      <c r="D145" s="221">
        <f>s3c!G104</f>
        <v>54969.65</v>
      </c>
      <c r="E145" s="274">
        <f>SUM(B145:D145)</f>
        <v>90972.44</v>
      </c>
      <c r="F145" s="222">
        <f>P23</f>
        <v>20618.560000000001</v>
      </c>
      <c r="G145" s="221">
        <f>+s3c!H104</f>
        <v>1550.12</v>
      </c>
      <c r="H145" s="222">
        <f t="shared" si="14"/>
        <v>113141.12</v>
      </c>
    </row>
    <row r="146" spans="1:8" x14ac:dyDescent="0.2">
      <c r="A146" s="154" t="s">
        <v>389</v>
      </c>
      <c r="B146" s="221">
        <f>s3a!K48</f>
        <v>427.28</v>
      </c>
      <c r="C146" s="222"/>
      <c r="D146" s="221">
        <f>s3c!G105</f>
        <v>6067.05</v>
      </c>
      <c r="E146" s="274">
        <f>SUM(B146:D146)</f>
        <v>6494.33</v>
      </c>
      <c r="F146" s="222"/>
      <c r="G146" s="221">
        <f>+s3c!H105</f>
        <v>752.49</v>
      </c>
      <c r="H146" s="222">
        <f t="shared" si="14"/>
        <v>7246.82</v>
      </c>
    </row>
    <row r="147" spans="1:8" x14ac:dyDescent="0.2">
      <c r="A147" s="217" t="s">
        <v>428</v>
      </c>
      <c r="B147" s="219">
        <f>SUM(B145:B146)</f>
        <v>3963.68</v>
      </c>
      <c r="C147" s="223">
        <f>C145</f>
        <v>32466.39</v>
      </c>
      <c r="D147" s="219">
        <f>s3c!G106</f>
        <v>61036.7</v>
      </c>
      <c r="E147" s="270">
        <f>SUM(E145:E146)</f>
        <v>97466.77</v>
      </c>
      <c r="F147" s="219">
        <f>P23</f>
        <v>20618.560000000001</v>
      </c>
      <c r="G147" s="219">
        <f>SUM(G145:G146)</f>
        <v>2302.61</v>
      </c>
      <c r="H147" s="220">
        <f t="shared" si="14"/>
        <v>120387.94</v>
      </c>
    </row>
    <row r="148" spans="1:8" x14ac:dyDescent="0.2">
      <c r="A148" s="218" t="s">
        <v>35</v>
      </c>
      <c r="B148" s="219">
        <f>s3a!K50</f>
        <v>432.78</v>
      </c>
      <c r="C148" s="219">
        <f>F51</f>
        <v>2291.0500000000002</v>
      </c>
      <c r="D148" s="219">
        <f>s3c!G107</f>
        <v>4307.17</v>
      </c>
      <c r="E148" s="272">
        <f>SUM(B148:D148)</f>
        <v>7031</v>
      </c>
      <c r="F148" s="220">
        <f>P24</f>
        <v>1000.42</v>
      </c>
      <c r="G148" s="219">
        <f>+s3c!H107</f>
        <v>251.36</v>
      </c>
      <c r="H148" s="220">
        <f t="shared" si="14"/>
        <v>8282.7800000000007</v>
      </c>
    </row>
    <row r="149" spans="1:8" x14ac:dyDescent="0.2">
      <c r="A149" s="154" t="s">
        <v>36</v>
      </c>
      <c r="B149" s="221">
        <f>s3a!K51</f>
        <v>102848.01</v>
      </c>
      <c r="C149" s="221">
        <f>F52</f>
        <v>138738.35999999999</v>
      </c>
      <c r="D149" s="221">
        <f>s3c!G108</f>
        <v>149211.73000000001</v>
      </c>
      <c r="E149" s="274">
        <f>SUM(B149:D149)</f>
        <v>390798.1</v>
      </c>
      <c r="F149" s="222">
        <f>P25</f>
        <v>1375725.9</v>
      </c>
      <c r="G149" s="221">
        <f>+s3c!H108</f>
        <v>41179.160000000003</v>
      </c>
      <c r="H149" s="222">
        <f t="shared" si="14"/>
        <v>1807703.16</v>
      </c>
    </row>
    <row r="150" spans="1:8" x14ac:dyDescent="0.2">
      <c r="A150" s="154" t="s">
        <v>390</v>
      </c>
      <c r="B150" s="221">
        <f>s3a!K52</f>
        <v>120919.08</v>
      </c>
      <c r="C150" s="222"/>
      <c r="D150" s="221">
        <f>s3c!G109</f>
        <v>80418.41</v>
      </c>
      <c r="E150" s="274">
        <f>SUM(B150:D150)</f>
        <v>201337.49</v>
      </c>
      <c r="F150" s="222"/>
      <c r="G150" s="221">
        <f>+s3c!H109</f>
        <v>80292.03</v>
      </c>
      <c r="H150" s="222">
        <f t="shared" si="14"/>
        <v>281629.52</v>
      </c>
    </row>
    <row r="151" spans="1:8" x14ac:dyDescent="0.2">
      <c r="A151" s="154" t="s">
        <v>391</v>
      </c>
      <c r="B151" s="221">
        <f>s3a!K53</f>
        <v>40789.620000000003</v>
      </c>
      <c r="C151" s="222"/>
      <c r="D151" s="221">
        <f>s3c!G110</f>
        <v>31197.599999999999</v>
      </c>
      <c r="E151" s="274">
        <f>SUM(B151:D151)</f>
        <v>71987.22</v>
      </c>
      <c r="F151" s="222"/>
      <c r="G151" s="221">
        <f>+s3c!H110</f>
        <v>32168.65</v>
      </c>
      <c r="H151" s="222">
        <f t="shared" si="14"/>
        <v>104155.87</v>
      </c>
    </row>
    <row r="152" spans="1:8" x14ac:dyDescent="0.2">
      <c r="A152" s="217" t="s">
        <v>428</v>
      </c>
      <c r="B152" s="219">
        <f>SUM(B149:B151)</f>
        <v>264556.71000000002</v>
      </c>
      <c r="C152" s="223">
        <f>C149</f>
        <v>138738.35999999999</v>
      </c>
      <c r="D152" s="219">
        <f>s3c!G111</f>
        <v>260827.74</v>
      </c>
      <c r="E152" s="270">
        <f>SUM(E149:E151)</f>
        <v>664122.81000000006</v>
      </c>
      <c r="F152" s="219">
        <f>P25</f>
        <v>1375725.9</v>
      </c>
      <c r="G152" s="219">
        <f>SUM(G149:G151)</f>
        <v>153639.84</v>
      </c>
      <c r="H152" s="220">
        <f t="shared" si="14"/>
        <v>2193488.5499999998</v>
      </c>
    </row>
    <row r="153" spans="1:8" x14ac:dyDescent="0.2">
      <c r="A153" s="154" t="s">
        <v>37</v>
      </c>
      <c r="B153" s="221">
        <f>s3a!K55</f>
        <v>5379.78</v>
      </c>
      <c r="C153" s="221">
        <f>F53</f>
        <v>41967.8</v>
      </c>
      <c r="D153" s="221">
        <f>s3c!G112</f>
        <v>68945.5</v>
      </c>
      <c r="E153" s="274">
        <f>SUM(B153:D153)</f>
        <v>116293.08</v>
      </c>
      <c r="F153" s="222">
        <f>P26</f>
        <v>42538.85</v>
      </c>
      <c r="G153" s="221">
        <f>+s3c!H112</f>
        <v>2665.98</v>
      </c>
      <c r="H153" s="222">
        <f>SUM(E153:G153)</f>
        <v>161497.91</v>
      </c>
    </row>
    <row r="154" spans="1:8" x14ac:dyDescent="0.2">
      <c r="A154" s="154" t="s">
        <v>392</v>
      </c>
      <c r="B154" s="221">
        <f>s3a!K56</f>
        <v>2790.97</v>
      </c>
      <c r="C154" s="222"/>
      <c r="D154" s="221">
        <f>s3c!G113</f>
        <v>9953.9500000000007</v>
      </c>
      <c r="E154" s="274">
        <f>SUM(B154:D154)</f>
        <v>12744.92</v>
      </c>
      <c r="F154" s="222"/>
      <c r="G154" s="221">
        <f>+s3c!H113</f>
        <v>2081.58</v>
      </c>
      <c r="H154" s="222">
        <f>SUM(E154:G154)</f>
        <v>14826.5</v>
      </c>
    </row>
    <row r="155" spans="1:8" x14ac:dyDescent="0.2">
      <c r="A155" s="217" t="s">
        <v>428</v>
      </c>
      <c r="B155" s="219">
        <f>SUM(B153:B154)</f>
        <v>8170.75</v>
      </c>
      <c r="C155" s="223">
        <f>C153</f>
        <v>41967.8</v>
      </c>
      <c r="D155" s="219">
        <f>s3c!G115</f>
        <v>78899.45</v>
      </c>
      <c r="E155" s="270">
        <f>SUM(E153:E154)</f>
        <v>129038</v>
      </c>
      <c r="F155" s="219">
        <f>P26</f>
        <v>42538.85</v>
      </c>
      <c r="G155" s="219">
        <f>SUM(G153:G154)</f>
        <v>4747.5600000000004</v>
      </c>
      <c r="H155" s="220">
        <f>SUM(E155:G155)</f>
        <v>176324.41</v>
      </c>
    </row>
    <row r="156" spans="1:8" x14ac:dyDescent="0.2">
      <c r="E156" s="264"/>
    </row>
    <row r="157" spans="1:8" ht="13.5" thickBot="1" x14ac:dyDescent="0.25">
      <c r="A157" s="237" t="s">
        <v>245</v>
      </c>
      <c r="B157" s="238">
        <f t="shared" ref="B157:H157" si="15">SUM(B155,B152,B148,B147,B144,B139,B138,B134,B131,B128,B123,B125,B124,B116,B109,B106,B117)</f>
        <v>1569596.34</v>
      </c>
      <c r="C157" s="238">
        <f t="shared" si="15"/>
        <v>1121140.27</v>
      </c>
      <c r="D157" s="238">
        <f t="shared" si="15"/>
        <v>2107740.81</v>
      </c>
      <c r="E157" s="275">
        <f t="shared" si="15"/>
        <v>4798477.42</v>
      </c>
      <c r="F157" s="238">
        <f t="shared" si="15"/>
        <v>7831436.5599999996</v>
      </c>
      <c r="G157" s="238">
        <f t="shared" si="15"/>
        <v>911631.11</v>
      </c>
      <c r="H157" s="238">
        <f t="shared" si="15"/>
        <v>13541545.09</v>
      </c>
    </row>
    <row r="158" spans="1:8" ht="13.5" thickTop="1" x14ac:dyDescent="0.2">
      <c r="E158" s="264"/>
      <c r="H158" s="222">
        <f>SUM(E157:G157)</f>
        <v>13541545.09</v>
      </c>
    </row>
    <row r="159" spans="1:8" x14ac:dyDescent="0.2">
      <c r="A159" s="154" t="s">
        <v>681</v>
      </c>
      <c r="B159" s="222">
        <f>+L100</f>
        <v>2911.37</v>
      </c>
      <c r="C159" s="222">
        <f>+M100</f>
        <v>5337.87</v>
      </c>
      <c r="D159" s="222">
        <f>+N100</f>
        <v>5751.77</v>
      </c>
      <c r="E159" s="274">
        <f>SUM(B159:D159)</f>
        <v>14001.01</v>
      </c>
      <c r="F159" s="222">
        <f>+P100</f>
        <v>38510.75</v>
      </c>
      <c r="G159" s="222">
        <f>+Q100</f>
        <v>1148.81</v>
      </c>
      <c r="H159" s="222">
        <f>+R100</f>
        <v>53660.57</v>
      </c>
    </row>
    <row r="160" spans="1:8" x14ac:dyDescent="0.2">
      <c r="A160" s="154" t="s">
        <v>682</v>
      </c>
      <c r="B160" s="222">
        <f>+L101</f>
        <v>3422.92</v>
      </c>
      <c r="C160" s="222"/>
      <c r="D160" s="222">
        <f>+N101+S110</f>
        <v>3099.96</v>
      </c>
      <c r="E160" s="274">
        <f>SUM(B160:D160)</f>
        <v>6522.88</v>
      </c>
      <c r="F160" s="222"/>
      <c r="G160" s="222">
        <f>+Q101</f>
        <v>2239.98</v>
      </c>
      <c r="H160" s="222">
        <f>+R101</f>
        <v>8762.86</v>
      </c>
    </row>
    <row r="161" spans="1:8" x14ac:dyDescent="0.2">
      <c r="A161" s="154" t="s">
        <v>683</v>
      </c>
      <c r="B161" s="222">
        <f>+L102</f>
        <v>1154.6500000000001</v>
      </c>
      <c r="C161" s="222"/>
      <c r="D161" s="222">
        <f>+N102</f>
        <v>1202.5999999999999</v>
      </c>
      <c r="E161" s="274">
        <f>SUM(B161:D161)</f>
        <v>2357.25</v>
      </c>
      <c r="F161" s="222"/>
      <c r="G161" s="222">
        <f>+Q102</f>
        <v>897.44</v>
      </c>
      <c r="H161" s="222">
        <f>+R102</f>
        <v>3254.69</v>
      </c>
    </row>
    <row r="162" spans="1:8" x14ac:dyDescent="0.2">
      <c r="A162" s="359" t="s">
        <v>684</v>
      </c>
      <c r="B162" s="219">
        <f t="shared" ref="B162:H162" si="16">SUM(B159:B161)</f>
        <v>7488.94</v>
      </c>
      <c r="C162" s="219">
        <f t="shared" si="16"/>
        <v>5337.87</v>
      </c>
      <c r="D162" s="219">
        <f t="shared" si="16"/>
        <v>10054.33</v>
      </c>
      <c r="E162" s="270">
        <f t="shared" si="16"/>
        <v>22881.14</v>
      </c>
      <c r="F162" s="219">
        <f t="shared" si="16"/>
        <v>38510.75</v>
      </c>
      <c r="G162" s="219">
        <f t="shared" si="16"/>
        <v>4286.2299999999996</v>
      </c>
      <c r="H162" s="219">
        <f t="shared" si="16"/>
        <v>65678.12</v>
      </c>
    </row>
    <row r="163" spans="1:8" ht="13.5" thickBot="1" x14ac:dyDescent="0.25">
      <c r="A163" s="206" t="s">
        <v>693</v>
      </c>
      <c r="B163" s="372">
        <f>+B157+B162</f>
        <v>1577085.28</v>
      </c>
      <c r="C163" s="372">
        <f t="shared" ref="C163:H163" si="17">+C157+C162</f>
        <v>1126478.1399999999</v>
      </c>
      <c r="D163" s="372">
        <f t="shared" si="17"/>
        <v>2117795.14</v>
      </c>
      <c r="E163" s="373">
        <f t="shared" si="17"/>
        <v>4821358.5599999996</v>
      </c>
      <c r="F163" s="372">
        <f t="shared" si="17"/>
        <v>7869947.3099999996</v>
      </c>
      <c r="G163" s="372">
        <f t="shared" si="17"/>
        <v>915917.34</v>
      </c>
      <c r="H163" s="372">
        <f t="shared" si="17"/>
        <v>13607223.210000001</v>
      </c>
    </row>
    <row r="164" spans="1:8" ht="13.5" thickTop="1" x14ac:dyDescent="0.2"/>
  </sheetData>
  <mergeCells count="1">
    <mergeCell ref="K97:R97"/>
  </mergeCells>
  <phoneticPr fontId="0" type="noConversion"/>
  <printOptions horizontalCentered="1"/>
  <pageMargins left="0.49" right="0.54" top="0.88" bottom="0.77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59"/>
  <sheetViews>
    <sheetView zoomScale="75" zoomScaleNormal="75" zoomScaleSheetLayoutView="75" workbookViewId="0">
      <selection activeCell="A5" sqref="A5"/>
    </sheetView>
  </sheetViews>
  <sheetFormatPr defaultRowHeight="12.75" x14ac:dyDescent="0.2"/>
  <cols>
    <col min="1" max="1" width="20.42578125" customWidth="1"/>
    <col min="2" max="2" width="14.85546875" bestFit="1" customWidth="1"/>
    <col min="3" max="3" width="14.42578125" bestFit="1" customWidth="1"/>
    <col min="4" max="7" width="14.42578125" customWidth="1"/>
    <col min="8" max="8" width="16.7109375" style="142" customWidth="1"/>
    <col min="9" max="9" width="18.42578125" style="143" bestFit="1" customWidth="1"/>
    <col min="10" max="10" width="18.42578125" style="143" customWidth="1"/>
    <col min="11" max="11" width="15.5703125" style="150" bestFit="1" customWidth="1"/>
    <col min="13" max="13" width="11.28515625" hidden="1" customWidth="1"/>
    <col min="14" max="14" width="10.140625" hidden="1" customWidth="1"/>
    <col min="15" max="15" width="9.28515625" hidden="1" customWidth="1"/>
    <col min="16" max="72" width="0" hidden="1" customWidth="1"/>
  </cols>
  <sheetData>
    <row r="1" spans="1:15" ht="15.75" x14ac:dyDescent="0.25">
      <c r="A1" s="63" t="s">
        <v>425</v>
      </c>
      <c r="B1" s="62"/>
      <c r="C1" s="62"/>
      <c r="E1" s="62"/>
      <c r="F1" s="62"/>
      <c r="G1" s="1"/>
      <c r="H1" s="1"/>
      <c r="I1" s="1"/>
      <c r="J1" s="1"/>
    </row>
    <row r="2" spans="1:15" ht="15.75" x14ac:dyDescent="0.25">
      <c r="A2" s="111" t="str">
        <f>ReportMonth</f>
        <v>MAY 2004</v>
      </c>
      <c r="D2" s="62"/>
      <c r="E2" s="62"/>
      <c r="F2" s="62"/>
      <c r="G2" s="1"/>
      <c r="H2" s="1"/>
      <c r="I2" s="1"/>
      <c r="J2" s="1"/>
    </row>
    <row r="3" spans="1:15" ht="15" x14ac:dyDescent="0.2">
      <c r="A3" s="69"/>
    </row>
    <row r="4" spans="1:15" ht="15.75" x14ac:dyDescent="0.25">
      <c r="A4" s="395" t="s">
        <v>423</v>
      </c>
      <c r="B4" s="395"/>
      <c r="C4" s="395"/>
      <c r="D4" s="395"/>
      <c r="E4" s="395"/>
      <c r="F4" s="395"/>
      <c r="G4" s="395"/>
      <c r="H4" s="395"/>
      <c r="I4" s="395"/>
      <c r="J4" s="395"/>
      <c r="K4" s="395"/>
    </row>
    <row r="7" spans="1:15" s="88" customFormat="1" ht="30.75" customHeight="1" thickBot="1" x14ac:dyDescent="0.25">
      <c r="A7" s="196" t="s">
        <v>367</v>
      </c>
      <c r="B7" s="196" t="s">
        <v>368</v>
      </c>
      <c r="C7" s="196" t="s">
        <v>369</v>
      </c>
      <c r="D7" s="210" t="s">
        <v>5</v>
      </c>
      <c r="E7" s="208" t="s">
        <v>414</v>
      </c>
      <c r="F7" s="209" t="s">
        <v>415</v>
      </c>
      <c r="G7" s="210" t="s">
        <v>416</v>
      </c>
      <c r="H7" s="189" t="s">
        <v>418</v>
      </c>
      <c r="I7" s="190" t="s">
        <v>371</v>
      </c>
      <c r="J7" s="190" t="s">
        <v>692</v>
      </c>
      <c r="K7" s="224" t="s">
        <v>417</v>
      </c>
      <c r="L7" s="197"/>
      <c r="M7" s="197"/>
      <c r="N7" s="197"/>
      <c r="O7" s="197"/>
    </row>
    <row r="8" spans="1:15" x14ac:dyDescent="0.2">
      <c r="A8" s="154" t="s">
        <v>21</v>
      </c>
      <c r="B8" s="154"/>
      <c r="C8" s="154"/>
      <c r="D8" s="205">
        <f>'s3,s3b,s3d'!B10</f>
        <v>3132007</v>
      </c>
      <c r="E8" s="239">
        <f>D8/$D$58</f>
        <v>3.3471427999999998E-2</v>
      </c>
      <c r="F8" s="225">
        <f>'s3,s3b,s3d'!D10</f>
        <v>52846.54</v>
      </c>
      <c r="G8" s="225">
        <f>'s3,s3b,s3d'!E10</f>
        <v>43.58</v>
      </c>
      <c r="H8" s="226">
        <f>'s3,s3b,s3d'!F10</f>
        <v>52802.96</v>
      </c>
      <c r="I8" s="198">
        <v>1</v>
      </c>
      <c r="J8" s="198"/>
      <c r="K8" s="227">
        <f>$H$8*I8</f>
        <v>52802.96</v>
      </c>
      <c r="L8" s="154"/>
      <c r="M8" s="201"/>
      <c r="N8" s="154"/>
      <c r="O8" s="154"/>
    </row>
    <row r="9" spans="1:15" ht="26.25" customHeight="1" x14ac:dyDescent="0.2">
      <c r="A9" s="154" t="s">
        <v>22</v>
      </c>
      <c r="B9" s="154"/>
      <c r="C9" s="154"/>
      <c r="D9" s="205">
        <f>'s3,s3b,s3d'!B11</f>
        <v>365081</v>
      </c>
      <c r="E9" s="239">
        <f>D9/$D$58</f>
        <v>3.9015819999999998E-3</v>
      </c>
      <c r="F9" s="225">
        <f>'s3,s3b,s3d'!D11</f>
        <v>6160.03</v>
      </c>
      <c r="G9" s="225">
        <f>'s3,s3b,s3d'!E11</f>
        <v>81.96</v>
      </c>
      <c r="H9" s="226">
        <f>'s3,s3b,s3d'!$F11</f>
        <v>6078.07</v>
      </c>
      <c r="I9" s="199">
        <v>0.73923899999999998</v>
      </c>
      <c r="J9" s="199"/>
      <c r="K9" s="227">
        <f>$H$9*I9+O11</f>
        <v>4493.1499999999996</v>
      </c>
      <c r="L9" s="154"/>
      <c r="M9" s="201">
        <f>$H$9*I9</f>
        <v>4493.1499999999996</v>
      </c>
      <c r="N9" s="154"/>
      <c r="O9" s="154"/>
    </row>
    <row r="10" spans="1:15" s="88" customFormat="1" x14ac:dyDescent="0.2">
      <c r="A10" s="197"/>
      <c r="B10" s="197" t="s">
        <v>372</v>
      </c>
      <c r="C10" s="197"/>
      <c r="D10" s="197"/>
      <c r="E10" s="240"/>
      <c r="F10" s="228"/>
      <c r="G10" s="228"/>
      <c r="H10" s="226"/>
      <c r="I10" s="200">
        <v>0.26076100000000002</v>
      </c>
      <c r="J10" s="369"/>
      <c r="K10" s="227">
        <f>$H$9*I10</f>
        <v>1584.92</v>
      </c>
      <c r="L10" s="197"/>
      <c r="M10" s="201">
        <f>$H$9*I10</f>
        <v>1584.92</v>
      </c>
      <c r="N10" s="197"/>
      <c r="O10" s="197"/>
    </row>
    <row r="11" spans="1:15" x14ac:dyDescent="0.2">
      <c r="A11" s="154"/>
      <c r="B11" s="154"/>
      <c r="C11" s="154"/>
      <c r="D11" s="154"/>
      <c r="E11" s="239"/>
      <c r="F11" s="225"/>
      <c r="G11" s="225"/>
      <c r="H11" s="226"/>
      <c r="I11" s="198">
        <f>SUM(I9:I10)</f>
        <v>1</v>
      </c>
      <c r="J11" s="198"/>
      <c r="K11" s="227"/>
      <c r="L11" s="154"/>
      <c r="M11" s="201">
        <f>SUM(M9:M10)</f>
        <v>6078.07</v>
      </c>
      <c r="N11" s="229">
        <f>H9</f>
        <v>6078.07</v>
      </c>
      <c r="O11" s="204">
        <f>N11-M11</f>
        <v>0</v>
      </c>
    </row>
    <row r="12" spans="1:15" ht="26.25" customHeight="1" x14ac:dyDescent="0.2">
      <c r="A12" s="154" t="s">
        <v>23</v>
      </c>
      <c r="B12" s="154"/>
      <c r="C12" s="154"/>
      <c r="D12" s="205">
        <f>'s3,s3b,s3d'!B12</f>
        <v>63002872</v>
      </c>
      <c r="E12" s="239">
        <f>D12/$D$58</f>
        <v>0.67330503799999997</v>
      </c>
      <c r="F12" s="225">
        <f>'s3,s3b,s3d'!D12</f>
        <v>1063051.24</v>
      </c>
      <c r="G12" s="225">
        <f>'s3,s3b,s3d'!E12</f>
        <v>745.8</v>
      </c>
      <c r="H12" s="226">
        <f>'s3,s3b,s3d'!$F12</f>
        <v>1062305.44</v>
      </c>
      <c r="I12" s="198">
        <v>0.51170000000000004</v>
      </c>
      <c r="J12" s="198"/>
      <c r="K12" s="227">
        <f>$H$12*I12+O18</f>
        <v>543581.68999999994</v>
      </c>
      <c r="L12" s="154"/>
      <c r="M12" s="201">
        <f t="shared" ref="M12:M17" si="0">$H$12*I12</f>
        <v>543581.68999999994</v>
      </c>
      <c r="N12" s="154"/>
      <c r="O12" s="154"/>
    </row>
    <row r="13" spans="1:15" x14ac:dyDescent="0.2">
      <c r="A13" s="154"/>
      <c r="B13" s="154" t="s">
        <v>373</v>
      </c>
      <c r="C13" s="154"/>
      <c r="D13" s="154"/>
      <c r="E13" s="239"/>
      <c r="F13" s="225"/>
      <c r="G13" s="225"/>
      <c r="H13" s="225"/>
      <c r="I13" s="198">
        <v>1.0434000000000001E-2</v>
      </c>
      <c r="J13" s="198"/>
      <c r="K13" s="227">
        <f>$H$12*I13</f>
        <v>11084.09</v>
      </c>
      <c r="L13" s="154"/>
      <c r="M13" s="201">
        <f t="shared" si="0"/>
        <v>11084.09</v>
      </c>
      <c r="N13" s="154"/>
      <c r="O13" s="154"/>
    </row>
    <row r="14" spans="1:15" x14ac:dyDescent="0.2">
      <c r="A14" s="154"/>
      <c r="B14" s="154" t="s">
        <v>374</v>
      </c>
      <c r="C14" s="154"/>
      <c r="D14" s="154"/>
      <c r="E14" s="239"/>
      <c r="F14" s="225"/>
      <c r="G14" s="225"/>
      <c r="H14" s="225"/>
      <c r="I14" s="198">
        <v>0.15226600000000001</v>
      </c>
      <c r="J14" s="198"/>
      <c r="K14" s="227">
        <f>$H$12*I14</f>
        <v>161753</v>
      </c>
      <c r="L14" s="154"/>
      <c r="M14" s="201">
        <f t="shared" si="0"/>
        <v>161753</v>
      </c>
      <c r="N14" s="154"/>
      <c r="O14" s="154"/>
    </row>
    <row r="15" spans="1:15" x14ac:dyDescent="0.2">
      <c r="A15" s="154"/>
      <c r="B15" s="154" t="s">
        <v>375</v>
      </c>
      <c r="C15" s="154"/>
      <c r="D15" s="154"/>
      <c r="E15" s="239"/>
      <c r="F15" s="225"/>
      <c r="G15" s="225"/>
      <c r="H15" s="225"/>
      <c r="I15" s="198">
        <v>0.25693500000000002</v>
      </c>
      <c r="J15" s="198"/>
      <c r="K15" s="227">
        <f>$H$12*I15</f>
        <v>272943.45</v>
      </c>
      <c r="L15" s="154"/>
      <c r="M15" s="201">
        <f t="shared" si="0"/>
        <v>272943.45</v>
      </c>
      <c r="N15" s="154"/>
      <c r="O15" s="154"/>
    </row>
    <row r="16" spans="1:15" x14ac:dyDescent="0.2">
      <c r="A16" s="154"/>
      <c r="B16" s="154" t="s">
        <v>376</v>
      </c>
      <c r="C16" s="154"/>
      <c r="D16" s="154"/>
      <c r="E16" s="239"/>
      <c r="F16" s="225"/>
      <c r="G16" s="225"/>
      <c r="H16" s="225"/>
      <c r="I16" s="198">
        <v>7.4640000000000001E-3</v>
      </c>
      <c r="J16" s="198"/>
      <c r="K16" s="227">
        <f>$H$12*I16</f>
        <v>7929.05</v>
      </c>
      <c r="L16" s="154"/>
      <c r="M16" s="201">
        <f t="shared" si="0"/>
        <v>7929.05</v>
      </c>
      <c r="N16" s="154"/>
      <c r="O16" s="154"/>
    </row>
    <row r="17" spans="1:15" ht="12" customHeight="1" x14ac:dyDescent="0.2">
      <c r="A17" s="154"/>
      <c r="B17" s="154" t="s">
        <v>377</v>
      </c>
      <c r="C17" s="154"/>
      <c r="D17" s="154"/>
      <c r="E17" s="239"/>
      <c r="F17" s="225"/>
      <c r="G17" s="225"/>
      <c r="H17" s="225"/>
      <c r="I17" s="200">
        <v>6.1200999999999998E-2</v>
      </c>
      <c r="J17" s="369"/>
      <c r="K17" s="227">
        <f>$H$12*I17</f>
        <v>65014.16</v>
      </c>
      <c r="L17" s="154"/>
      <c r="M17" s="201">
        <f t="shared" si="0"/>
        <v>65014.16</v>
      </c>
      <c r="N17" s="154"/>
      <c r="O17" s="154"/>
    </row>
    <row r="18" spans="1:15" x14ac:dyDescent="0.2">
      <c r="A18" s="154"/>
      <c r="B18" s="154"/>
      <c r="C18" s="154"/>
      <c r="D18" s="154"/>
      <c r="E18" s="239"/>
      <c r="F18" s="225"/>
      <c r="G18" s="225"/>
      <c r="H18" s="225"/>
      <c r="I18" s="198">
        <f>SUM(I12:I17)</f>
        <v>1</v>
      </c>
      <c r="J18" s="198"/>
      <c r="K18" s="227"/>
      <c r="L18" s="154"/>
      <c r="M18" s="201">
        <f>SUM(M12:M17)</f>
        <v>1062305.44</v>
      </c>
      <c r="N18" s="229">
        <f>H12</f>
        <v>1062305.44</v>
      </c>
      <c r="O18" s="201">
        <f>N18-M18</f>
        <v>0</v>
      </c>
    </row>
    <row r="19" spans="1:15" ht="26.25" customHeight="1" x14ac:dyDescent="0.2">
      <c r="A19" s="154" t="s">
        <v>24</v>
      </c>
      <c r="B19" s="154"/>
      <c r="C19" s="154"/>
      <c r="D19" s="205">
        <f>'s3,s3b,s3d'!B13</f>
        <v>2138016</v>
      </c>
      <c r="E19" s="239">
        <f>D19/$D$58</f>
        <v>2.2848751E-2</v>
      </c>
      <c r="F19" s="225">
        <f>'s3,s3b,s3d'!D13</f>
        <v>36074.870000000003</v>
      </c>
      <c r="G19" s="225">
        <f>'s3,s3b,s3d'!E13</f>
        <v>34.76</v>
      </c>
      <c r="H19" s="226">
        <f>'s3,s3b,s3d'!$F13</f>
        <v>36040.11</v>
      </c>
      <c r="I19" s="198">
        <v>1</v>
      </c>
      <c r="J19" s="198"/>
      <c r="K19" s="227">
        <f>$H$19*I19</f>
        <v>36040.11</v>
      </c>
      <c r="L19" s="154"/>
      <c r="M19" s="201"/>
      <c r="N19" s="229"/>
      <c r="O19" s="154"/>
    </row>
    <row r="20" spans="1:15" ht="24.75" customHeight="1" x14ac:dyDescent="0.2">
      <c r="A20" s="154" t="s">
        <v>25</v>
      </c>
      <c r="B20" s="154"/>
      <c r="C20" s="154"/>
      <c r="D20" s="205">
        <f>'s3,s3b,s3d'!B14</f>
        <v>2456087</v>
      </c>
      <c r="E20" s="239">
        <f>D20/$D$58</f>
        <v>2.6247942E-2</v>
      </c>
      <c r="F20" s="225">
        <f>'s3,s3b,s3d'!D14</f>
        <v>41441.699999999997</v>
      </c>
      <c r="G20" s="225">
        <f>'s3,s3b,s3d'!E14</f>
        <v>204.6</v>
      </c>
      <c r="H20" s="226">
        <f>'s3,s3b,s3d'!$F$14</f>
        <v>41237.1</v>
      </c>
      <c r="I20" s="198">
        <v>0.54915099999999994</v>
      </c>
      <c r="J20" s="198"/>
      <c r="K20" s="227">
        <f>$H$20*I20+O25</f>
        <v>22645.4</v>
      </c>
      <c r="L20" s="154"/>
      <c r="M20" s="201">
        <f>$H$20*I20</f>
        <v>22645.39</v>
      </c>
      <c r="N20" s="229"/>
      <c r="O20" s="154"/>
    </row>
    <row r="21" spans="1:15" x14ac:dyDescent="0.2">
      <c r="A21" s="154"/>
      <c r="B21" s="154" t="s">
        <v>378</v>
      </c>
      <c r="C21" s="154"/>
      <c r="D21" s="154"/>
      <c r="E21" s="239"/>
      <c r="F21" s="225"/>
      <c r="G21" s="225"/>
      <c r="H21" s="225"/>
      <c r="I21" s="198">
        <v>2.2352E-2</v>
      </c>
      <c r="J21" s="198"/>
      <c r="K21" s="227">
        <f>$H$20*I21</f>
        <v>921.73</v>
      </c>
      <c r="L21" s="154"/>
      <c r="M21" s="201">
        <f>$H$20*I21</f>
        <v>921.73</v>
      </c>
      <c r="N21" s="229"/>
      <c r="O21" s="154"/>
    </row>
    <row r="22" spans="1:15" x14ac:dyDescent="0.2">
      <c r="A22" s="154"/>
      <c r="B22" s="154" t="s">
        <v>135</v>
      </c>
      <c r="C22" s="154"/>
      <c r="D22" s="154"/>
      <c r="E22" s="239"/>
      <c r="F22" s="225"/>
      <c r="G22" s="225"/>
      <c r="H22" s="225"/>
      <c r="I22" s="198">
        <v>0.31850600000000001</v>
      </c>
      <c r="J22" s="198"/>
      <c r="K22" s="227">
        <f>$H$20*I22</f>
        <v>13134.26</v>
      </c>
      <c r="L22" s="154"/>
      <c r="M22" s="201">
        <f>$H$20*I22</f>
        <v>13134.26</v>
      </c>
      <c r="N22" s="229"/>
      <c r="O22" s="154"/>
    </row>
    <row r="23" spans="1:15" x14ac:dyDescent="0.2">
      <c r="A23" s="154"/>
      <c r="B23" s="154" t="s">
        <v>379</v>
      </c>
      <c r="C23" s="154"/>
      <c r="D23" s="154"/>
      <c r="E23" s="239"/>
      <c r="F23" s="225"/>
      <c r="G23" s="225"/>
      <c r="H23" s="225"/>
      <c r="I23" s="198">
        <v>1.8159000000000002E-2</v>
      </c>
      <c r="J23" s="198"/>
      <c r="K23" s="227">
        <f>$H$20*I23</f>
        <v>748.82</v>
      </c>
      <c r="L23" s="154"/>
      <c r="M23" s="201">
        <f>$H$20*I23</f>
        <v>748.82</v>
      </c>
      <c r="N23" s="229"/>
      <c r="O23" s="154"/>
    </row>
    <row r="24" spans="1:15" x14ac:dyDescent="0.2">
      <c r="A24" s="154"/>
      <c r="B24" s="154" t="s">
        <v>380</v>
      </c>
      <c r="C24" s="154"/>
      <c r="D24" s="154"/>
      <c r="E24" s="239"/>
      <c r="F24" s="225"/>
      <c r="G24" s="225"/>
      <c r="H24" s="225"/>
      <c r="I24" s="200">
        <v>9.1831999999999997E-2</v>
      </c>
      <c r="J24" s="369"/>
      <c r="K24" s="227">
        <f>$H$20*I24</f>
        <v>3786.89</v>
      </c>
      <c r="L24" s="154"/>
      <c r="M24" s="201">
        <f>$H$20*I24</f>
        <v>3786.89</v>
      </c>
      <c r="N24" s="229"/>
      <c r="O24" s="154"/>
    </row>
    <row r="25" spans="1:15" x14ac:dyDescent="0.2">
      <c r="A25" s="154"/>
      <c r="B25" s="154"/>
      <c r="C25" s="154"/>
      <c r="D25" s="154"/>
      <c r="E25" s="239"/>
      <c r="F25" s="225"/>
      <c r="G25" s="225"/>
      <c r="H25" s="225"/>
      <c r="I25" s="198">
        <f>SUM(I20:I24)</f>
        <v>1</v>
      </c>
      <c r="J25" s="198"/>
      <c r="K25" s="227"/>
      <c r="L25" s="154"/>
      <c r="M25" s="201">
        <f>SUM(M20:M24)</f>
        <v>41237.089999999997</v>
      </c>
      <c r="N25" s="229">
        <f>H20</f>
        <v>41237.1</v>
      </c>
      <c r="O25" s="201">
        <f>N25-M25</f>
        <v>0.01</v>
      </c>
    </row>
    <row r="26" spans="1:15" ht="25.5" customHeight="1" x14ac:dyDescent="0.2">
      <c r="A26" s="154" t="s">
        <v>26</v>
      </c>
      <c r="B26" s="154"/>
      <c r="C26" s="154"/>
      <c r="D26" s="205">
        <f>'s3,s3b,s3d'!B15</f>
        <v>20955</v>
      </c>
      <c r="E26" s="239">
        <f>D26/$D$58</f>
        <v>2.2394400000000001E-4</v>
      </c>
      <c r="F26" s="225">
        <f>'s3,s3b,s3d'!D15</f>
        <v>353.58</v>
      </c>
      <c r="G26" s="225">
        <f>'s3,s3b,s3d'!E15</f>
        <v>0</v>
      </c>
      <c r="H26" s="226">
        <f>'s3,s3b,s3d'!$F$15</f>
        <v>353.58</v>
      </c>
      <c r="I26" s="198">
        <v>1</v>
      </c>
      <c r="J26" s="198"/>
      <c r="K26" s="227">
        <f>$H$26*I26</f>
        <v>353.58</v>
      </c>
      <c r="L26" s="154"/>
      <c r="M26" s="201"/>
      <c r="N26" s="229"/>
      <c r="O26" s="154"/>
    </row>
    <row r="27" spans="1:15" ht="25.5" customHeight="1" x14ac:dyDescent="0.2">
      <c r="A27" s="154" t="s">
        <v>27</v>
      </c>
      <c r="B27" s="154"/>
      <c r="C27" s="154"/>
      <c r="D27" s="205">
        <f>'s3,s3b,s3d'!B16</f>
        <v>91899</v>
      </c>
      <c r="E27" s="239">
        <f>D27/$D$58</f>
        <v>9.8211499999999998E-4</v>
      </c>
      <c r="F27" s="225">
        <f>'s3,s3b,s3d'!D16</f>
        <v>1550.62</v>
      </c>
      <c r="G27" s="225">
        <f>'s3,s3b,s3d'!E16</f>
        <v>60.98</v>
      </c>
      <c r="H27" s="226">
        <f>'s3,s3b,s3d'!$F$16</f>
        <v>1489.64</v>
      </c>
      <c r="I27" s="198">
        <v>1</v>
      </c>
      <c r="J27" s="198"/>
      <c r="K27" s="227">
        <f>$H$27*I27</f>
        <v>1489.64</v>
      </c>
      <c r="L27" s="154"/>
      <c r="M27" s="201"/>
      <c r="N27" s="229"/>
      <c r="O27" s="154"/>
    </row>
    <row r="28" spans="1:15" ht="25.5" customHeight="1" x14ac:dyDescent="0.2">
      <c r="A28" s="154" t="s">
        <v>28</v>
      </c>
      <c r="B28" s="154"/>
      <c r="C28" s="154"/>
      <c r="D28" s="205">
        <f>'s3,s3b,s3d'!B17</f>
        <v>1077186</v>
      </c>
      <c r="E28" s="239">
        <f>D28/$D$58</f>
        <v>1.1511772999999999E-2</v>
      </c>
      <c r="F28" s="225">
        <f>'s3,s3b,s3d'!D17</f>
        <v>18175.419999999998</v>
      </c>
      <c r="G28" s="225">
        <f>'s3,s3b,s3d'!E17</f>
        <v>243.59</v>
      </c>
      <c r="H28" s="226">
        <f>'s3,s3b,s3d'!$F$17</f>
        <v>17931.830000000002</v>
      </c>
      <c r="I28" s="199">
        <v>0.76097599999999999</v>
      </c>
      <c r="J28" s="199"/>
      <c r="K28" s="227">
        <f>$H$28*I28+O30</f>
        <v>13645.69</v>
      </c>
      <c r="L28" s="154"/>
      <c r="M28" s="201">
        <f>$H$28*I28</f>
        <v>13645.69</v>
      </c>
      <c r="N28" s="229"/>
      <c r="O28" s="154"/>
    </row>
    <row r="29" spans="1:15" x14ac:dyDescent="0.2">
      <c r="A29" s="154"/>
      <c r="B29" s="154" t="s">
        <v>381</v>
      </c>
      <c r="C29" s="154"/>
      <c r="D29" s="154"/>
      <c r="E29" s="239"/>
      <c r="F29" s="225"/>
      <c r="G29" s="225"/>
      <c r="H29" s="225"/>
      <c r="I29" s="203">
        <v>0.23902399999999999</v>
      </c>
      <c r="J29" s="370"/>
      <c r="K29" s="227">
        <f>$H$28*I29</f>
        <v>4286.1400000000003</v>
      </c>
      <c r="L29" s="154"/>
      <c r="M29" s="201">
        <f>$H$28*I29</f>
        <v>4286.1400000000003</v>
      </c>
      <c r="N29" s="229"/>
      <c r="O29" s="154"/>
    </row>
    <row r="30" spans="1:15" x14ac:dyDescent="0.2">
      <c r="A30" s="154"/>
      <c r="B30" s="154"/>
      <c r="C30" s="154"/>
      <c r="D30" s="154"/>
      <c r="E30" s="239"/>
      <c r="F30" s="225"/>
      <c r="G30" s="225"/>
      <c r="H30" s="225"/>
      <c r="I30" s="198">
        <f>SUM(I28:I29)</f>
        <v>1</v>
      </c>
      <c r="J30" s="198"/>
      <c r="K30" s="227"/>
      <c r="L30" s="154"/>
      <c r="M30" s="201">
        <f>SUM(M28:M29)</f>
        <v>17931.830000000002</v>
      </c>
      <c r="N30" s="229">
        <f>H28</f>
        <v>17931.830000000002</v>
      </c>
      <c r="O30" s="201">
        <f>N30-M30</f>
        <v>0</v>
      </c>
    </row>
    <row r="31" spans="1:15" ht="25.5" customHeight="1" x14ac:dyDescent="0.2">
      <c r="A31" s="154" t="s">
        <v>29</v>
      </c>
      <c r="B31" s="154"/>
      <c r="C31" s="154"/>
      <c r="D31" s="205">
        <f>'s3,s3b,s3d'!B18</f>
        <v>370823</v>
      </c>
      <c r="E31" s="239">
        <f>D31/$D$58</f>
        <v>3.9629460000000002E-3</v>
      </c>
      <c r="F31" s="225">
        <f>'s3,s3b,s3d'!D18</f>
        <v>6256.92</v>
      </c>
      <c r="G31" s="225">
        <f>'s3,s3b,s3d'!E18</f>
        <v>34.08</v>
      </c>
      <c r="H31" s="226">
        <f>'s3,s3b,s3d'!$F$18</f>
        <v>6222.84</v>
      </c>
      <c r="I31" s="198">
        <v>0.99040499999999998</v>
      </c>
      <c r="J31" s="198"/>
      <c r="K31" s="227">
        <f>$H$31*I31+O33</f>
        <v>6163.13</v>
      </c>
      <c r="L31" s="154"/>
      <c r="M31" s="201">
        <f>$H$31*I31</f>
        <v>6163.13</v>
      </c>
      <c r="N31" s="229"/>
      <c r="O31" s="154"/>
    </row>
    <row r="32" spans="1:15" x14ac:dyDescent="0.2">
      <c r="A32" s="154"/>
      <c r="B32" s="154"/>
      <c r="C32" s="154" t="s">
        <v>382</v>
      </c>
      <c r="D32" s="154"/>
      <c r="E32" s="239"/>
      <c r="F32" s="225"/>
      <c r="G32" s="225"/>
      <c r="H32" s="225"/>
      <c r="I32" s="200">
        <v>9.5949999999999994E-3</v>
      </c>
      <c r="J32" s="369"/>
      <c r="K32" s="227">
        <f>$H$31*I32</f>
        <v>59.71</v>
      </c>
      <c r="L32" s="154"/>
      <c r="M32" s="201">
        <f>$H$31*I32</f>
        <v>59.71</v>
      </c>
      <c r="N32" s="229"/>
      <c r="O32" s="154"/>
    </row>
    <row r="33" spans="1:15" x14ac:dyDescent="0.2">
      <c r="A33" s="154"/>
      <c r="B33" s="154"/>
      <c r="C33" s="154"/>
      <c r="D33" s="154"/>
      <c r="E33" s="239"/>
      <c r="F33" s="225"/>
      <c r="G33" s="225"/>
      <c r="H33" s="225"/>
      <c r="I33" s="198">
        <f>SUM(I31:I32)</f>
        <v>1</v>
      </c>
      <c r="J33" s="198"/>
      <c r="K33" s="227"/>
      <c r="L33" s="154"/>
      <c r="M33" s="201">
        <f>SUM(M31:M32)</f>
        <v>6222.84</v>
      </c>
      <c r="N33" s="229">
        <f>H31</f>
        <v>6222.84</v>
      </c>
      <c r="O33" s="201">
        <f>N33-M33</f>
        <v>0</v>
      </c>
    </row>
    <row r="34" spans="1:15" ht="25.5" customHeight="1" x14ac:dyDescent="0.2">
      <c r="A34" s="154" t="s">
        <v>30</v>
      </c>
      <c r="B34" s="154"/>
      <c r="C34" s="154"/>
      <c r="D34" s="205">
        <f>'s3,s3b,s3d'!B19</f>
        <v>175346</v>
      </c>
      <c r="E34" s="239">
        <f>D34/$D$58</f>
        <v>1.873904E-3</v>
      </c>
      <c r="F34" s="225">
        <f>'s3,s3b,s3d'!D19</f>
        <v>2958.62</v>
      </c>
      <c r="G34" s="225">
        <f>'s3,s3b,s3d'!E19</f>
        <v>22.74</v>
      </c>
      <c r="H34" s="226">
        <f>'s3,s3b,s3d'!$F$19</f>
        <v>2935.88</v>
      </c>
      <c r="I34" s="198">
        <v>0.92362100000000003</v>
      </c>
      <c r="J34" s="198"/>
      <c r="K34" s="227">
        <f>$H$34*I34+O36</f>
        <v>2711.64</v>
      </c>
      <c r="L34" s="154"/>
      <c r="M34" s="201">
        <f>$H$34*I34</f>
        <v>2711.64</v>
      </c>
      <c r="N34" s="229"/>
      <c r="O34" s="154"/>
    </row>
    <row r="35" spans="1:15" x14ac:dyDescent="0.2">
      <c r="A35" s="154"/>
      <c r="B35" s="154" t="s">
        <v>383</v>
      </c>
      <c r="C35" s="154"/>
      <c r="D35" s="154"/>
      <c r="E35" s="239"/>
      <c r="F35" s="225"/>
      <c r="G35" s="225"/>
      <c r="H35" s="225"/>
      <c r="I35" s="200">
        <v>7.6379000000000002E-2</v>
      </c>
      <c r="J35" s="369"/>
      <c r="K35" s="227">
        <f>$H$34*I35</f>
        <v>224.24</v>
      </c>
      <c r="L35" s="154"/>
      <c r="M35" s="201">
        <f>$H$34*I35</f>
        <v>224.24</v>
      </c>
      <c r="N35" s="229"/>
      <c r="O35" s="154"/>
    </row>
    <row r="36" spans="1:15" x14ac:dyDescent="0.2">
      <c r="A36" s="154"/>
      <c r="B36" s="154"/>
      <c r="C36" s="154"/>
      <c r="D36" s="154"/>
      <c r="E36" s="239"/>
      <c r="F36" s="225"/>
      <c r="G36" s="225"/>
      <c r="H36" s="225"/>
      <c r="I36" s="198">
        <f>SUM(I34:I35)</f>
        <v>1</v>
      </c>
      <c r="J36" s="198"/>
      <c r="K36" s="227"/>
      <c r="L36" s="154"/>
      <c r="M36" s="201">
        <f>SUM(M34:M35)</f>
        <v>2935.88</v>
      </c>
      <c r="N36" s="229">
        <f>H34</f>
        <v>2935.88</v>
      </c>
      <c r="O36" s="201">
        <f>N36-M36</f>
        <v>0</v>
      </c>
    </row>
    <row r="37" spans="1:15" ht="24.75" customHeight="1" x14ac:dyDescent="0.2">
      <c r="A37" s="154" t="s">
        <v>31</v>
      </c>
      <c r="B37" s="154"/>
      <c r="C37" s="154"/>
      <c r="D37" s="205">
        <f>'s3,s3b,s3d'!B20</f>
        <v>1666451</v>
      </c>
      <c r="E37" s="239">
        <f>D37/$D$58</f>
        <v>1.7809186000000001E-2</v>
      </c>
      <c r="F37" s="225">
        <f>'s3,s3b,s3d'!D20</f>
        <v>28118.13</v>
      </c>
      <c r="G37" s="225">
        <f>'s3,s3b,s3d'!E20</f>
        <v>82.44</v>
      </c>
      <c r="H37" s="226">
        <f>'s3,s3b,s3d'!$F$20</f>
        <v>28035.69</v>
      </c>
      <c r="I37" s="198">
        <v>0.60378299999999996</v>
      </c>
      <c r="J37" s="198"/>
      <c r="K37" s="227">
        <f>$H$37*I37+O40</f>
        <v>16927.47</v>
      </c>
      <c r="L37" s="154"/>
      <c r="M37" s="201">
        <f>$H$37*I37</f>
        <v>16927.47</v>
      </c>
      <c r="N37" s="229"/>
      <c r="O37" s="154"/>
    </row>
    <row r="38" spans="1:15" x14ac:dyDescent="0.2">
      <c r="A38" s="154"/>
      <c r="B38" s="154" t="s">
        <v>385</v>
      </c>
      <c r="C38" s="154"/>
      <c r="D38" s="154"/>
      <c r="E38" s="239"/>
      <c r="F38" s="225"/>
      <c r="G38" s="225"/>
      <c r="H38" s="225"/>
      <c r="I38" s="198">
        <v>0.34462999999999999</v>
      </c>
      <c r="J38" s="198"/>
      <c r="K38" s="227">
        <f>$H$37*I38</f>
        <v>9661.94</v>
      </c>
      <c r="L38" s="154"/>
      <c r="M38" s="201">
        <f>$H$37*I38</f>
        <v>9661.94</v>
      </c>
      <c r="N38" s="229"/>
      <c r="O38" s="154"/>
    </row>
    <row r="39" spans="1:15" x14ac:dyDescent="0.2">
      <c r="A39" s="154"/>
      <c r="B39" s="154" t="s">
        <v>384</v>
      </c>
      <c r="C39" s="154"/>
      <c r="D39" s="154"/>
      <c r="E39" s="239"/>
      <c r="F39" s="225"/>
      <c r="G39" s="225"/>
      <c r="H39" s="225"/>
      <c r="I39" s="200">
        <v>5.1587000000000001E-2</v>
      </c>
      <c r="J39" s="369"/>
      <c r="K39" s="227">
        <f>$H$37*I39</f>
        <v>1446.28</v>
      </c>
      <c r="L39" s="154"/>
      <c r="M39" s="201">
        <f>$H$37*I39</f>
        <v>1446.28</v>
      </c>
      <c r="N39" s="229"/>
      <c r="O39" s="154"/>
    </row>
    <row r="40" spans="1:15" x14ac:dyDescent="0.2">
      <c r="A40" s="154"/>
      <c r="B40" s="154"/>
      <c r="C40" s="154"/>
      <c r="D40" s="154"/>
      <c r="E40" s="239"/>
      <c r="F40" s="225"/>
      <c r="G40" s="225"/>
      <c r="H40" s="225"/>
      <c r="I40" s="198">
        <f>SUM(I37:I39)</f>
        <v>1</v>
      </c>
      <c r="J40" s="198"/>
      <c r="K40" s="227"/>
      <c r="L40" s="154"/>
      <c r="M40" s="201">
        <f>SUM(M37:M39)</f>
        <v>28035.69</v>
      </c>
      <c r="N40" s="229">
        <f>H37</f>
        <v>28035.69</v>
      </c>
      <c r="O40" s="201">
        <f>N40-M40</f>
        <v>0</v>
      </c>
    </row>
    <row r="41" spans="1:15" ht="25.5" customHeight="1" x14ac:dyDescent="0.2">
      <c r="A41" s="154" t="s">
        <v>32</v>
      </c>
      <c r="B41" s="154"/>
      <c r="C41" s="154"/>
      <c r="D41" s="205">
        <f>'s3,s3b,s3d'!B21</f>
        <v>311483</v>
      </c>
      <c r="E41" s="239">
        <f>D41/$D$58</f>
        <v>3.3287859999999998E-3</v>
      </c>
      <c r="F41" s="225">
        <f>'s3,s3b,s3d'!D21</f>
        <v>5255.67</v>
      </c>
      <c r="G41" s="225">
        <f>'s3,s3b,s3d'!E21</f>
        <v>81</v>
      </c>
      <c r="H41" s="226">
        <f>'s3,s3b,s3d'!$F$21</f>
        <v>5174.67</v>
      </c>
      <c r="I41" s="198">
        <v>1</v>
      </c>
      <c r="J41" s="198"/>
      <c r="K41" s="227">
        <f>$H$41*I41</f>
        <v>5174.67</v>
      </c>
      <c r="L41" s="154"/>
      <c r="M41" s="201"/>
      <c r="N41" s="229"/>
      <c r="O41" s="154"/>
    </row>
    <row r="42" spans="1:15" ht="26.25" customHeight="1" x14ac:dyDescent="0.2">
      <c r="A42" s="154" t="s">
        <v>33</v>
      </c>
      <c r="B42" s="154"/>
      <c r="C42" s="154"/>
      <c r="D42" s="205">
        <f>'s3,s3b,s3d'!B22</f>
        <v>2051045</v>
      </c>
      <c r="E42" s="239">
        <f>D42/$D$58</f>
        <v>2.1919300999999999E-2</v>
      </c>
      <c r="F42" s="225">
        <f>'s3,s3b,s3d'!D22</f>
        <v>34607.4</v>
      </c>
      <c r="G42" s="225">
        <f>'s3,s3b,s3d'!E22</f>
        <v>2742.79</v>
      </c>
      <c r="H42" s="226">
        <f>'s3,s3b,s3d'!$F$22</f>
        <v>31864.61</v>
      </c>
      <c r="I42" s="198">
        <v>0.15726799999999999</v>
      </c>
      <c r="J42" s="198"/>
      <c r="K42" s="227">
        <f>$H$42*I42+O46</f>
        <v>5011.2700000000004</v>
      </c>
      <c r="L42" s="154"/>
      <c r="M42" s="201">
        <f>$H$42*I42</f>
        <v>5011.28</v>
      </c>
      <c r="N42" s="229"/>
      <c r="O42" s="154"/>
    </row>
    <row r="43" spans="1:15" x14ac:dyDescent="0.2">
      <c r="A43" s="154"/>
      <c r="B43" s="154"/>
      <c r="C43" s="154" t="s">
        <v>386</v>
      </c>
      <c r="D43" s="154"/>
      <c r="E43" s="239"/>
      <c r="F43" s="225"/>
      <c r="G43" s="225"/>
      <c r="H43" s="225"/>
      <c r="I43" s="198">
        <v>0.69423400000000002</v>
      </c>
      <c r="J43" s="198"/>
      <c r="K43" s="227">
        <f>$H$42*I43</f>
        <v>22121.5</v>
      </c>
      <c r="L43" s="154"/>
      <c r="M43" s="201">
        <f>$H$42*I43</f>
        <v>22121.5</v>
      </c>
      <c r="N43" s="229"/>
      <c r="O43" s="154"/>
    </row>
    <row r="44" spans="1:15" ht="12.75" customHeight="1" x14ac:dyDescent="0.2">
      <c r="A44" s="154"/>
      <c r="B44" s="154"/>
      <c r="C44" s="154" t="s">
        <v>387</v>
      </c>
      <c r="D44" s="154"/>
      <c r="E44" s="239"/>
      <c r="F44" s="225"/>
      <c r="G44" s="225"/>
      <c r="H44" s="225"/>
      <c r="I44" s="198">
        <v>0.119422</v>
      </c>
      <c r="J44" s="198"/>
      <c r="K44" s="227">
        <f>$H$42*I44</f>
        <v>3805.34</v>
      </c>
      <c r="L44" s="154"/>
      <c r="M44" s="201">
        <f>$H$42*I44</f>
        <v>3805.34</v>
      </c>
      <c r="N44" s="229"/>
      <c r="O44" s="154"/>
    </row>
    <row r="45" spans="1:15" x14ac:dyDescent="0.2">
      <c r="A45" s="154"/>
      <c r="B45" s="154"/>
      <c r="C45" s="154" t="s">
        <v>388</v>
      </c>
      <c r="D45" s="154"/>
      <c r="E45" s="239"/>
      <c r="F45" s="225"/>
      <c r="G45" s="225"/>
      <c r="H45" s="225"/>
      <c r="I45" s="200">
        <v>2.9076000000000001E-2</v>
      </c>
      <c r="J45" s="369"/>
      <c r="K45" s="227">
        <f>$H$42*I45</f>
        <v>926.5</v>
      </c>
      <c r="L45" s="154"/>
      <c r="M45" s="201">
        <f>$H$42*I45</f>
        <v>926.5</v>
      </c>
      <c r="N45" s="229"/>
      <c r="O45" s="154"/>
    </row>
    <row r="46" spans="1:15" x14ac:dyDescent="0.2">
      <c r="A46" s="154"/>
      <c r="B46" s="154"/>
      <c r="C46" s="154"/>
      <c r="D46" s="154"/>
      <c r="E46" s="239"/>
      <c r="F46" s="225"/>
      <c r="G46" s="225"/>
      <c r="H46" s="225"/>
      <c r="I46" s="198">
        <f>SUM(I42:I45)</f>
        <v>1</v>
      </c>
      <c r="J46" s="198"/>
      <c r="K46" s="227"/>
      <c r="L46" s="154"/>
      <c r="M46" s="201">
        <f>SUM(M42:M45)</f>
        <v>31864.62</v>
      </c>
      <c r="N46" s="229">
        <f>H42</f>
        <v>31864.61</v>
      </c>
      <c r="O46" s="201">
        <f>N46-M46</f>
        <v>-0.01</v>
      </c>
    </row>
    <row r="47" spans="1:15" ht="26.25" customHeight="1" x14ac:dyDescent="0.2">
      <c r="A47" s="154" t="s">
        <v>34</v>
      </c>
      <c r="B47" s="154"/>
      <c r="C47" s="154"/>
      <c r="D47" s="205">
        <f>'s3,s3b,s3d'!B23</f>
        <v>237921</v>
      </c>
      <c r="E47" s="239">
        <f>D47/$D$58</f>
        <v>2.5426369999999999E-3</v>
      </c>
      <c r="F47" s="225">
        <f>'s3,s3b,s3d'!D23</f>
        <v>4014.46</v>
      </c>
      <c r="G47" s="225">
        <f>'s3,s3b,s3d'!E23</f>
        <v>50.78</v>
      </c>
      <c r="H47" s="226">
        <f>'s3,s3b,s3d'!$F$23</f>
        <v>3963.68</v>
      </c>
      <c r="I47" s="198">
        <v>0.89219999999999999</v>
      </c>
      <c r="J47" s="198"/>
      <c r="K47" s="227">
        <f>$H$47*I47+O49</f>
        <v>3536.4</v>
      </c>
      <c r="L47" s="154"/>
      <c r="M47" s="201">
        <f>$H$47*I47</f>
        <v>3536.4</v>
      </c>
      <c r="N47" s="229"/>
      <c r="O47" s="154"/>
    </row>
    <row r="48" spans="1:15" x14ac:dyDescent="0.2">
      <c r="A48" s="154"/>
      <c r="B48" s="154" t="s">
        <v>389</v>
      </c>
      <c r="C48" s="154"/>
      <c r="D48" s="154"/>
      <c r="E48" s="239"/>
      <c r="F48" s="225"/>
      <c r="G48" s="225"/>
      <c r="H48" s="225"/>
      <c r="I48" s="200">
        <v>0.10780000000000001</v>
      </c>
      <c r="J48" s="369"/>
      <c r="K48" s="227">
        <f>$H$47*I48</f>
        <v>427.28</v>
      </c>
      <c r="L48" s="154"/>
      <c r="M48" s="201">
        <f>$H$47*I48</f>
        <v>427.28</v>
      </c>
      <c r="N48" s="229"/>
      <c r="O48" s="154"/>
    </row>
    <row r="49" spans="1:15" x14ac:dyDescent="0.2">
      <c r="A49" s="154"/>
      <c r="B49" s="154"/>
      <c r="C49" s="154"/>
      <c r="D49" s="154"/>
      <c r="E49" s="239"/>
      <c r="F49" s="225"/>
      <c r="G49" s="225"/>
      <c r="H49" s="225"/>
      <c r="I49" s="198">
        <f>SUM(I47:I48)</f>
        <v>1</v>
      </c>
      <c r="J49" s="198"/>
      <c r="K49" s="227"/>
      <c r="L49" s="154"/>
      <c r="M49" s="201">
        <f>SUM(M47:M48)</f>
        <v>3963.68</v>
      </c>
      <c r="N49" s="229">
        <f>H47</f>
        <v>3963.68</v>
      </c>
      <c r="O49" s="201">
        <f>N49-M49</f>
        <v>0</v>
      </c>
    </row>
    <row r="50" spans="1:15" ht="25.5" customHeight="1" x14ac:dyDescent="0.2">
      <c r="A50" s="154" t="s">
        <v>35</v>
      </c>
      <c r="B50" s="154"/>
      <c r="C50" s="154"/>
      <c r="D50" s="205">
        <f>'s3,s3b,s3d'!B24</f>
        <v>25649</v>
      </c>
      <c r="E50" s="239">
        <f>D50/$D$58</f>
        <v>2.7410800000000001E-4</v>
      </c>
      <c r="F50" s="225">
        <f>'s3,s3b,s3d'!D24</f>
        <v>432.78</v>
      </c>
      <c r="G50" s="225">
        <f>'s3,s3b,s3d'!E24</f>
        <v>0</v>
      </c>
      <c r="H50" s="226">
        <f>'s3,s3b,s3d'!$F$24</f>
        <v>432.78</v>
      </c>
      <c r="I50" s="198">
        <v>1</v>
      </c>
      <c r="J50" s="198"/>
      <c r="K50" s="227">
        <f>$H$50*I50</f>
        <v>432.78</v>
      </c>
      <c r="L50" s="154"/>
      <c r="M50" s="201"/>
      <c r="N50" s="229"/>
      <c r="O50" s="154"/>
    </row>
    <row r="51" spans="1:15" ht="25.5" customHeight="1" x14ac:dyDescent="0.2">
      <c r="A51" s="154" t="s">
        <v>36</v>
      </c>
      <c r="B51" s="154"/>
      <c r="C51" s="154"/>
      <c r="D51" s="205">
        <f>'s3,s3b,s3d'!B25</f>
        <v>15953418</v>
      </c>
      <c r="E51" s="239">
        <f>D51/$D$58</f>
        <v>0.17049249299999999</v>
      </c>
      <c r="F51" s="225">
        <f>'s3,s3b,s3d'!D25</f>
        <v>269182.99</v>
      </c>
      <c r="G51" s="225">
        <f>'s3,s3b,s3d'!E25</f>
        <v>4626.28</v>
      </c>
      <c r="H51" s="226">
        <f>'s3,s3b,s3d'!$F$25</f>
        <v>264556.71000000002</v>
      </c>
      <c r="I51" s="198">
        <v>0.38875599999999999</v>
      </c>
      <c r="J51" s="371">
        <f>ROUND(+'s3,s3b,s3d'!$Q$107*s3a!I51,2)</f>
        <v>2911.37</v>
      </c>
      <c r="K51" s="374">
        <f>$H$51*I51+O54</f>
        <v>102848.00835276001</v>
      </c>
      <c r="L51" s="154"/>
      <c r="M51" s="201">
        <f>$H$51*I51</f>
        <v>102848.01</v>
      </c>
      <c r="N51" s="229"/>
      <c r="O51" s="154"/>
    </row>
    <row r="52" spans="1:15" x14ac:dyDescent="0.2">
      <c r="A52" s="154"/>
      <c r="B52" s="154" t="s">
        <v>390</v>
      </c>
      <c r="C52" s="154"/>
      <c r="D52" s="154"/>
      <c r="E52" s="239"/>
      <c r="F52" s="225"/>
      <c r="G52" s="225"/>
      <c r="H52" s="225"/>
      <c r="I52" s="198">
        <v>0.457063</v>
      </c>
      <c r="J52" s="371">
        <f>ROUND(+'s3,s3b,s3d'!$Q$107*s3a!I52,2)</f>
        <v>3422.92</v>
      </c>
      <c r="K52" s="374">
        <f>$H$51*I52+O55</f>
        <v>120919.08354273</v>
      </c>
      <c r="L52" s="154"/>
      <c r="M52" s="201">
        <f>$H$51*I52</f>
        <v>120919.08</v>
      </c>
      <c r="N52" s="229"/>
      <c r="O52" s="154"/>
    </row>
    <row r="53" spans="1:15" x14ac:dyDescent="0.2">
      <c r="A53" s="154"/>
      <c r="B53" s="154" t="s">
        <v>391</v>
      </c>
      <c r="C53" s="154"/>
      <c r="D53" s="154"/>
      <c r="E53" s="239"/>
      <c r="F53" s="225"/>
      <c r="G53" s="225"/>
      <c r="H53" s="225"/>
      <c r="I53" s="200">
        <v>0.15418100000000001</v>
      </c>
      <c r="J53" s="371">
        <f>ROUND(+'s3,s3b,s3d'!$Q$107*s3a!I53,2)</f>
        <v>1154.6500000000001</v>
      </c>
      <c r="K53" s="374">
        <f>$H$51*I53+O56</f>
        <v>40789.618104510002</v>
      </c>
      <c r="L53" s="154"/>
      <c r="M53" s="201">
        <f>$H$51*I53</f>
        <v>40789.620000000003</v>
      </c>
      <c r="N53" s="229"/>
      <c r="O53" s="154"/>
    </row>
    <row r="54" spans="1:15" x14ac:dyDescent="0.2">
      <c r="A54" s="154"/>
      <c r="B54" s="154"/>
      <c r="C54" s="154"/>
      <c r="D54" s="154"/>
      <c r="E54" s="239"/>
      <c r="F54" s="225"/>
      <c r="G54" s="225"/>
      <c r="H54" s="225"/>
      <c r="I54" s="198">
        <f>SUM(I51:I53)</f>
        <v>1</v>
      </c>
      <c r="J54" s="371">
        <f>+J51+J52+J53</f>
        <v>7488.94</v>
      </c>
      <c r="K54" s="375" t="s">
        <v>82</v>
      </c>
      <c r="L54" s="154"/>
      <c r="M54" s="201">
        <f>SUM(M51:M53)</f>
        <v>264556.71000000002</v>
      </c>
      <c r="N54" s="229">
        <f>H51</f>
        <v>264556.71000000002</v>
      </c>
      <c r="O54" s="201">
        <f>N54-M54</f>
        <v>0</v>
      </c>
    </row>
    <row r="55" spans="1:15" ht="24.75" customHeight="1" x14ac:dyDescent="0.2">
      <c r="A55" s="154" t="s">
        <v>37</v>
      </c>
      <c r="B55" s="154"/>
      <c r="C55" s="154"/>
      <c r="D55" s="205">
        <f>'s3,s3b,s3d'!B26</f>
        <v>496315</v>
      </c>
      <c r="E55" s="239">
        <f>D55/$D$58</f>
        <v>5.3040659999999996E-3</v>
      </c>
      <c r="F55" s="225">
        <f>'s3,s3b,s3d'!D26</f>
        <v>8374.35</v>
      </c>
      <c r="G55" s="225">
        <f>'s3,s3b,s3d'!E26</f>
        <v>203.6</v>
      </c>
      <c r="H55" s="226">
        <f>'s3,s3b,s3d'!$F$26</f>
        <v>8170.75</v>
      </c>
      <c r="I55" s="198">
        <v>0.65841899999999998</v>
      </c>
      <c r="J55" s="198"/>
      <c r="K55" s="227">
        <f>$H$55*I55+O57</f>
        <v>5379.78</v>
      </c>
      <c r="L55" s="154"/>
      <c r="M55" s="201">
        <f>$H$55*I55</f>
        <v>5379.78</v>
      </c>
      <c r="N55" s="229"/>
      <c r="O55" s="154"/>
    </row>
    <row r="56" spans="1:15" x14ac:dyDescent="0.2">
      <c r="A56" s="154"/>
      <c r="B56" s="154" t="s">
        <v>392</v>
      </c>
      <c r="C56" s="154"/>
      <c r="D56" s="154"/>
      <c r="E56" s="239"/>
      <c r="F56" s="225"/>
      <c r="G56" s="225"/>
      <c r="H56" s="225"/>
      <c r="I56" s="200">
        <v>0.34158100000000002</v>
      </c>
      <c r="J56" s="369"/>
      <c r="K56" s="227">
        <f>$H$55*I56</f>
        <v>2790.97</v>
      </c>
      <c r="L56" s="154"/>
      <c r="M56" s="201">
        <f>$H$55*I56</f>
        <v>2790.97</v>
      </c>
      <c r="N56" s="229"/>
      <c r="O56" s="154"/>
    </row>
    <row r="57" spans="1:15" x14ac:dyDescent="0.2">
      <c r="A57" s="154"/>
      <c r="B57" s="154"/>
      <c r="C57" s="154"/>
      <c r="D57" s="154"/>
      <c r="E57" s="239"/>
      <c r="F57" s="225"/>
      <c r="G57" s="225"/>
      <c r="H57" s="225"/>
      <c r="I57" s="198">
        <f>SUM(I55:I56)</f>
        <v>1</v>
      </c>
      <c r="J57" s="198"/>
      <c r="K57" s="227"/>
      <c r="L57" s="154"/>
      <c r="M57" s="201">
        <f>SUM(M55:M56)</f>
        <v>8170.75</v>
      </c>
      <c r="N57" s="229">
        <f>H55</f>
        <v>8170.75</v>
      </c>
      <c r="O57" s="201">
        <f>N57-M57</f>
        <v>0</v>
      </c>
    </row>
    <row r="58" spans="1:15" s="141" customFormat="1" ht="13.5" thickBot="1" x14ac:dyDescent="0.25">
      <c r="A58" s="206" t="s">
        <v>245</v>
      </c>
      <c r="B58" s="206"/>
      <c r="C58" s="206"/>
      <c r="D58" s="207">
        <f>SUM(D8:D57)</f>
        <v>93572554</v>
      </c>
      <c r="E58" s="241">
        <f>SUM(E8:E57)</f>
        <v>1</v>
      </c>
      <c r="F58" s="230">
        <f>SUM(F8:F57)</f>
        <v>1578855.32</v>
      </c>
      <c r="G58" s="230">
        <f>SUM(G8:G57)</f>
        <v>9258.98</v>
      </c>
      <c r="H58" s="230">
        <f>SUM(H8:H57)</f>
        <v>1569596.34</v>
      </c>
      <c r="I58" s="230"/>
      <c r="J58" s="230"/>
      <c r="K58" s="230">
        <f>SUM(K8:K56)</f>
        <v>1569596.34</v>
      </c>
      <c r="L58" s="149"/>
      <c r="M58" s="149"/>
      <c r="N58" s="149"/>
      <c r="O58" s="149"/>
    </row>
    <row r="59" spans="1:15" ht="13.5" thickTop="1" x14ac:dyDescent="0.2">
      <c r="A59" s="154"/>
      <c r="B59" s="154"/>
      <c r="C59" s="154"/>
      <c r="D59" s="154"/>
      <c r="E59" s="154"/>
      <c r="F59" s="154"/>
      <c r="G59" s="154"/>
      <c r="H59" s="202"/>
      <c r="I59" s="198"/>
      <c r="J59" s="198"/>
      <c r="K59" s="227"/>
      <c r="L59" s="154"/>
      <c r="M59" s="154"/>
      <c r="N59" s="154"/>
      <c r="O59" s="154"/>
    </row>
    <row r="61" spans="1:15" x14ac:dyDescent="0.2">
      <c r="B61" s="154"/>
      <c r="C61" s="154"/>
    </row>
    <row r="62" spans="1:15" x14ac:dyDescent="0.2">
      <c r="B62" s="154"/>
      <c r="C62" s="154"/>
    </row>
    <row r="63" spans="1:15" x14ac:dyDescent="0.2">
      <c r="C63" s="197"/>
    </row>
    <row r="64" spans="1:15" x14ac:dyDescent="0.2">
      <c r="B64" s="154"/>
      <c r="C64" s="154"/>
    </row>
    <row r="65" spans="2:3" x14ac:dyDescent="0.2">
      <c r="B65" s="154"/>
      <c r="C65" s="154"/>
    </row>
    <row r="66" spans="2:3" x14ac:dyDescent="0.2">
      <c r="C66" s="154"/>
    </row>
    <row r="67" spans="2:3" x14ac:dyDescent="0.2">
      <c r="C67" s="154"/>
    </row>
    <row r="68" spans="2:3" x14ac:dyDescent="0.2">
      <c r="C68" s="154"/>
    </row>
    <row r="69" spans="2:3" x14ac:dyDescent="0.2">
      <c r="C69" s="154"/>
    </row>
    <row r="70" spans="2:3" x14ac:dyDescent="0.2">
      <c r="C70" s="154"/>
    </row>
    <row r="71" spans="2:3" x14ac:dyDescent="0.2">
      <c r="B71" s="154"/>
    </row>
    <row r="72" spans="2:3" x14ac:dyDescent="0.2">
      <c r="B72" s="154"/>
    </row>
    <row r="73" spans="2:3" x14ac:dyDescent="0.2">
      <c r="B73" s="154"/>
    </row>
    <row r="74" spans="2:3" x14ac:dyDescent="0.2">
      <c r="B74" s="154"/>
    </row>
    <row r="75" spans="2:3" x14ac:dyDescent="0.2">
      <c r="B75" s="154"/>
    </row>
    <row r="76" spans="2:3" x14ac:dyDescent="0.2">
      <c r="B76" s="154"/>
    </row>
    <row r="77" spans="2:3" x14ac:dyDescent="0.2">
      <c r="B77" s="154"/>
    </row>
    <row r="78" spans="2:3" x14ac:dyDescent="0.2">
      <c r="B78" s="154"/>
    </row>
    <row r="79" spans="2:3" x14ac:dyDescent="0.2">
      <c r="B79" s="154"/>
    </row>
    <row r="80" spans="2:3" x14ac:dyDescent="0.2">
      <c r="B80" s="154"/>
    </row>
    <row r="81" spans="2:3" x14ac:dyDescent="0.2">
      <c r="B81" s="154"/>
    </row>
    <row r="82" spans="2:3" x14ac:dyDescent="0.2">
      <c r="B82" s="154"/>
    </row>
    <row r="83" spans="2:3" x14ac:dyDescent="0.2">
      <c r="B83" s="154"/>
    </row>
    <row r="84" spans="2:3" x14ac:dyDescent="0.2">
      <c r="B84" s="154"/>
    </row>
    <row r="85" spans="2:3" x14ac:dyDescent="0.2">
      <c r="B85" s="154"/>
    </row>
    <row r="86" spans="2:3" x14ac:dyDescent="0.2">
      <c r="B86" s="154"/>
      <c r="C86" s="154"/>
    </row>
    <row r="87" spans="2:3" x14ac:dyDescent="0.2">
      <c r="B87" s="154"/>
      <c r="C87" s="154"/>
    </row>
    <row r="88" spans="2:3" x14ac:dyDescent="0.2">
      <c r="B88" s="154"/>
    </row>
    <row r="89" spans="2:3" x14ac:dyDescent="0.2">
      <c r="B89" s="154"/>
    </row>
    <row r="90" spans="2:3" x14ac:dyDescent="0.2">
      <c r="B90" s="154"/>
    </row>
    <row r="91" spans="2:3" x14ac:dyDescent="0.2">
      <c r="B91" s="154"/>
      <c r="C91" s="154"/>
    </row>
    <row r="92" spans="2:3" x14ac:dyDescent="0.2">
      <c r="B92" s="154"/>
      <c r="C92" s="154"/>
    </row>
    <row r="93" spans="2:3" x14ac:dyDescent="0.2">
      <c r="C93" s="154"/>
    </row>
    <row r="94" spans="2:3" x14ac:dyDescent="0.2">
      <c r="C94" s="154"/>
    </row>
    <row r="95" spans="2:3" x14ac:dyDescent="0.2">
      <c r="C95" s="154"/>
    </row>
    <row r="96" spans="2:3" x14ac:dyDescent="0.2">
      <c r="C96" s="154"/>
    </row>
    <row r="97" spans="2:3" x14ac:dyDescent="0.2">
      <c r="B97" s="154"/>
    </row>
    <row r="98" spans="2:3" x14ac:dyDescent="0.2">
      <c r="B98" s="154"/>
    </row>
    <row r="99" spans="2:3" x14ac:dyDescent="0.2">
      <c r="B99" s="154"/>
    </row>
    <row r="100" spans="2:3" x14ac:dyDescent="0.2">
      <c r="B100" s="154"/>
    </row>
    <row r="101" spans="2:3" x14ac:dyDescent="0.2">
      <c r="B101" s="154"/>
      <c r="C101" s="154"/>
    </row>
    <row r="102" spans="2:3" x14ac:dyDescent="0.2">
      <c r="B102" s="154"/>
      <c r="C102" s="154"/>
    </row>
    <row r="103" spans="2:3" x14ac:dyDescent="0.2">
      <c r="B103" s="154"/>
    </row>
    <row r="104" spans="2:3" x14ac:dyDescent="0.2">
      <c r="B104" s="154"/>
    </row>
    <row r="105" spans="2:3" x14ac:dyDescent="0.2">
      <c r="B105" s="154"/>
      <c r="C105" s="154"/>
    </row>
    <row r="106" spans="2:3" x14ac:dyDescent="0.2">
      <c r="B106" s="154"/>
      <c r="C106" s="154"/>
    </row>
    <row r="107" spans="2:3" x14ac:dyDescent="0.2">
      <c r="B107" s="154"/>
    </row>
    <row r="108" spans="2:3" x14ac:dyDescent="0.2">
      <c r="B108" s="154"/>
    </row>
    <row r="109" spans="2:3" x14ac:dyDescent="0.2">
      <c r="B109" s="154"/>
      <c r="C109" s="154"/>
    </row>
    <row r="110" spans="2:3" x14ac:dyDescent="0.2">
      <c r="B110" s="154"/>
      <c r="C110" s="154"/>
    </row>
    <row r="111" spans="2:3" x14ac:dyDescent="0.2">
      <c r="C111" s="154"/>
    </row>
    <row r="112" spans="2:3" x14ac:dyDescent="0.2">
      <c r="B112" s="154"/>
      <c r="C112" s="154"/>
    </row>
    <row r="113" spans="2:3" x14ac:dyDescent="0.2">
      <c r="B113" s="154"/>
      <c r="C113" s="154"/>
    </row>
    <row r="114" spans="2:3" x14ac:dyDescent="0.2">
      <c r="B114" s="154"/>
    </row>
    <row r="115" spans="2:3" x14ac:dyDescent="0.2">
      <c r="B115" s="154"/>
    </row>
    <row r="116" spans="2:3" x14ac:dyDescent="0.2">
      <c r="B116" s="154"/>
    </row>
    <row r="117" spans="2:3" x14ac:dyDescent="0.2">
      <c r="B117" s="154"/>
      <c r="C117" s="154"/>
    </row>
    <row r="118" spans="2:3" x14ac:dyDescent="0.2">
      <c r="B118" s="154"/>
      <c r="C118" s="154"/>
    </row>
    <row r="119" spans="2:3" x14ac:dyDescent="0.2">
      <c r="C119" s="154"/>
    </row>
    <row r="120" spans="2:3" x14ac:dyDescent="0.2">
      <c r="B120" s="154"/>
    </row>
    <row r="121" spans="2:3" x14ac:dyDescent="0.2">
      <c r="B121" s="154"/>
    </row>
    <row r="122" spans="2:3" x14ac:dyDescent="0.2">
      <c r="B122" s="154"/>
    </row>
    <row r="123" spans="2:3" x14ac:dyDescent="0.2">
      <c r="B123" s="154"/>
      <c r="C123" s="154"/>
    </row>
    <row r="124" spans="2:3" x14ac:dyDescent="0.2">
      <c r="B124" s="154"/>
      <c r="C124" s="154"/>
    </row>
    <row r="125" spans="2:3" x14ac:dyDescent="0.2">
      <c r="C125" s="154"/>
    </row>
    <row r="126" spans="2:3" x14ac:dyDescent="0.2">
      <c r="C126" s="154"/>
    </row>
    <row r="127" spans="2:3" x14ac:dyDescent="0.2">
      <c r="B127" s="154"/>
      <c r="C127" s="154"/>
    </row>
    <row r="128" spans="2:3" x14ac:dyDescent="0.2">
      <c r="B128" s="154"/>
      <c r="C128" s="154"/>
    </row>
    <row r="129" spans="2:3" x14ac:dyDescent="0.2">
      <c r="B129" s="154"/>
    </row>
    <row r="130" spans="2:3" x14ac:dyDescent="0.2">
      <c r="B130" s="154"/>
    </row>
    <row r="131" spans="2:3" x14ac:dyDescent="0.2">
      <c r="B131" s="154"/>
    </row>
    <row r="132" spans="2:3" x14ac:dyDescent="0.2">
      <c r="B132" s="154"/>
    </row>
    <row r="133" spans="2:3" x14ac:dyDescent="0.2">
      <c r="B133" s="154"/>
      <c r="C133" s="154"/>
    </row>
    <row r="134" spans="2:3" x14ac:dyDescent="0.2">
      <c r="B134" s="154"/>
      <c r="C134" s="154"/>
    </row>
    <row r="135" spans="2:3" x14ac:dyDescent="0.2">
      <c r="B135" s="154"/>
    </row>
    <row r="136" spans="2:3" x14ac:dyDescent="0.2">
      <c r="B136" s="154"/>
    </row>
    <row r="137" spans="2:3" x14ac:dyDescent="0.2">
      <c r="B137" s="154"/>
    </row>
    <row r="138" spans="2:3" x14ac:dyDescent="0.2">
      <c r="B138" s="154"/>
    </row>
    <row r="139" spans="2:3" x14ac:dyDescent="0.2">
      <c r="B139" s="154"/>
    </row>
    <row r="140" spans="2:3" x14ac:dyDescent="0.2">
      <c r="B140" s="154"/>
    </row>
    <row r="141" spans="2:3" x14ac:dyDescent="0.2">
      <c r="B141" s="154"/>
    </row>
    <row r="142" spans="2:3" x14ac:dyDescent="0.2">
      <c r="B142" s="154"/>
      <c r="C142" s="154"/>
    </row>
    <row r="143" spans="2:3" x14ac:dyDescent="0.2">
      <c r="B143" s="154"/>
      <c r="C143" s="154"/>
    </row>
    <row r="144" spans="2:3" x14ac:dyDescent="0.2">
      <c r="C144" s="154"/>
    </row>
    <row r="145" spans="2:3" x14ac:dyDescent="0.2">
      <c r="B145" s="154"/>
    </row>
    <row r="146" spans="2:3" x14ac:dyDescent="0.2">
      <c r="B146" s="154"/>
      <c r="C146" s="154"/>
    </row>
    <row r="147" spans="2:3" x14ac:dyDescent="0.2">
      <c r="B147" s="154"/>
      <c r="C147" s="154"/>
    </row>
    <row r="148" spans="2:3" x14ac:dyDescent="0.2">
      <c r="B148" s="154"/>
    </row>
    <row r="149" spans="2:3" x14ac:dyDescent="0.2">
      <c r="B149" s="154"/>
    </row>
    <row r="150" spans="2:3" x14ac:dyDescent="0.2">
      <c r="B150" s="154"/>
      <c r="C150" s="154"/>
    </row>
    <row r="151" spans="2:3" x14ac:dyDescent="0.2">
      <c r="B151" s="154"/>
      <c r="C151" s="154"/>
    </row>
    <row r="152" spans="2:3" x14ac:dyDescent="0.2">
      <c r="C152" s="154"/>
    </row>
    <row r="153" spans="2:3" x14ac:dyDescent="0.2">
      <c r="C153" s="154"/>
    </row>
    <row r="154" spans="2:3" x14ac:dyDescent="0.2">
      <c r="B154" s="154"/>
      <c r="C154" s="154"/>
    </row>
    <row r="155" spans="2:3" x14ac:dyDescent="0.2">
      <c r="B155" s="154"/>
      <c r="C155" s="154"/>
    </row>
    <row r="156" spans="2:3" x14ac:dyDescent="0.2">
      <c r="C156" s="154"/>
    </row>
    <row r="157" spans="2:3" x14ac:dyDescent="0.2">
      <c r="B157" s="154"/>
    </row>
    <row r="158" spans="2:3" x14ac:dyDescent="0.2">
      <c r="B158" s="154"/>
    </row>
    <row r="159" spans="2:3" x14ac:dyDescent="0.2">
      <c r="B159" s="154"/>
    </row>
  </sheetData>
  <mergeCells count="1">
    <mergeCell ref="A4:K4"/>
  </mergeCells>
  <phoneticPr fontId="0" type="noConversion"/>
  <printOptions horizontalCentered="1"/>
  <pageMargins left="0.5" right="0.5" top="0.2" bottom="0.5" header="0.5" footer="0.5"/>
  <pageSetup scale="70" orientation="landscape" r:id="rId1"/>
  <headerFooter alignWithMargins="0"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X1089"/>
  <sheetViews>
    <sheetView zoomScaleNormal="100" workbookViewId="0"/>
  </sheetViews>
  <sheetFormatPr defaultRowHeight="12.75" x14ac:dyDescent="0.2"/>
  <cols>
    <col min="1" max="1" width="14.140625" customWidth="1"/>
    <col min="2" max="2" width="15.42578125" bestFit="1" customWidth="1"/>
    <col min="3" max="3" width="12.7109375" customWidth="1"/>
    <col min="4" max="4" width="13.7109375" bestFit="1" customWidth="1"/>
    <col min="5" max="5" width="13.28515625" customWidth="1"/>
    <col min="6" max="6" width="12.5703125" customWidth="1"/>
    <col min="7" max="7" width="14.85546875" customWidth="1"/>
    <col min="8" max="8" width="12.5703125" customWidth="1"/>
    <col min="9" max="9" width="14.140625" bestFit="1" customWidth="1"/>
    <col min="10" max="10" width="14.28515625" style="154" customWidth="1"/>
    <col min="11" max="11" width="19.140625" bestFit="1" customWidth="1"/>
    <col min="12" max="13" width="11.28515625" customWidth="1"/>
    <col min="14" max="14" width="14.140625" customWidth="1"/>
    <col min="15" max="15" width="13.140625" customWidth="1"/>
    <col min="16" max="16" width="12.85546875" bestFit="1" customWidth="1"/>
    <col min="17" max="18" width="12.85546875" customWidth="1"/>
    <col min="19" max="19" width="13.42578125" customWidth="1"/>
    <col min="20" max="20" width="12.85546875" bestFit="1" customWidth="1"/>
    <col min="21" max="22" width="11.28515625" customWidth="1"/>
    <col min="23" max="23" width="11.28515625" bestFit="1" customWidth="1"/>
    <col min="24" max="24" width="12.85546875" bestFit="1" customWidth="1"/>
  </cols>
  <sheetData>
    <row r="1" spans="1:20" ht="37.5" customHeight="1" x14ac:dyDescent="0.2">
      <c r="A1" s="193" t="s">
        <v>393</v>
      </c>
      <c r="B1" s="147"/>
      <c r="C1" s="147"/>
      <c r="D1" s="148"/>
      <c r="E1" s="400" t="s">
        <v>638</v>
      </c>
      <c r="F1" s="400"/>
      <c r="G1" s="141"/>
      <c r="H1" s="141"/>
      <c r="I1" s="141"/>
      <c r="J1" s="149"/>
      <c r="K1" s="141"/>
      <c r="L1" s="141"/>
      <c r="M1" s="141"/>
      <c r="N1" s="141"/>
      <c r="O1" s="141"/>
      <c r="P1" s="141"/>
      <c r="Q1" s="141"/>
      <c r="R1" s="141"/>
      <c r="S1" s="141"/>
      <c r="T1" s="141"/>
    </row>
    <row r="2" spans="1:20" ht="38.25" x14ac:dyDescent="0.2">
      <c r="A2" s="149" t="s">
        <v>394</v>
      </c>
      <c r="C2" s="155">
        <v>1041384.54</v>
      </c>
      <c r="E2" s="399" t="s">
        <v>411</v>
      </c>
      <c r="F2" s="399"/>
      <c r="G2" s="158">
        <f>IF(C4&lt;0,0,IF(C4&lt;C2,B3,0))</f>
        <v>0</v>
      </c>
      <c r="J2"/>
    </row>
    <row r="3" spans="1:20" ht="25.5" x14ac:dyDescent="0.2">
      <c r="A3" s="149" t="s">
        <v>395</v>
      </c>
      <c r="B3" s="155">
        <f>'s3,s3b,s3d'!$I$8</f>
        <v>1127753.8</v>
      </c>
      <c r="E3" s="159" t="s">
        <v>397</v>
      </c>
      <c r="F3" s="160" t="s">
        <v>639</v>
      </c>
      <c r="G3" s="160" t="s">
        <v>640</v>
      </c>
      <c r="H3" s="160" t="s">
        <v>399</v>
      </c>
      <c r="I3" s="160" t="s">
        <v>400</v>
      </c>
      <c r="J3"/>
    </row>
    <row r="4" spans="1:20" ht="25.5" x14ac:dyDescent="0.2">
      <c r="A4" s="192" t="s">
        <v>396</v>
      </c>
      <c r="B4" s="150">
        <f>'s3,s3b,s3d'!E54</f>
        <v>6613.53</v>
      </c>
      <c r="C4" s="157">
        <f>B3-B4</f>
        <v>1121140.27</v>
      </c>
      <c r="E4" s="154" t="s">
        <v>21</v>
      </c>
      <c r="F4" s="152">
        <v>1.67E-2</v>
      </c>
      <c r="G4" s="161">
        <f t="shared" ref="G4:G20" si="0">$G$2*F4</f>
        <v>0</v>
      </c>
      <c r="H4" s="150">
        <f>'s3,s3b,s3d'!E37</f>
        <v>138.88</v>
      </c>
      <c r="I4" s="161">
        <f t="shared" ref="I4:I20" si="1">G4-H4</f>
        <v>-138.88</v>
      </c>
      <c r="J4"/>
    </row>
    <row r="5" spans="1:20" ht="49.5" customHeight="1" x14ac:dyDescent="0.2">
      <c r="E5" s="154" t="s">
        <v>22</v>
      </c>
      <c r="F5" s="152">
        <v>2.7699999999999999E-2</v>
      </c>
      <c r="G5" s="161">
        <f t="shared" si="0"/>
        <v>0</v>
      </c>
      <c r="H5" s="150">
        <f>'s3,s3b,s3d'!E38</f>
        <v>112.43</v>
      </c>
      <c r="I5" s="161">
        <f t="shared" si="1"/>
        <v>-112.43</v>
      </c>
      <c r="J5"/>
    </row>
    <row r="6" spans="1:20" ht="35.25" customHeight="1" x14ac:dyDescent="0.2">
      <c r="E6" s="154" t="s">
        <v>23</v>
      </c>
      <c r="F6" s="152">
        <v>0.43830000000000002</v>
      </c>
      <c r="G6" s="161">
        <f t="shared" si="0"/>
        <v>0</v>
      </c>
      <c r="H6" s="150">
        <f>'s3,s3b,s3d'!E39</f>
        <v>3630.83</v>
      </c>
      <c r="I6" s="161">
        <f>(G6-H6)+J21</f>
        <v>-3630.83</v>
      </c>
      <c r="J6"/>
    </row>
    <row r="7" spans="1:20" x14ac:dyDescent="0.2">
      <c r="E7" s="154" t="s">
        <v>24</v>
      </c>
      <c r="F7" s="152">
        <v>1.55E-2</v>
      </c>
      <c r="G7" s="161">
        <f t="shared" si="0"/>
        <v>0</v>
      </c>
      <c r="H7" s="150">
        <f>'s3,s3b,s3d'!E40</f>
        <v>112.43</v>
      </c>
      <c r="I7" s="161">
        <f t="shared" si="1"/>
        <v>-112.43</v>
      </c>
      <c r="J7"/>
    </row>
    <row r="8" spans="1:20" x14ac:dyDescent="0.2">
      <c r="E8" s="154" t="s">
        <v>25</v>
      </c>
      <c r="F8" s="152">
        <v>6.5299999999999997E-2</v>
      </c>
      <c r="G8" s="161">
        <f t="shared" si="0"/>
        <v>0</v>
      </c>
      <c r="H8" s="150">
        <f>'s3,s3b,s3d'!E41</f>
        <v>218.25</v>
      </c>
      <c r="I8" s="161">
        <f t="shared" si="1"/>
        <v>-218.25</v>
      </c>
      <c r="J8"/>
    </row>
    <row r="9" spans="1:20" x14ac:dyDescent="0.2">
      <c r="E9" s="154" t="s">
        <v>26</v>
      </c>
      <c r="F9" s="152">
        <v>1.52E-2</v>
      </c>
      <c r="G9" s="161">
        <f t="shared" si="0"/>
        <v>0</v>
      </c>
      <c r="H9" s="150">
        <f>'s3,s3b,s3d'!E42</f>
        <v>52.91</v>
      </c>
      <c r="I9" s="161">
        <f t="shared" si="1"/>
        <v>-52.91</v>
      </c>
      <c r="J9"/>
    </row>
    <row r="10" spans="1:20" x14ac:dyDescent="0.2">
      <c r="E10" s="154" t="s">
        <v>27</v>
      </c>
      <c r="F10" s="152">
        <v>1.9400000000000001E-2</v>
      </c>
      <c r="G10" s="161">
        <f t="shared" si="0"/>
        <v>0</v>
      </c>
      <c r="H10" s="150">
        <f>'s3,s3b,s3d'!E43</f>
        <v>105.82</v>
      </c>
      <c r="I10" s="161">
        <f t="shared" si="1"/>
        <v>-105.82</v>
      </c>
      <c r="J10"/>
    </row>
    <row r="11" spans="1:20" x14ac:dyDescent="0.2">
      <c r="E11" s="154" t="s">
        <v>28</v>
      </c>
      <c r="F11" s="152">
        <v>3.9199999999999999E-2</v>
      </c>
      <c r="G11" s="161">
        <f t="shared" si="0"/>
        <v>0</v>
      </c>
      <c r="H11" s="150">
        <f>'s3,s3b,s3d'!E44</f>
        <v>138.88</v>
      </c>
      <c r="I11" s="161">
        <f t="shared" si="1"/>
        <v>-138.88</v>
      </c>
      <c r="J11"/>
    </row>
    <row r="12" spans="1:20" x14ac:dyDescent="0.2">
      <c r="E12" s="154" t="s">
        <v>29</v>
      </c>
      <c r="F12" s="152">
        <v>2.4799999999999999E-2</v>
      </c>
      <c r="G12" s="161">
        <f t="shared" si="0"/>
        <v>0</v>
      </c>
      <c r="H12" s="150">
        <f>'s3,s3b,s3d'!E45</f>
        <v>132.27000000000001</v>
      </c>
      <c r="I12" s="161">
        <f t="shared" si="1"/>
        <v>-132.27000000000001</v>
      </c>
      <c r="J12"/>
    </row>
    <row r="13" spans="1:20" x14ac:dyDescent="0.2">
      <c r="E13" s="154" t="s">
        <v>30</v>
      </c>
      <c r="F13" s="152">
        <v>4.3200000000000002E-2</v>
      </c>
      <c r="G13" s="161">
        <f t="shared" si="0"/>
        <v>0</v>
      </c>
      <c r="H13" s="150">
        <f>'s3,s3b,s3d'!E46</f>
        <v>211.63</v>
      </c>
      <c r="I13" s="161">
        <f t="shared" si="1"/>
        <v>-211.63</v>
      </c>
      <c r="J13"/>
    </row>
    <row r="14" spans="1:20" x14ac:dyDescent="0.2">
      <c r="E14" s="154" t="s">
        <v>31</v>
      </c>
      <c r="F14" s="152">
        <v>1.89E-2</v>
      </c>
      <c r="G14" s="161">
        <f t="shared" si="0"/>
        <v>0</v>
      </c>
      <c r="H14" s="150">
        <f>'s3,s3b,s3d'!E47</f>
        <v>138.88</v>
      </c>
      <c r="I14" s="161">
        <f t="shared" si="1"/>
        <v>-138.88</v>
      </c>
      <c r="J14"/>
    </row>
    <row r="15" spans="1:20" x14ac:dyDescent="0.2">
      <c r="E15" s="154" t="s">
        <v>401</v>
      </c>
      <c r="F15" s="152">
        <v>1.4E-2</v>
      </c>
      <c r="G15" s="161">
        <f t="shared" si="0"/>
        <v>0</v>
      </c>
      <c r="H15" s="150">
        <f>'s3,s3b,s3d'!E48</f>
        <v>46.29</v>
      </c>
      <c r="I15" s="161">
        <f t="shared" si="1"/>
        <v>-46.29</v>
      </c>
      <c r="J15"/>
    </row>
    <row r="16" spans="1:20" x14ac:dyDescent="0.2">
      <c r="E16" s="154" t="s">
        <v>33</v>
      </c>
      <c r="F16" s="152">
        <v>6.7699999999999996E-2</v>
      </c>
      <c r="G16" s="161">
        <f t="shared" si="0"/>
        <v>0</v>
      </c>
      <c r="H16" s="150">
        <f>'s3,s3b,s3d'!E49</f>
        <v>291</v>
      </c>
      <c r="I16" s="161">
        <f t="shared" si="1"/>
        <v>-291</v>
      </c>
      <c r="J16"/>
    </row>
    <row r="17" spans="1:22" x14ac:dyDescent="0.2">
      <c r="E17" s="154" t="s">
        <v>34</v>
      </c>
      <c r="F17" s="152">
        <v>2.8400000000000002E-2</v>
      </c>
      <c r="G17" s="161">
        <f t="shared" si="0"/>
        <v>0</v>
      </c>
      <c r="H17" s="150">
        <f>'s3,s3b,s3d'!E50</f>
        <v>218.25</v>
      </c>
      <c r="I17" s="161">
        <f t="shared" si="1"/>
        <v>-218.25</v>
      </c>
      <c r="J17"/>
    </row>
    <row r="18" spans="1:22" x14ac:dyDescent="0.2">
      <c r="E18" s="154" t="s">
        <v>35</v>
      </c>
      <c r="F18" s="152">
        <v>2.2000000000000001E-3</v>
      </c>
      <c r="G18" s="161">
        <f t="shared" si="0"/>
        <v>0</v>
      </c>
      <c r="H18" s="150">
        <f>'s3,s3b,s3d'!E51</f>
        <v>13.23</v>
      </c>
      <c r="I18" s="161">
        <f t="shared" si="1"/>
        <v>-13.23</v>
      </c>
      <c r="J18"/>
    </row>
    <row r="19" spans="1:22" x14ac:dyDescent="0.2">
      <c r="E19" s="154" t="s">
        <v>36</v>
      </c>
      <c r="F19" s="152">
        <v>0.1232</v>
      </c>
      <c r="G19" s="161">
        <f t="shared" si="0"/>
        <v>0</v>
      </c>
      <c r="H19" s="150">
        <f>'s3,s3b,s3d'!E52</f>
        <v>912.67</v>
      </c>
      <c r="I19" s="161">
        <f t="shared" si="1"/>
        <v>-912.67</v>
      </c>
      <c r="J19"/>
    </row>
    <row r="20" spans="1:22" x14ac:dyDescent="0.2">
      <c r="E20" s="154" t="s">
        <v>37</v>
      </c>
      <c r="F20" s="152">
        <v>4.0300000000000002E-2</v>
      </c>
      <c r="G20" s="161">
        <f t="shared" si="0"/>
        <v>0</v>
      </c>
      <c r="H20" s="150">
        <f>'s3,s3b,s3d'!E53</f>
        <v>138.88</v>
      </c>
      <c r="I20" s="161">
        <f t="shared" si="1"/>
        <v>-138.88</v>
      </c>
      <c r="J20"/>
    </row>
    <row r="21" spans="1:22" ht="13.5" thickBot="1" x14ac:dyDescent="0.25">
      <c r="E21" s="149" t="s">
        <v>245</v>
      </c>
      <c r="F21" s="162">
        <f>SUM(F4:F20)</f>
        <v>1</v>
      </c>
      <c r="G21" s="163">
        <f>SUM(G4:G20)</f>
        <v>0</v>
      </c>
      <c r="H21" s="164">
        <f>SUM(H4:H20)</f>
        <v>6613.53</v>
      </c>
      <c r="I21" s="163">
        <f>SUM(I4:I20)</f>
        <v>-6613.53</v>
      </c>
      <c r="J21" s="161">
        <f>G2-G21</f>
        <v>0</v>
      </c>
    </row>
    <row r="22" spans="1:22" ht="26.25" customHeight="1" thickTop="1" thickBot="1" x14ac:dyDescent="0.25">
      <c r="A22" s="401" t="s">
        <v>641</v>
      </c>
      <c r="B22" s="401"/>
      <c r="C22" s="401"/>
      <c r="J22"/>
    </row>
    <row r="23" spans="1:22" ht="37.5" customHeight="1" thickBot="1" x14ac:dyDescent="0.25">
      <c r="A23" s="399" t="s">
        <v>412</v>
      </c>
      <c r="B23" s="399"/>
      <c r="C23" s="150">
        <f>IF(C4&gt;C2,B3,0)</f>
        <v>1127753.8</v>
      </c>
      <c r="D23" s="150"/>
      <c r="E23" s="150"/>
      <c r="F23" s="150"/>
      <c r="J23"/>
      <c r="L23" s="396" t="s">
        <v>672</v>
      </c>
      <c r="M23" s="397"/>
      <c r="N23" s="397"/>
      <c r="O23" s="398"/>
      <c r="R23" s="149" t="s">
        <v>647</v>
      </c>
    </row>
    <row r="24" spans="1:22" ht="89.25" x14ac:dyDescent="0.2">
      <c r="A24" s="166" t="s">
        <v>402</v>
      </c>
      <c r="B24" s="166" t="s">
        <v>403</v>
      </c>
      <c r="C24" s="166" t="s">
        <v>404</v>
      </c>
      <c r="D24" s="166" t="s">
        <v>405</v>
      </c>
      <c r="E24" s="166" t="s">
        <v>406</v>
      </c>
      <c r="F24" s="166" t="s">
        <v>642</v>
      </c>
      <c r="G24" s="167" t="s">
        <v>643</v>
      </c>
      <c r="H24" s="166" t="s">
        <v>407</v>
      </c>
      <c r="I24" s="166" t="s">
        <v>408</v>
      </c>
      <c r="J24" s="166" t="s">
        <v>644</v>
      </c>
      <c r="K24" s="323" t="s">
        <v>645</v>
      </c>
      <c r="L24" s="322" t="s">
        <v>673</v>
      </c>
      <c r="M24" s="322" t="s">
        <v>674</v>
      </c>
      <c r="N24" s="322" t="s">
        <v>675</v>
      </c>
      <c r="O24" s="322" t="s">
        <v>676</v>
      </c>
      <c r="P24" s="166" t="s">
        <v>646</v>
      </c>
      <c r="Q24" s="167" t="s">
        <v>409</v>
      </c>
      <c r="R24" s="168">
        <f>IF(C4-C2&gt;0,C4-C2,0)</f>
        <v>79755.73</v>
      </c>
      <c r="S24" s="166" t="s">
        <v>112</v>
      </c>
      <c r="T24" s="332" t="s">
        <v>677</v>
      </c>
      <c r="U24" s="333" t="s">
        <v>678</v>
      </c>
    </row>
    <row r="25" spans="1:22" x14ac:dyDescent="0.2">
      <c r="A25" s="154" t="s">
        <v>21</v>
      </c>
      <c r="B25" s="169">
        <v>54844</v>
      </c>
      <c r="C25" s="143">
        <f t="shared" ref="C25:C41" si="2">B25/$B$42</f>
        <v>2.4861000000000001E-2</v>
      </c>
      <c r="D25" s="169">
        <v>248</v>
      </c>
      <c r="E25" s="143">
        <f t="shared" ref="E25:E41" si="3">D25/$D$42</f>
        <v>1.2185E-2</v>
      </c>
      <c r="F25" s="143">
        <f t="shared" ref="F25:F41" si="4">(C25*2/3)+(E25/3)</f>
        <v>2.0636000000000002E-2</v>
      </c>
      <c r="G25" s="161">
        <f t="shared" ref="G25:G41" si="5">$C$23*F25</f>
        <v>23272.33</v>
      </c>
      <c r="H25" s="161">
        <f t="shared" ref="H25:H41" si="6">H4</f>
        <v>138.88</v>
      </c>
      <c r="I25" s="161">
        <f t="shared" ref="I25:I41" si="7">G25-H25</f>
        <v>23133.45</v>
      </c>
      <c r="J25" s="152">
        <f t="shared" ref="J25:J41" si="8">F4</f>
        <v>1.67E-2</v>
      </c>
      <c r="K25" s="161">
        <f t="shared" ref="K25:K41" si="9">$C$2*J25</f>
        <v>17391.12</v>
      </c>
      <c r="L25" s="340">
        <f>IF((I25&gt;K25), I25-K25, 0)</f>
        <v>5742.33</v>
      </c>
      <c r="M25" s="341">
        <f>L25/$L$42</f>
        <v>2.8039999999999999E-2</v>
      </c>
      <c r="N25" s="342">
        <f>IF((K25&gt;I25), K25-I25, 0)</f>
        <v>0</v>
      </c>
      <c r="O25" s="343">
        <f>$O$42*M25</f>
        <v>2236.35</v>
      </c>
      <c r="P25" s="143">
        <f t="shared" ref="P25:P41" si="10">IF(I25-K25&lt;=0,0,F25)</f>
        <v>2.0636000000000002E-2</v>
      </c>
      <c r="Q25" s="143">
        <f t="shared" ref="Q25:Q41" si="11">IF(P25=0,0,P25/$P$42)</f>
        <v>2.6522E-2</v>
      </c>
      <c r="R25" s="161">
        <f t="shared" ref="R25:R41" si="12">Q25*$R$24</f>
        <v>2115.2800000000002</v>
      </c>
      <c r="S25" s="161">
        <f>K25+R25</f>
        <v>19506.400000000001</v>
      </c>
      <c r="T25" s="334">
        <f>K25+O25</f>
        <v>19627.47</v>
      </c>
      <c r="U25" s="338">
        <f>+S25-T25</f>
        <v>-121.07</v>
      </c>
      <c r="V25" s="161">
        <f t="shared" ref="V25:V42" si="13">K25+R25</f>
        <v>19506.400000000001</v>
      </c>
    </row>
    <row r="26" spans="1:22" x14ac:dyDescent="0.2">
      <c r="A26" s="154" t="s">
        <v>22</v>
      </c>
      <c r="B26" s="169">
        <v>25116</v>
      </c>
      <c r="C26" s="143">
        <f t="shared" si="2"/>
        <v>1.1384999999999999E-2</v>
      </c>
      <c r="D26" s="169">
        <v>595</v>
      </c>
      <c r="E26" s="143">
        <f t="shared" si="3"/>
        <v>2.9234E-2</v>
      </c>
      <c r="F26" s="143">
        <f t="shared" si="4"/>
        <v>1.7335E-2</v>
      </c>
      <c r="G26" s="161">
        <f t="shared" si="5"/>
        <v>19549.61</v>
      </c>
      <c r="H26" s="161">
        <f t="shared" si="6"/>
        <v>112.43</v>
      </c>
      <c r="I26" s="161">
        <f t="shared" si="7"/>
        <v>19437.18</v>
      </c>
      <c r="J26" s="152">
        <f t="shared" si="8"/>
        <v>2.7699999999999999E-2</v>
      </c>
      <c r="K26" s="161">
        <f t="shared" si="9"/>
        <v>28846.35</v>
      </c>
      <c r="L26" s="347">
        <f>IF((I26&gt;K26), I26-K26, 0)</f>
        <v>0</v>
      </c>
      <c r="M26" s="341"/>
      <c r="N26" s="348">
        <f>IF((K26&gt;I26), K26-I26, 0)</f>
        <v>9409.17</v>
      </c>
      <c r="O26" s="349"/>
      <c r="P26" s="143">
        <f t="shared" si="10"/>
        <v>0</v>
      </c>
      <c r="Q26" s="143">
        <f t="shared" si="11"/>
        <v>0</v>
      </c>
      <c r="R26" s="161">
        <f t="shared" si="12"/>
        <v>0</v>
      </c>
      <c r="S26" s="161">
        <f>K26+R26</f>
        <v>28846.35</v>
      </c>
      <c r="T26" s="334">
        <f t="shared" ref="T26:T41" si="14">K26+O26</f>
        <v>28846.35</v>
      </c>
      <c r="U26" s="338">
        <f t="shared" ref="U26:U41" si="15">+S26-T26</f>
        <v>0</v>
      </c>
      <c r="V26" s="161">
        <f t="shared" si="13"/>
        <v>28846.35</v>
      </c>
    </row>
    <row r="27" spans="1:22" x14ac:dyDescent="0.2">
      <c r="A27" s="154" t="s">
        <v>23</v>
      </c>
      <c r="B27" s="169">
        <v>1549657</v>
      </c>
      <c r="C27" s="143">
        <f t="shared" si="2"/>
        <v>0.70246699999999995</v>
      </c>
      <c r="D27" s="169">
        <v>4863</v>
      </c>
      <c r="E27" s="143">
        <f t="shared" si="3"/>
        <v>0.23893300000000001</v>
      </c>
      <c r="F27" s="143">
        <f t="shared" si="4"/>
        <v>0.547956</v>
      </c>
      <c r="G27" s="161">
        <f t="shared" si="5"/>
        <v>617959.46</v>
      </c>
      <c r="H27" s="161">
        <f t="shared" si="6"/>
        <v>3630.83</v>
      </c>
      <c r="I27" s="161">
        <f t="shared" si="7"/>
        <v>614328.63</v>
      </c>
      <c r="J27" s="152">
        <f t="shared" si="8"/>
        <v>0.43830000000000002</v>
      </c>
      <c r="K27" s="161">
        <f t="shared" si="9"/>
        <v>456438.84</v>
      </c>
      <c r="L27" s="347">
        <f t="shared" ref="L27:L41" si="16">IF((I27&gt;K27), I27-K27, 0)</f>
        <v>157889.79</v>
      </c>
      <c r="M27" s="341">
        <f>L27/$L$42</f>
        <v>0.77097700000000002</v>
      </c>
      <c r="N27" s="348">
        <f t="shared" ref="N27:N41" si="17">IF((K27&gt;I27), K27-I27, 0)</f>
        <v>0</v>
      </c>
      <c r="O27" s="349">
        <f>$O$42*M27</f>
        <v>61489.83</v>
      </c>
      <c r="P27" s="143">
        <f t="shared" si="10"/>
        <v>0.547956</v>
      </c>
      <c r="Q27" s="143">
        <f t="shared" si="11"/>
        <v>0.70425000000000004</v>
      </c>
      <c r="R27" s="161">
        <f t="shared" si="12"/>
        <v>56167.97</v>
      </c>
      <c r="S27" s="161">
        <f>K27+R27-X42</f>
        <v>512606.81</v>
      </c>
      <c r="T27" s="334">
        <f t="shared" si="14"/>
        <v>517928.67</v>
      </c>
      <c r="U27" s="338">
        <f t="shared" si="15"/>
        <v>-5321.86</v>
      </c>
      <c r="V27" s="161">
        <f t="shared" si="13"/>
        <v>512606.81</v>
      </c>
    </row>
    <row r="28" spans="1:22" x14ac:dyDescent="0.2">
      <c r="A28" s="154" t="s">
        <v>24</v>
      </c>
      <c r="B28" s="169">
        <v>44212</v>
      </c>
      <c r="C28" s="143">
        <f t="shared" si="2"/>
        <v>2.0042000000000001E-2</v>
      </c>
      <c r="D28" s="169">
        <v>210</v>
      </c>
      <c r="E28" s="143">
        <f t="shared" si="3"/>
        <v>1.0318000000000001E-2</v>
      </c>
      <c r="F28" s="143">
        <f t="shared" si="4"/>
        <v>1.6801E-2</v>
      </c>
      <c r="G28" s="161">
        <f t="shared" si="5"/>
        <v>18947.39</v>
      </c>
      <c r="H28" s="161">
        <f t="shared" si="6"/>
        <v>112.43</v>
      </c>
      <c r="I28" s="161">
        <f t="shared" si="7"/>
        <v>18834.96</v>
      </c>
      <c r="J28" s="152">
        <f t="shared" si="8"/>
        <v>1.55E-2</v>
      </c>
      <c r="K28" s="161">
        <f t="shared" si="9"/>
        <v>16141.46</v>
      </c>
      <c r="L28" s="347">
        <f t="shared" si="16"/>
        <v>2693.5</v>
      </c>
      <c r="M28" s="341">
        <f>L28/$L$42</f>
        <v>1.3152E-2</v>
      </c>
      <c r="N28" s="348">
        <f t="shared" si="17"/>
        <v>0</v>
      </c>
      <c r="O28" s="349">
        <f>$O$42*M28</f>
        <v>1048.95</v>
      </c>
      <c r="P28" s="143">
        <f t="shared" si="10"/>
        <v>1.6801E-2</v>
      </c>
      <c r="Q28" s="143">
        <f t="shared" si="11"/>
        <v>2.1593000000000001E-2</v>
      </c>
      <c r="R28" s="161">
        <f t="shared" si="12"/>
        <v>1722.17</v>
      </c>
      <c r="S28" s="161">
        <f t="shared" ref="S28:S41" si="18">K28+R28</f>
        <v>17863.63</v>
      </c>
      <c r="T28" s="334">
        <f t="shared" si="14"/>
        <v>17190.41</v>
      </c>
      <c r="U28" s="338">
        <f t="shared" si="15"/>
        <v>673.22</v>
      </c>
      <c r="V28" s="161">
        <f t="shared" si="13"/>
        <v>17863.63</v>
      </c>
    </row>
    <row r="29" spans="1:22" x14ac:dyDescent="0.2">
      <c r="A29" s="154" t="s">
        <v>25</v>
      </c>
      <c r="B29" s="169">
        <v>46577</v>
      </c>
      <c r="C29" s="143">
        <f t="shared" si="2"/>
        <v>2.1114000000000001E-2</v>
      </c>
      <c r="D29" s="169">
        <v>1174</v>
      </c>
      <c r="E29" s="143">
        <f t="shared" si="3"/>
        <v>5.7681999999999997E-2</v>
      </c>
      <c r="F29" s="143">
        <f t="shared" si="4"/>
        <v>3.3302999999999999E-2</v>
      </c>
      <c r="G29" s="161">
        <f t="shared" si="5"/>
        <v>37557.58</v>
      </c>
      <c r="H29" s="161">
        <f t="shared" si="6"/>
        <v>218.25</v>
      </c>
      <c r="I29" s="161">
        <f t="shared" si="7"/>
        <v>37339.33</v>
      </c>
      <c r="J29" s="152">
        <f t="shared" si="8"/>
        <v>6.5299999999999997E-2</v>
      </c>
      <c r="K29" s="161">
        <f t="shared" si="9"/>
        <v>68002.41</v>
      </c>
      <c r="L29" s="347">
        <f t="shared" si="16"/>
        <v>0</v>
      </c>
      <c r="M29" s="341"/>
      <c r="N29" s="348">
        <f t="shared" si="17"/>
        <v>30663.08</v>
      </c>
      <c r="O29" s="349"/>
      <c r="P29" s="143">
        <f t="shared" si="10"/>
        <v>0</v>
      </c>
      <c r="Q29" s="143">
        <f t="shared" si="11"/>
        <v>0</v>
      </c>
      <c r="R29" s="161">
        <f t="shared" si="12"/>
        <v>0</v>
      </c>
      <c r="S29" s="161">
        <f t="shared" si="18"/>
        <v>68002.41</v>
      </c>
      <c r="T29" s="334">
        <f t="shared" si="14"/>
        <v>68002.41</v>
      </c>
      <c r="U29" s="338">
        <f t="shared" si="15"/>
        <v>0</v>
      </c>
      <c r="V29" s="161">
        <f t="shared" si="13"/>
        <v>68002.41</v>
      </c>
    </row>
    <row r="30" spans="1:22" x14ac:dyDescent="0.2">
      <c r="A30" s="154" t="s">
        <v>26</v>
      </c>
      <c r="B30" s="169">
        <v>1125</v>
      </c>
      <c r="C30" s="143">
        <f t="shared" si="2"/>
        <v>5.1000000000000004E-4</v>
      </c>
      <c r="D30" s="169">
        <v>469</v>
      </c>
      <c r="E30" s="143">
        <f t="shared" si="3"/>
        <v>2.3043000000000001E-2</v>
      </c>
      <c r="F30" s="143">
        <f t="shared" si="4"/>
        <v>8.0210000000000004E-3</v>
      </c>
      <c r="G30" s="161">
        <f t="shared" si="5"/>
        <v>9045.7099999999991</v>
      </c>
      <c r="H30" s="161">
        <f t="shared" si="6"/>
        <v>52.91</v>
      </c>
      <c r="I30" s="161">
        <f t="shared" si="7"/>
        <v>8992.7999999999993</v>
      </c>
      <c r="J30" s="152">
        <f t="shared" si="8"/>
        <v>1.52E-2</v>
      </c>
      <c r="K30" s="161">
        <f t="shared" si="9"/>
        <v>15829.05</v>
      </c>
      <c r="L30" s="347">
        <f t="shared" si="16"/>
        <v>0</v>
      </c>
      <c r="M30" s="341"/>
      <c r="N30" s="348">
        <f t="shared" si="17"/>
        <v>6836.25</v>
      </c>
      <c r="O30" s="349"/>
      <c r="P30" s="143">
        <f t="shared" si="10"/>
        <v>0</v>
      </c>
      <c r="Q30" s="143">
        <f t="shared" si="11"/>
        <v>0</v>
      </c>
      <c r="R30" s="161">
        <f t="shared" si="12"/>
        <v>0</v>
      </c>
      <c r="S30" s="161">
        <f t="shared" si="18"/>
        <v>15829.05</v>
      </c>
      <c r="T30" s="334">
        <f t="shared" si="14"/>
        <v>15829.05</v>
      </c>
      <c r="U30" s="338">
        <f t="shared" si="15"/>
        <v>0</v>
      </c>
      <c r="V30" s="161">
        <f t="shared" si="13"/>
        <v>15829.05</v>
      </c>
    </row>
    <row r="31" spans="1:22" x14ac:dyDescent="0.2">
      <c r="A31" s="154" t="s">
        <v>27</v>
      </c>
      <c r="B31" s="169">
        <v>1384</v>
      </c>
      <c r="C31" s="143">
        <f t="shared" si="2"/>
        <v>6.2699999999999995E-4</v>
      </c>
      <c r="D31" s="169">
        <v>960</v>
      </c>
      <c r="E31" s="143">
        <f t="shared" si="3"/>
        <v>4.7167000000000001E-2</v>
      </c>
      <c r="F31" s="143">
        <f t="shared" si="4"/>
        <v>1.6140000000000002E-2</v>
      </c>
      <c r="G31" s="161">
        <f t="shared" si="5"/>
        <v>18201.95</v>
      </c>
      <c r="H31" s="161">
        <f t="shared" si="6"/>
        <v>105.82</v>
      </c>
      <c r="I31" s="161">
        <f t="shared" si="7"/>
        <v>18096.13</v>
      </c>
      <c r="J31" s="152">
        <f t="shared" si="8"/>
        <v>1.9400000000000001E-2</v>
      </c>
      <c r="K31" s="161">
        <f t="shared" si="9"/>
        <v>20202.86</v>
      </c>
      <c r="L31" s="347">
        <f t="shared" si="16"/>
        <v>0</v>
      </c>
      <c r="M31" s="341"/>
      <c r="N31" s="348">
        <f t="shared" si="17"/>
        <v>2106.73</v>
      </c>
      <c r="O31" s="349"/>
      <c r="P31" s="143">
        <f t="shared" si="10"/>
        <v>0</v>
      </c>
      <c r="Q31" s="143">
        <f t="shared" si="11"/>
        <v>0</v>
      </c>
      <c r="R31" s="161">
        <f t="shared" si="12"/>
        <v>0</v>
      </c>
      <c r="S31" s="161">
        <f t="shared" si="18"/>
        <v>20202.86</v>
      </c>
      <c r="T31" s="334">
        <f t="shared" si="14"/>
        <v>20202.86</v>
      </c>
      <c r="U31" s="338">
        <f t="shared" si="15"/>
        <v>0</v>
      </c>
      <c r="V31" s="161">
        <f t="shared" si="13"/>
        <v>20202.86</v>
      </c>
    </row>
    <row r="32" spans="1:22" x14ac:dyDescent="0.2">
      <c r="A32" s="154" t="s">
        <v>28</v>
      </c>
      <c r="B32" s="169">
        <v>16308</v>
      </c>
      <c r="C32" s="143">
        <f t="shared" si="2"/>
        <v>7.3920000000000001E-3</v>
      </c>
      <c r="D32" s="169">
        <v>996</v>
      </c>
      <c r="E32" s="143">
        <f t="shared" si="3"/>
        <v>4.8936E-2</v>
      </c>
      <c r="F32" s="143">
        <f t="shared" si="4"/>
        <v>2.1239999999999998E-2</v>
      </c>
      <c r="G32" s="161">
        <f t="shared" si="5"/>
        <v>23953.49</v>
      </c>
      <c r="H32" s="161">
        <f t="shared" si="6"/>
        <v>138.88</v>
      </c>
      <c r="I32" s="161">
        <f t="shared" si="7"/>
        <v>23814.61</v>
      </c>
      <c r="J32" s="152">
        <f t="shared" si="8"/>
        <v>3.9199999999999999E-2</v>
      </c>
      <c r="K32" s="161">
        <f t="shared" si="9"/>
        <v>40822.269999999997</v>
      </c>
      <c r="L32" s="347">
        <f t="shared" si="16"/>
        <v>0</v>
      </c>
      <c r="M32" s="341"/>
      <c r="N32" s="348">
        <f t="shared" si="17"/>
        <v>17007.66</v>
      </c>
      <c r="O32" s="349"/>
      <c r="P32" s="143">
        <f t="shared" si="10"/>
        <v>0</v>
      </c>
      <c r="Q32" s="143">
        <f t="shared" si="11"/>
        <v>0</v>
      </c>
      <c r="R32" s="161">
        <f t="shared" si="12"/>
        <v>0</v>
      </c>
      <c r="S32" s="161">
        <f t="shared" si="18"/>
        <v>40822.269999999997</v>
      </c>
      <c r="T32" s="334">
        <f t="shared" si="14"/>
        <v>40822.269999999997</v>
      </c>
      <c r="U32" s="338">
        <f t="shared" si="15"/>
        <v>0</v>
      </c>
      <c r="V32" s="161">
        <f t="shared" si="13"/>
        <v>40822.269999999997</v>
      </c>
    </row>
    <row r="33" spans="1:24" x14ac:dyDescent="0.2">
      <c r="A33" s="154" t="s">
        <v>29</v>
      </c>
      <c r="B33" s="169">
        <v>5547</v>
      </c>
      <c r="C33" s="143">
        <f t="shared" si="2"/>
        <v>2.5140000000000002E-3</v>
      </c>
      <c r="D33" s="169">
        <v>1149</v>
      </c>
      <c r="E33" s="143">
        <f t="shared" si="3"/>
        <v>5.6453999999999997E-2</v>
      </c>
      <c r="F33" s="143">
        <f t="shared" si="4"/>
        <v>2.0493999999999998E-2</v>
      </c>
      <c r="G33" s="161">
        <f t="shared" si="5"/>
        <v>23112.19</v>
      </c>
      <c r="H33" s="161">
        <f t="shared" si="6"/>
        <v>132.27000000000001</v>
      </c>
      <c r="I33" s="161">
        <f t="shared" si="7"/>
        <v>22979.919999999998</v>
      </c>
      <c r="J33" s="152">
        <f t="shared" si="8"/>
        <v>2.4799999999999999E-2</v>
      </c>
      <c r="K33" s="161">
        <f t="shared" si="9"/>
        <v>25826.34</v>
      </c>
      <c r="L33" s="347">
        <f t="shared" si="16"/>
        <v>0</v>
      </c>
      <c r="M33" s="341"/>
      <c r="N33" s="348">
        <f t="shared" si="17"/>
        <v>2846.42</v>
      </c>
      <c r="O33" s="349"/>
      <c r="P33" s="143">
        <f t="shared" si="10"/>
        <v>0</v>
      </c>
      <c r="Q33" s="143">
        <f t="shared" si="11"/>
        <v>0</v>
      </c>
      <c r="R33" s="161">
        <f t="shared" si="12"/>
        <v>0</v>
      </c>
      <c r="S33" s="161">
        <f t="shared" si="18"/>
        <v>25826.34</v>
      </c>
      <c r="T33" s="334">
        <f t="shared" si="14"/>
        <v>25826.34</v>
      </c>
      <c r="U33" s="338">
        <f t="shared" si="15"/>
        <v>0</v>
      </c>
      <c r="V33" s="161">
        <f t="shared" si="13"/>
        <v>25826.34</v>
      </c>
    </row>
    <row r="34" spans="1:24" x14ac:dyDescent="0.2">
      <c r="A34" s="154" t="s">
        <v>30</v>
      </c>
      <c r="B34" s="169">
        <v>3879</v>
      </c>
      <c r="C34" s="143">
        <f t="shared" si="2"/>
        <v>1.758E-3</v>
      </c>
      <c r="D34" s="169">
        <v>1876</v>
      </c>
      <c r="E34" s="143">
        <f t="shared" si="3"/>
        <v>9.2173000000000005E-2</v>
      </c>
      <c r="F34" s="143">
        <f t="shared" si="4"/>
        <v>3.1896000000000001E-2</v>
      </c>
      <c r="G34" s="161">
        <f t="shared" si="5"/>
        <v>35970.839999999997</v>
      </c>
      <c r="H34" s="161">
        <f t="shared" si="6"/>
        <v>211.63</v>
      </c>
      <c r="I34" s="161">
        <f t="shared" si="7"/>
        <v>35759.21</v>
      </c>
      <c r="J34" s="152">
        <f t="shared" si="8"/>
        <v>4.3200000000000002E-2</v>
      </c>
      <c r="K34" s="161">
        <f t="shared" si="9"/>
        <v>44987.81</v>
      </c>
      <c r="L34" s="347">
        <f t="shared" si="16"/>
        <v>0</v>
      </c>
      <c r="M34" s="341"/>
      <c r="N34" s="348">
        <f t="shared" si="17"/>
        <v>9228.6</v>
      </c>
      <c r="O34" s="349"/>
      <c r="P34" s="143">
        <f t="shared" si="10"/>
        <v>0</v>
      </c>
      <c r="Q34" s="143">
        <f t="shared" si="11"/>
        <v>0</v>
      </c>
      <c r="R34" s="161">
        <f t="shared" si="12"/>
        <v>0</v>
      </c>
      <c r="S34" s="161">
        <f t="shared" si="18"/>
        <v>44987.81</v>
      </c>
      <c r="T34" s="334">
        <f t="shared" si="14"/>
        <v>44987.81</v>
      </c>
      <c r="U34" s="338">
        <f t="shared" si="15"/>
        <v>0</v>
      </c>
      <c r="V34" s="161">
        <f t="shared" si="13"/>
        <v>44987.81</v>
      </c>
    </row>
    <row r="35" spans="1:24" x14ac:dyDescent="0.2">
      <c r="A35" s="154" t="s">
        <v>31</v>
      </c>
      <c r="B35" s="169">
        <v>38777</v>
      </c>
      <c r="C35" s="143">
        <f t="shared" si="2"/>
        <v>1.7578E-2</v>
      </c>
      <c r="D35" s="169">
        <v>587</v>
      </c>
      <c r="E35" s="143">
        <f t="shared" si="3"/>
        <v>2.8840999999999999E-2</v>
      </c>
      <c r="F35" s="143">
        <f t="shared" si="4"/>
        <v>2.1332E-2</v>
      </c>
      <c r="G35" s="161">
        <f t="shared" si="5"/>
        <v>24057.24</v>
      </c>
      <c r="H35" s="161">
        <f t="shared" si="6"/>
        <v>138.88</v>
      </c>
      <c r="I35" s="161">
        <f t="shared" si="7"/>
        <v>23918.36</v>
      </c>
      <c r="J35" s="152">
        <f t="shared" si="8"/>
        <v>1.89E-2</v>
      </c>
      <c r="K35" s="161">
        <f t="shared" si="9"/>
        <v>19682.169999999998</v>
      </c>
      <c r="L35" s="347">
        <f t="shared" si="16"/>
        <v>4236.1899999999996</v>
      </c>
      <c r="M35" s="341">
        <f>L35/$L$42</f>
        <v>2.0684999999999999E-2</v>
      </c>
      <c r="N35" s="348">
        <f t="shared" si="17"/>
        <v>0</v>
      </c>
      <c r="O35" s="349">
        <f>$O$42*M35</f>
        <v>1649.75</v>
      </c>
      <c r="P35" s="143">
        <f t="shared" si="10"/>
        <v>2.1332E-2</v>
      </c>
      <c r="Q35" s="143">
        <f t="shared" si="11"/>
        <v>2.7417E-2</v>
      </c>
      <c r="R35" s="161">
        <f t="shared" si="12"/>
        <v>2186.66</v>
      </c>
      <c r="S35" s="161">
        <f t="shared" si="18"/>
        <v>21868.83</v>
      </c>
      <c r="T35" s="334">
        <f t="shared" si="14"/>
        <v>21331.919999999998</v>
      </c>
      <c r="U35" s="338">
        <f t="shared" si="15"/>
        <v>536.91</v>
      </c>
      <c r="V35" s="161">
        <f t="shared" si="13"/>
        <v>21868.83</v>
      </c>
    </row>
    <row r="36" spans="1:24" x14ac:dyDescent="0.2">
      <c r="A36" s="154" t="s">
        <v>401</v>
      </c>
      <c r="B36" s="169">
        <v>4695</v>
      </c>
      <c r="C36" s="143">
        <f t="shared" si="2"/>
        <v>2.1280000000000001E-3</v>
      </c>
      <c r="D36" s="169">
        <v>324</v>
      </c>
      <c r="E36" s="143">
        <f t="shared" si="3"/>
        <v>1.5918999999999999E-2</v>
      </c>
      <c r="F36" s="143">
        <f t="shared" si="4"/>
        <v>6.7250000000000001E-3</v>
      </c>
      <c r="G36" s="161">
        <f t="shared" si="5"/>
        <v>7584.14</v>
      </c>
      <c r="H36" s="161">
        <f t="shared" si="6"/>
        <v>46.29</v>
      </c>
      <c r="I36" s="161">
        <f t="shared" si="7"/>
        <v>7537.85</v>
      </c>
      <c r="J36" s="152">
        <f t="shared" si="8"/>
        <v>1.4E-2</v>
      </c>
      <c r="K36" s="161">
        <f t="shared" si="9"/>
        <v>14579.38</v>
      </c>
      <c r="L36" s="347">
        <f t="shared" si="16"/>
        <v>0</v>
      </c>
      <c r="M36" s="341"/>
      <c r="N36" s="348">
        <f t="shared" si="17"/>
        <v>7041.53</v>
      </c>
      <c r="O36" s="349"/>
      <c r="P36" s="143">
        <f t="shared" si="10"/>
        <v>0</v>
      </c>
      <c r="Q36" s="143">
        <f t="shared" si="11"/>
        <v>0</v>
      </c>
      <c r="R36" s="161">
        <f t="shared" si="12"/>
        <v>0</v>
      </c>
      <c r="S36" s="161">
        <f t="shared" si="18"/>
        <v>14579.38</v>
      </c>
      <c r="T36" s="334">
        <f t="shared" si="14"/>
        <v>14579.38</v>
      </c>
      <c r="U36" s="338">
        <f t="shared" si="15"/>
        <v>0</v>
      </c>
      <c r="V36" s="161">
        <f t="shared" si="13"/>
        <v>14579.38</v>
      </c>
    </row>
    <row r="37" spans="1:24" x14ac:dyDescent="0.2">
      <c r="A37" s="154" t="s">
        <v>33</v>
      </c>
      <c r="B37" s="169">
        <v>35039</v>
      </c>
      <c r="C37" s="143">
        <f t="shared" si="2"/>
        <v>1.5883000000000001E-2</v>
      </c>
      <c r="D37" s="169">
        <v>2027</v>
      </c>
      <c r="E37" s="143">
        <f t="shared" si="3"/>
        <v>9.9592E-2</v>
      </c>
      <c r="F37" s="143">
        <f t="shared" si="4"/>
        <v>4.3785999999999999E-2</v>
      </c>
      <c r="G37" s="161">
        <f t="shared" si="5"/>
        <v>49379.83</v>
      </c>
      <c r="H37" s="161">
        <f t="shared" si="6"/>
        <v>291</v>
      </c>
      <c r="I37" s="161">
        <f t="shared" si="7"/>
        <v>49088.83</v>
      </c>
      <c r="J37" s="152">
        <f t="shared" si="8"/>
        <v>6.7699999999999996E-2</v>
      </c>
      <c r="K37" s="161">
        <f t="shared" si="9"/>
        <v>70501.73</v>
      </c>
      <c r="L37" s="347">
        <f t="shared" si="16"/>
        <v>0</v>
      </c>
      <c r="M37" s="341"/>
      <c r="N37" s="348">
        <f t="shared" si="17"/>
        <v>21412.9</v>
      </c>
      <c r="O37" s="349"/>
      <c r="P37" s="143">
        <f t="shared" si="10"/>
        <v>0</v>
      </c>
      <c r="Q37" s="143">
        <f t="shared" si="11"/>
        <v>0</v>
      </c>
      <c r="R37" s="161">
        <f t="shared" si="12"/>
        <v>0</v>
      </c>
      <c r="S37" s="161">
        <f t="shared" si="18"/>
        <v>70501.73</v>
      </c>
      <c r="T37" s="334">
        <f t="shared" si="14"/>
        <v>70501.73</v>
      </c>
      <c r="U37" s="338">
        <f t="shared" si="15"/>
        <v>0</v>
      </c>
      <c r="V37" s="161">
        <f t="shared" si="13"/>
        <v>70501.73</v>
      </c>
    </row>
    <row r="38" spans="1:24" x14ac:dyDescent="0.2">
      <c r="A38" s="154" t="s">
        <v>34</v>
      </c>
      <c r="B38" s="169">
        <v>6937</v>
      </c>
      <c r="C38" s="143">
        <f t="shared" si="2"/>
        <v>3.1449999999999998E-3</v>
      </c>
      <c r="D38" s="169">
        <v>1887</v>
      </c>
      <c r="E38" s="143">
        <f t="shared" si="3"/>
        <v>9.2714000000000005E-2</v>
      </c>
      <c r="F38" s="143">
        <f t="shared" si="4"/>
        <v>3.3001000000000003E-2</v>
      </c>
      <c r="G38" s="161">
        <f t="shared" si="5"/>
        <v>37217</v>
      </c>
      <c r="H38" s="161">
        <f t="shared" si="6"/>
        <v>218.25</v>
      </c>
      <c r="I38" s="161">
        <f t="shared" si="7"/>
        <v>36998.75</v>
      </c>
      <c r="J38" s="152">
        <f t="shared" si="8"/>
        <v>2.8400000000000002E-2</v>
      </c>
      <c r="K38" s="161">
        <f t="shared" si="9"/>
        <v>29575.32</v>
      </c>
      <c r="L38" s="347">
        <f t="shared" si="16"/>
        <v>7423.43</v>
      </c>
      <c r="M38" s="341">
        <f>L38/$L$42</f>
        <v>3.6249000000000003E-2</v>
      </c>
      <c r="N38" s="348">
        <f t="shared" si="17"/>
        <v>0</v>
      </c>
      <c r="O38" s="349">
        <f>$O$42*M38</f>
        <v>2891.07</v>
      </c>
      <c r="P38" s="143">
        <f t="shared" si="10"/>
        <v>3.3001000000000003E-2</v>
      </c>
      <c r="Q38" s="143">
        <f t="shared" si="11"/>
        <v>4.2414E-2</v>
      </c>
      <c r="R38" s="161">
        <f t="shared" si="12"/>
        <v>3382.76</v>
      </c>
      <c r="S38" s="161">
        <f t="shared" si="18"/>
        <v>32958.080000000002</v>
      </c>
      <c r="T38" s="334">
        <f t="shared" si="14"/>
        <v>32466.39</v>
      </c>
      <c r="U38" s="338">
        <f t="shared" si="15"/>
        <v>491.69</v>
      </c>
      <c r="V38" s="161">
        <f t="shared" si="13"/>
        <v>32958.080000000002</v>
      </c>
    </row>
    <row r="39" spans="1:24" x14ac:dyDescent="0.2">
      <c r="A39" s="154" t="s">
        <v>35</v>
      </c>
      <c r="B39" s="169">
        <v>3639</v>
      </c>
      <c r="C39" s="143">
        <f t="shared" si="2"/>
        <v>1.65E-3</v>
      </c>
      <c r="D39" s="169">
        <v>49</v>
      </c>
      <c r="E39" s="143">
        <f t="shared" si="3"/>
        <v>2.408E-3</v>
      </c>
      <c r="F39" s="143">
        <f t="shared" si="4"/>
        <v>1.903E-3</v>
      </c>
      <c r="G39" s="161">
        <f t="shared" si="5"/>
        <v>2146.12</v>
      </c>
      <c r="H39" s="161">
        <f t="shared" si="6"/>
        <v>13.23</v>
      </c>
      <c r="I39" s="161">
        <f t="shared" si="7"/>
        <v>2132.89</v>
      </c>
      <c r="J39" s="152">
        <f t="shared" si="8"/>
        <v>2.2000000000000001E-3</v>
      </c>
      <c r="K39" s="161">
        <f t="shared" si="9"/>
        <v>2291.0500000000002</v>
      </c>
      <c r="L39" s="347">
        <f t="shared" si="16"/>
        <v>0</v>
      </c>
      <c r="M39" s="341"/>
      <c r="N39" s="348">
        <f t="shared" si="17"/>
        <v>158.16</v>
      </c>
      <c r="O39" s="349"/>
      <c r="P39" s="143">
        <f t="shared" si="10"/>
        <v>0</v>
      </c>
      <c r="Q39" s="143">
        <f t="shared" si="11"/>
        <v>0</v>
      </c>
      <c r="R39" s="161">
        <f t="shared" si="12"/>
        <v>0</v>
      </c>
      <c r="S39" s="161">
        <f t="shared" si="18"/>
        <v>2291.0500000000002</v>
      </c>
      <c r="T39" s="334">
        <f t="shared" si="14"/>
        <v>2291.0500000000002</v>
      </c>
      <c r="U39" s="338">
        <f t="shared" si="15"/>
        <v>0</v>
      </c>
      <c r="V39" s="161">
        <f t="shared" si="13"/>
        <v>2291.0500000000002</v>
      </c>
    </row>
    <row r="40" spans="1:24" x14ac:dyDescent="0.2">
      <c r="A40" s="154" t="s">
        <v>36</v>
      </c>
      <c r="B40" s="169">
        <v>359423</v>
      </c>
      <c r="C40" s="143">
        <f t="shared" si="2"/>
        <v>0.16292799999999999</v>
      </c>
      <c r="D40" s="169">
        <v>1815</v>
      </c>
      <c r="E40" s="143">
        <f t="shared" si="3"/>
        <v>8.9176000000000005E-2</v>
      </c>
      <c r="F40" s="143">
        <f t="shared" si="4"/>
        <v>0.13834399999999999</v>
      </c>
      <c r="G40" s="161">
        <f t="shared" si="5"/>
        <v>156017.97</v>
      </c>
      <c r="H40" s="161">
        <f t="shared" si="6"/>
        <v>912.67</v>
      </c>
      <c r="I40" s="161">
        <f t="shared" si="7"/>
        <v>155105.29999999999</v>
      </c>
      <c r="J40" s="152">
        <f t="shared" si="8"/>
        <v>0.1232</v>
      </c>
      <c r="K40" s="161">
        <f t="shared" si="9"/>
        <v>128298.58</v>
      </c>
      <c r="L40" s="347">
        <f t="shared" si="16"/>
        <v>26806.720000000001</v>
      </c>
      <c r="M40" s="341">
        <f>L40/$L$42</f>
        <v>0.13089700000000001</v>
      </c>
      <c r="N40" s="348">
        <f t="shared" si="17"/>
        <v>0</v>
      </c>
      <c r="O40" s="349">
        <f>$O$42*M40</f>
        <v>10439.780000000001</v>
      </c>
      <c r="P40" s="143">
        <f t="shared" si="10"/>
        <v>0.13834399999999999</v>
      </c>
      <c r="Q40" s="143">
        <f t="shared" si="11"/>
        <v>0.17780399999999999</v>
      </c>
      <c r="R40" s="161">
        <f t="shared" si="12"/>
        <v>14180.89</v>
      </c>
      <c r="S40" s="161">
        <f t="shared" si="18"/>
        <v>142479.47</v>
      </c>
      <c r="T40" s="334">
        <f t="shared" si="14"/>
        <v>138738.35999999999</v>
      </c>
      <c r="U40" s="338">
        <f t="shared" si="15"/>
        <v>3741.11</v>
      </c>
      <c r="V40" s="161">
        <f t="shared" si="13"/>
        <v>142479.47</v>
      </c>
    </row>
    <row r="41" spans="1:24" x14ac:dyDescent="0.2">
      <c r="A41" s="154" t="s">
        <v>37</v>
      </c>
      <c r="B41" s="169">
        <v>8863</v>
      </c>
      <c r="C41" s="143">
        <f t="shared" si="2"/>
        <v>4.0179999999999999E-3</v>
      </c>
      <c r="D41" s="169">
        <v>1124</v>
      </c>
      <c r="E41" s="143">
        <f t="shared" si="3"/>
        <v>5.5225000000000003E-2</v>
      </c>
      <c r="F41" s="143">
        <f t="shared" si="4"/>
        <v>2.1087000000000002E-2</v>
      </c>
      <c r="G41" s="150">
        <f t="shared" si="5"/>
        <v>23780.94</v>
      </c>
      <c r="H41" s="161">
        <f t="shared" si="6"/>
        <v>138.88</v>
      </c>
      <c r="I41" s="161">
        <f t="shared" si="7"/>
        <v>23642.06</v>
      </c>
      <c r="J41" s="170">
        <f t="shared" si="8"/>
        <v>4.0300000000000002E-2</v>
      </c>
      <c r="K41" s="150">
        <f t="shared" si="9"/>
        <v>41967.8</v>
      </c>
      <c r="L41" s="347">
        <f t="shared" si="16"/>
        <v>0</v>
      </c>
      <c r="M41" s="350"/>
      <c r="N41" s="348">
        <f t="shared" si="17"/>
        <v>18325.740000000002</v>
      </c>
      <c r="O41" s="351"/>
      <c r="P41" s="143">
        <f t="shared" si="10"/>
        <v>0</v>
      </c>
      <c r="Q41" s="143">
        <f t="shared" si="11"/>
        <v>0</v>
      </c>
      <c r="R41" s="150">
        <f t="shared" si="12"/>
        <v>0</v>
      </c>
      <c r="S41" s="150">
        <f t="shared" si="18"/>
        <v>41967.8</v>
      </c>
      <c r="T41" s="334">
        <f t="shared" si="14"/>
        <v>41967.8</v>
      </c>
      <c r="U41" s="338">
        <f t="shared" si="15"/>
        <v>0</v>
      </c>
      <c r="V41" s="161">
        <f t="shared" si="13"/>
        <v>41967.8</v>
      </c>
      <c r="W41" s="153"/>
      <c r="X41" s="150"/>
    </row>
    <row r="42" spans="1:24" ht="13.5" thickBot="1" x14ac:dyDescent="0.25">
      <c r="A42" s="149" t="s">
        <v>400</v>
      </c>
      <c r="B42" s="172">
        <f t="shared" ref="B42:K42" si="19">SUM(B25:B41)</f>
        <v>2206022</v>
      </c>
      <c r="C42" s="173">
        <f t="shared" si="19"/>
        <v>1</v>
      </c>
      <c r="D42" s="172">
        <f t="shared" si="19"/>
        <v>20353</v>
      </c>
      <c r="E42" s="174">
        <f t="shared" si="19"/>
        <v>1</v>
      </c>
      <c r="F42" s="174">
        <f t="shared" si="19"/>
        <v>1</v>
      </c>
      <c r="G42" s="163">
        <f t="shared" si="19"/>
        <v>1127753.79</v>
      </c>
      <c r="H42" s="175">
        <f t="shared" si="19"/>
        <v>6613.53</v>
      </c>
      <c r="I42" s="176">
        <f t="shared" si="19"/>
        <v>1121140.26</v>
      </c>
      <c r="J42" s="177">
        <f t="shared" si="19"/>
        <v>1</v>
      </c>
      <c r="K42" s="163">
        <f t="shared" si="19"/>
        <v>1041384.54</v>
      </c>
      <c r="L42" s="352">
        <f>SUM(L25:L41)</f>
        <v>204791.96</v>
      </c>
      <c r="M42" s="353">
        <f>SUM(M25:M41)</f>
        <v>1</v>
      </c>
      <c r="N42" s="354">
        <f>SUM(N25:N41)</f>
        <v>125036.24</v>
      </c>
      <c r="O42" s="355">
        <f>L42-N42</f>
        <v>79755.72</v>
      </c>
      <c r="P42" s="178">
        <f t="shared" ref="P42:U42" si="20">SUM(P25:P41)</f>
        <v>0.77807000000000004</v>
      </c>
      <c r="Q42" s="178">
        <f t="shared" si="20"/>
        <v>1</v>
      </c>
      <c r="R42" s="163">
        <f t="shared" si="20"/>
        <v>79755.73</v>
      </c>
      <c r="S42" s="163">
        <f t="shared" si="20"/>
        <v>1121140.27</v>
      </c>
      <c r="T42" s="337">
        <f t="shared" si="20"/>
        <v>1121140.27</v>
      </c>
      <c r="U42" s="337">
        <f t="shared" si="20"/>
        <v>0</v>
      </c>
      <c r="V42" s="161">
        <f t="shared" si="13"/>
        <v>1121140.27</v>
      </c>
      <c r="W42" s="181">
        <f>C4</f>
        <v>1121140.27</v>
      </c>
      <c r="X42" s="182">
        <f>V42-W42</f>
        <v>0</v>
      </c>
    </row>
    <row r="43" spans="1:24" ht="13.5" thickTop="1" x14ac:dyDescent="0.2">
      <c r="E43" s="153"/>
      <c r="F43" s="179"/>
      <c r="G43" s="153"/>
      <c r="H43" s="151"/>
      <c r="I43" s="151"/>
      <c r="J43" s="180"/>
      <c r="K43" s="150"/>
      <c r="L43" s="150"/>
      <c r="M43" s="150"/>
      <c r="N43" s="150"/>
      <c r="O43" s="150"/>
      <c r="P43" s="153"/>
      <c r="R43" s="153"/>
      <c r="S43" s="150"/>
      <c r="T43" s="171"/>
    </row>
    <row r="44" spans="1:24" x14ac:dyDescent="0.2">
      <c r="J44"/>
    </row>
    <row r="45" spans="1:24" x14ac:dyDescent="0.2">
      <c r="J45"/>
    </row>
    <row r="46" spans="1:24" x14ac:dyDescent="0.2">
      <c r="J46"/>
    </row>
    <row r="47" spans="1:24" x14ac:dyDescent="0.2">
      <c r="J47"/>
    </row>
    <row r="48" spans="1:24" x14ac:dyDescent="0.2">
      <c r="J48"/>
    </row>
    <row r="49" spans="10:10" x14ac:dyDescent="0.2">
      <c r="J49"/>
    </row>
    <row r="50" spans="10:10" x14ac:dyDescent="0.2">
      <c r="J50"/>
    </row>
    <row r="51" spans="10:10" x14ac:dyDescent="0.2">
      <c r="J51"/>
    </row>
    <row r="52" spans="10:10" x14ac:dyDescent="0.2">
      <c r="J52"/>
    </row>
    <row r="53" spans="10:10" x14ac:dyDescent="0.2">
      <c r="J53"/>
    </row>
    <row r="54" spans="10:10" x14ac:dyDescent="0.2">
      <c r="J54"/>
    </row>
    <row r="55" spans="10:10" x14ac:dyDescent="0.2">
      <c r="J55"/>
    </row>
    <row r="56" spans="10:10" x14ac:dyDescent="0.2">
      <c r="J56"/>
    </row>
    <row r="57" spans="10:10" x14ac:dyDescent="0.2">
      <c r="J57"/>
    </row>
    <row r="58" spans="10:10" x14ac:dyDescent="0.2">
      <c r="J58"/>
    </row>
    <row r="59" spans="10:10" x14ac:dyDescent="0.2">
      <c r="J59"/>
    </row>
    <row r="60" spans="10:10" x14ac:dyDescent="0.2">
      <c r="J60"/>
    </row>
    <row r="61" spans="10:10" x14ac:dyDescent="0.2">
      <c r="J61"/>
    </row>
    <row r="62" spans="10:10" x14ac:dyDescent="0.2">
      <c r="J62"/>
    </row>
    <row r="63" spans="10:10" x14ac:dyDescent="0.2">
      <c r="J63"/>
    </row>
    <row r="64" spans="10:10" x14ac:dyDescent="0.2">
      <c r="J64"/>
    </row>
    <row r="65" spans="10:10" x14ac:dyDescent="0.2">
      <c r="J65"/>
    </row>
    <row r="66" spans="10:10" x14ac:dyDescent="0.2">
      <c r="J66"/>
    </row>
    <row r="67" spans="10:10" x14ac:dyDescent="0.2">
      <c r="J67"/>
    </row>
    <row r="68" spans="10:10" x14ac:dyDescent="0.2">
      <c r="J68"/>
    </row>
    <row r="69" spans="10:10" x14ac:dyDescent="0.2">
      <c r="J69"/>
    </row>
    <row r="70" spans="10:10" x14ac:dyDescent="0.2">
      <c r="J70"/>
    </row>
    <row r="71" spans="10:10" x14ac:dyDescent="0.2">
      <c r="J71"/>
    </row>
    <row r="72" spans="10:10" x14ac:dyDescent="0.2">
      <c r="J72"/>
    </row>
    <row r="73" spans="10:10" x14ac:dyDescent="0.2">
      <c r="J73"/>
    </row>
    <row r="74" spans="10:10" x14ac:dyDescent="0.2">
      <c r="J74"/>
    </row>
    <row r="75" spans="10:10" x14ac:dyDescent="0.2">
      <c r="J75"/>
    </row>
    <row r="76" spans="10:10" x14ac:dyDescent="0.2">
      <c r="J76"/>
    </row>
    <row r="77" spans="10:10" x14ac:dyDescent="0.2">
      <c r="J77"/>
    </row>
    <row r="78" spans="10:10" x14ac:dyDescent="0.2">
      <c r="J78"/>
    </row>
    <row r="79" spans="10:10" x14ac:dyDescent="0.2">
      <c r="J79"/>
    </row>
    <row r="80" spans="10:10" x14ac:dyDescent="0.2">
      <c r="J80"/>
    </row>
    <row r="81" spans="10:10" x14ac:dyDescent="0.2">
      <c r="J81"/>
    </row>
    <row r="82" spans="10:10" x14ac:dyDescent="0.2">
      <c r="J82"/>
    </row>
    <row r="83" spans="10:10" x14ac:dyDescent="0.2">
      <c r="J83"/>
    </row>
    <row r="84" spans="10:10" x14ac:dyDescent="0.2">
      <c r="J84"/>
    </row>
    <row r="85" spans="10:10" x14ac:dyDescent="0.2">
      <c r="J85"/>
    </row>
    <row r="86" spans="10:10" x14ac:dyDescent="0.2">
      <c r="J86"/>
    </row>
    <row r="87" spans="10:10" x14ac:dyDescent="0.2">
      <c r="J87"/>
    </row>
    <row r="88" spans="10:10" x14ac:dyDescent="0.2">
      <c r="J88"/>
    </row>
    <row r="89" spans="10:10" x14ac:dyDescent="0.2">
      <c r="J89"/>
    </row>
    <row r="90" spans="10:10" x14ac:dyDescent="0.2">
      <c r="J90"/>
    </row>
    <row r="91" spans="10:10" x14ac:dyDescent="0.2">
      <c r="J91"/>
    </row>
    <row r="92" spans="10:10" x14ac:dyDescent="0.2">
      <c r="J92"/>
    </row>
    <row r="93" spans="10:10" x14ac:dyDescent="0.2">
      <c r="J93"/>
    </row>
    <row r="94" spans="10:10" x14ac:dyDescent="0.2">
      <c r="J94"/>
    </row>
    <row r="95" spans="10:10" x14ac:dyDescent="0.2">
      <c r="J95"/>
    </row>
    <row r="96" spans="10:10" x14ac:dyDescent="0.2">
      <c r="J96"/>
    </row>
    <row r="97" spans="10:10" x14ac:dyDescent="0.2">
      <c r="J97"/>
    </row>
    <row r="98" spans="10:10" x14ac:dyDescent="0.2">
      <c r="J98"/>
    </row>
    <row r="99" spans="10:10" x14ac:dyDescent="0.2">
      <c r="J99"/>
    </row>
    <row r="100" spans="10:10" x14ac:dyDescent="0.2">
      <c r="J100"/>
    </row>
    <row r="101" spans="10:10" x14ac:dyDescent="0.2">
      <c r="J101"/>
    </row>
    <row r="102" spans="10:10" x14ac:dyDescent="0.2">
      <c r="J102"/>
    </row>
    <row r="103" spans="10:10" x14ac:dyDescent="0.2">
      <c r="J103"/>
    </row>
    <row r="104" spans="10:10" x14ac:dyDescent="0.2">
      <c r="J104"/>
    </row>
    <row r="105" spans="10:10" x14ac:dyDescent="0.2">
      <c r="J105"/>
    </row>
    <row r="106" spans="10:10" x14ac:dyDescent="0.2">
      <c r="J106"/>
    </row>
    <row r="107" spans="10:10" x14ac:dyDescent="0.2">
      <c r="J107"/>
    </row>
    <row r="108" spans="10:10" x14ac:dyDescent="0.2">
      <c r="J108"/>
    </row>
    <row r="109" spans="10:10" x14ac:dyDescent="0.2">
      <c r="J109"/>
    </row>
    <row r="110" spans="10:10" x14ac:dyDescent="0.2">
      <c r="J110"/>
    </row>
    <row r="111" spans="10:10" x14ac:dyDescent="0.2">
      <c r="J111"/>
    </row>
    <row r="112" spans="10:10" x14ac:dyDescent="0.2">
      <c r="J112"/>
    </row>
    <row r="113" spans="10:10" x14ac:dyDescent="0.2">
      <c r="J113"/>
    </row>
    <row r="114" spans="10:10" x14ac:dyDescent="0.2">
      <c r="J114"/>
    </row>
    <row r="115" spans="10:10" x14ac:dyDescent="0.2">
      <c r="J115"/>
    </row>
    <row r="116" spans="10:10" x14ac:dyDescent="0.2">
      <c r="J116"/>
    </row>
    <row r="117" spans="10:10" x14ac:dyDescent="0.2">
      <c r="J117"/>
    </row>
    <row r="118" spans="10:10" x14ac:dyDescent="0.2">
      <c r="J118"/>
    </row>
    <row r="119" spans="10:10" x14ac:dyDescent="0.2">
      <c r="J119"/>
    </row>
    <row r="120" spans="10:10" x14ac:dyDescent="0.2">
      <c r="J120"/>
    </row>
    <row r="121" spans="10:10" x14ac:dyDescent="0.2">
      <c r="J121"/>
    </row>
    <row r="122" spans="10:10" x14ac:dyDescent="0.2">
      <c r="J122"/>
    </row>
    <row r="123" spans="10:10" x14ac:dyDescent="0.2">
      <c r="J123"/>
    </row>
    <row r="124" spans="10:10" x14ac:dyDescent="0.2">
      <c r="J124"/>
    </row>
    <row r="125" spans="10:10" x14ac:dyDescent="0.2">
      <c r="J125"/>
    </row>
    <row r="126" spans="10:10" x14ac:dyDescent="0.2">
      <c r="J126"/>
    </row>
    <row r="127" spans="10:10" x14ac:dyDescent="0.2">
      <c r="J127"/>
    </row>
    <row r="128" spans="10:10" x14ac:dyDescent="0.2">
      <c r="J128"/>
    </row>
    <row r="129" spans="10:10" x14ac:dyDescent="0.2">
      <c r="J129"/>
    </row>
    <row r="130" spans="10:10" x14ac:dyDescent="0.2">
      <c r="J130"/>
    </row>
    <row r="131" spans="10:10" x14ac:dyDescent="0.2">
      <c r="J131"/>
    </row>
    <row r="132" spans="10:10" x14ac:dyDescent="0.2">
      <c r="J132"/>
    </row>
    <row r="133" spans="10:10" x14ac:dyDescent="0.2">
      <c r="J133"/>
    </row>
    <row r="134" spans="10:10" x14ac:dyDescent="0.2">
      <c r="J134"/>
    </row>
    <row r="135" spans="10:10" x14ac:dyDescent="0.2">
      <c r="J135"/>
    </row>
    <row r="136" spans="10:10" x14ac:dyDescent="0.2">
      <c r="J136"/>
    </row>
    <row r="137" spans="10:10" x14ac:dyDescent="0.2">
      <c r="J137"/>
    </row>
    <row r="138" spans="10:10" x14ac:dyDescent="0.2">
      <c r="J138"/>
    </row>
    <row r="139" spans="10:10" x14ac:dyDescent="0.2">
      <c r="J139"/>
    </row>
    <row r="140" spans="10:10" x14ac:dyDescent="0.2">
      <c r="J140"/>
    </row>
    <row r="141" spans="10:10" x14ac:dyDescent="0.2">
      <c r="J141"/>
    </row>
    <row r="142" spans="10:10" x14ac:dyDescent="0.2">
      <c r="J142"/>
    </row>
    <row r="143" spans="10:10" x14ac:dyDescent="0.2">
      <c r="J143"/>
    </row>
    <row r="144" spans="10:10" x14ac:dyDescent="0.2">
      <c r="J144"/>
    </row>
    <row r="145" spans="10:10" x14ac:dyDescent="0.2">
      <c r="J145"/>
    </row>
    <row r="146" spans="10:10" x14ac:dyDescent="0.2">
      <c r="J146"/>
    </row>
    <row r="147" spans="10:10" x14ac:dyDescent="0.2">
      <c r="J147"/>
    </row>
    <row r="148" spans="10:10" x14ac:dyDescent="0.2">
      <c r="J148"/>
    </row>
    <row r="149" spans="10:10" x14ac:dyDescent="0.2">
      <c r="J149"/>
    </row>
    <row r="150" spans="10:10" x14ac:dyDescent="0.2">
      <c r="J150"/>
    </row>
    <row r="151" spans="10:10" x14ac:dyDescent="0.2">
      <c r="J151"/>
    </row>
    <row r="152" spans="10:10" x14ac:dyDescent="0.2">
      <c r="J152"/>
    </row>
    <row r="153" spans="10:10" x14ac:dyDescent="0.2">
      <c r="J153"/>
    </row>
    <row r="154" spans="10:10" x14ac:dyDescent="0.2">
      <c r="J154"/>
    </row>
    <row r="155" spans="10:10" x14ac:dyDescent="0.2">
      <c r="J155"/>
    </row>
    <row r="156" spans="10:10" x14ac:dyDescent="0.2">
      <c r="J156"/>
    </row>
    <row r="157" spans="10:10" x14ac:dyDescent="0.2">
      <c r="J157"/>
    </row>
    <row r="158" spans="10:10" x14ac:dyDescent="0.2">
      <c r="J158"/>
    </row>
    <row r="159" spans="10:10" x14ac:dyDescent="0.2">
      <c r="J159"/>
    </row>
    <row r="160" spans="10:10" x14ac:dyDescent="0.2">
      <c r="J160"/>
    </row>
    <row r="161" spans="10:10" x14ac:dyDescent="0.2">
      <c r="J161"/>
    </row>
    <row r="162" spans="10:10" x14ac:dyDescent="0.2">
      <c r="J162"/>
    </row>
    <row r="163" spans="10:10" x14ac:dyDescent="0.2">
      <c r="J163"/>
    </row>
    <row r="164" spans="10:10" x14ac:dyDescent="0.2">
      <c r="J164"/>
    </row>
    <row r="165" spans="10:10" x14ac:dyDescent="0.2">
      <c r="J165"/>
    </row>
    <row r="166" spans="10:10" x14ac:dyDescent="0.2">
      <c r="J166"/>
    </row>
    <row r="167" spans="10:10" x14ac:dyDescent="0.2">
      <c r="J167"/>
    </row>
    <row r="168" spans="10:10" x14ac:dyDescent="0.2">
      <c r="J168"/>
    </row>
    <row r="169" spans="10:10" x14ac:dyDescent="0.2">
      <c r="J169"/>
    </row>
    <row r="170" spans="10:10" x14ac:dyDescent="0.2">
      <c r="J170"/>
    </row>
    <row r="171" spans="10:10" x14ac:dyDescent="0.2">
      <c r="J171"/>
    </row>
    <row r="172" spans="10:10" x14ac:dyDescent="0.2">
      <c r="J172"/>
    </row>
    <row r="173" spans="10:10" x14ac:dyDescent="0.2">
      <c r="J173"/>
    </row>
    <row r="174" spans="10:10" x14ac:dyDescent="0.2">
      <c r="J174"/>
    </row>
    <row r="175" spans="10:10" x14ac:dyDescent="0.2">
      <c r="J175"/>
    </row>
    <row r="176" spans="10:10" x14ac:dyDescent="0.2">
      <c r="J176"/>
    </row>
    <row r="177" spans="10:10" x14ac:dyDescent="0.2">
      <c r="J177"/>
    </row>
    <row r="178" spans="10:10" x14ac:dyDescent="0.2">
      <c r="J178"/>
    </row>
    <row r="179" spans="10:10" x14ac:dyDescent="0.2">
      <c r="J179"/>
    </row>
    <row r="180" spans="10:10" x14ac:dyDescent="0.2">
      <c r="J180"/>
    </row>
    <row r="181" spans="10:10" x14ac:dyDescent="0.2">
      <c r="J181"/>
    </row>
    <row r="182" spans="10:10" x14ac:dyDescent="0.2">
      <c r="J182"/>
    </row>
    <row r="183" spans="10:10" x14ac:dyDescent="0.2">
      <c r="J183"/>
    </row>
    <row r="184" spans="10:10" x14ac:dyDescent="0.2">
      <c r="J184"/>
    </row>
    <row r="185" spans="10:10" x14ac:dyDescent="0.2">
      <c r="J185"/>
    </row>
    <row r="186" spans="10:10" x14ac:dyDescent="0.2">
      <c r="J186"/>
    </row>
    <row r="187" spans="10:10" x14ac:dyDescent="0.2">
      <c r="J187"/>
    </row>
    <row r="188" spans="10:10" x14ac:dyDescent="0.2">
      <c r="J188"/>
    </row>
    <row r="189" spans="10:10" x14ac:dyDescent="0.2">
      <c r="J189"/>
    </row>
    <row r="190" spans="10:10" x14ac:dyDescent="0.2">
      <c r="J190"/>
    </row>
    <row r="191" spans="10:10" x14ac:dyDescent="0.2">
      <c r="J191"/>
    </row>
    <row r="192" spans="10:10" x14ac:dyDescent="0.2">
      <c r="J192"/>
    </row>
    <row r="193" spans="10:10" x14ac:dyDescent="0.2">
      <c r="J193"/>
    </row>
    <row r="194" spans="10:10" x14ac:dyDescent="0.2">
      <c r="J194"/>
    </row>
    <row r="195" spans="10:10" x14ac:dyDescent="0.2">
      <c r="J195"/>
    </row>
    <row r="196" spans="10:10" x14ac:dyDescent="0.2">
      <c r="J196"/>
    </row>
    <row r="197" spans="10:10" x14ac:dyDescent="0.2">
      <c r="J197"/>
    </row>
    <row r="198" spans="10:10" x14ac:dyDescent="0.2">
      <c r="J198"/>
    </row>
    <row r="199" spans="10:10" x14ac:dyDescent="0.2">
      <c r="J199"/>
    </row>
    <row r="200" spans="10:10" x14ac:dyDescent="0.2">
      <c r="J200"/>
    </row>
    <row r="201" spans="10:10" x14ac:dyDescent="0.2">
      <c r="J201"/>
    </row>
    <row r="202" spans="10:10" x14ac:dyDescent="0.2">
      <c r="J202"/>
    </row>
    <row r="203" spans="10:10" x14ac:dyDescent="0.2">
      <c r="J203"/>
    </row>
    <row r="204" spans="10:10" x14ac:dyDescent="0.2">
      <c r="J204"/>
    </row>
    <row r="205" spans="10:10" x14ac:dyDescent="0.2">
      <c r="J205"/>
    </row>
    <row r="206" spans="10:10" x14ac:dyDescent="0.2">
      <c r="J206"/>
    </row>
    <row r="207" spans="10:10" x14ac:dyDescent="0.2">
      <c r="J207"/>
    </row>
    <row r="208" spans="10:10" x14ac:dyDescent="0.2">
      <c r="J208"/>
    </row>
    <row r="209" spans="10:10" x14ac:dyDescent="0.2">
      <c r="J209"/>
    </row>
    <row r="210" spans="10:10" x14ac:dyDescent="0.2">
      <c r="J210"/>
    </row>
    <row r="211" spans="10:10" x14ac:dyDescent="0.2">
      <c r="J211"/>
    </row>
    <row r="212" spans="10:10" x14ac:dyDescent="0.2">
      <c r="J212"/>
    </row>
    <row r="213" spans="10:10" x14ac:dyDescent="0.2">
      <c r="J213"/>
    </row>
    <row r="214" spans="10:10" x14ac:dyDescent="0.2">
      <c r="J214"/>
    </row>
    <row r="215" spans="10:10" x14ac:dyDescent="0.2">
      <c r="J215"/>
    </row>
    <row r="216" spans="10:10" x14ac:dyDescent="0.2">
      <c r="J216"/>
    </row>
    <row r="217" spans="10:10" x14ac:dyDescent="0.2">
      <c r="J217"/>
    </row>
    <row r="218" spans="10:10" x14ac:dyDescent="0.2">
      <c r="J218"/>
    </row>
    <row r="219" spans="10:10" x14ac:dyDescent="0.2">
      <c r="J219"/>
    </row>
    <row r="220" spans="10:10" x14ac:dyDescent="0.2">
      <c r="J220"/>
    </row>
    <row r="221" spans="10:10" x14ac:dyDescent="0.2">
      <c r="J221"/>
    </row>
    <row r="222" spans="10:10" x14ac:dyDescent="0.2">
      <c r="J222"/>
    </row>
    <row r="223" spans="10:10" x14ac:dyDescent="0.2">
      <c r="J223"/>
    </row>
    <row r="224" spans="10:10" x14ac:dyDescent="0.2">
      <c r="J224"/>
    </row>
    <row r="225" spans="10:10" x14ac:dyDescent="0.2">
      <c r="J225"/>
    </row>
    <row r="226" spans="10:10" x14ac:dyDescent="0.2">
      <c r="J226"/>
    </row>
    <row r="227" spans="10:10" x14ac:dyDescent="0.2">
      <c r="J227"/>
    </row>
    <row r="228" spans="10:10" x14ac:dyDescent="0.2">
      <c r="J228"/>
    </row>
    <row r="229" spans="10:10" x14ac:dyDescent="0.2">
      <c r="J229"/>
    </row>
    <row r="230" spans="10:10" x14ac:dyDescent="0.2">
      <c r="J230"/>
    </row>
    <row r="231" spans="10:10" x14ac:dyDescent="0.2">
      <c r="J231"/>
    </row>
    <row r="232" spans="10:10" x14ac:dyDescent="0.2">
      <c r="J232"/>
    </row>
    <row r="233" spans="10:10" x14ac:dyDescent="0.2">
      <c r="J233"/>
    </row>
    <row r="234" spans="10:10" x14ac:dyDescent="0.2">
      <c r="J234"/>
    </row>
    <row r="235" spans="10:10" x14ac:dyDescent="0.2">
      <c r="J235"/>
    </row>
    <row r="236" spans="10:10" x14ac:dyDescent="0.2">
      <c r="J236"/>
    </row>
    <row r="237" spans="10:10" x14ac:dyDescent="0.2">
      <c r="J237"/>
    </row>
    <row r="238" spans="10:10" x14ac:dyDescent="0.2">
      <c r="J238"/>
    </row>
    <row r="239" spans="10:10" x14ac:dyDescent="0.2">
      <c r="J239"/>
    </row>
    <row r="240" spans="10:10" x14ac:dyDescent="0.2">
      <c r="J240"/>
    </row>
    <row r="241" spans="10:10" x14ac:dyDescent="0.2">
      <c r="J241"/>
    </row>
    <row r="242" spans="10:10" x14ac:dyDescent="0.2">
      <c r="J242"/>
    </row>
    <row r="243" spans="10:10" x14ac:dyDescent="0.2">
      <c r="J243"/>
    </row>
    <row r="244" spans="10:10" x14ac:dyDescent="0.2">
      <c r="J244"/>
    </row>
    <row r="245" spans="10:10" x14ac:dyDescent="0.2">
      <c r="J245"/>
    </row>
    <row r="246" spans="10:10" x14ac:dyDescent="0.2">
      <c r="J246"/>
    </row>
    <row r="247" spans="10:10" x14ac:dyDescent="0.2">
      <c r="J247"/>
    </row>
    <row r="248" spans="10:10" x14ac:dyDescent="0.2">
      <c r="J248"/>
    </row>
    <row r="249" spans="10:10" x14ac:dyDescent="0.2">
      <c r="J249"/>
    </row>
    <row r="250" spans="10:10" x14ac:dyDescent="0.2">
      <c r="J250"/>
    </row>
    <row r="251" spans="10:10" x14ac:dyDescent="0.2">
      <c r="J251"/>
    </row>
    <row r="252" spans="10:10" x14ac:dyDescent="0.2">
      <c r="J252"/>
    </row>
    <row r="253" spans="10:10" x14ac:dyDescent="0.2">
      <c r="J253"/>
    </row>
    <row r="254" spans="10:10" x14ac:dyDescent="0.2">
      <c r="J254"/>
    </row>
    <row r="255" spans="10:10" x14ac:dyDescent="0.2">
      <c r="J255"/>
    </row>
    <row r="256" spans="10:10" x14ac:dyDescent="0.2">
      <c r="J256"/>
    </row>
    <row r="257" spans="10:10" x14ac:dyDescent="0.2">
      <c r="J257"/>
    </row>
    <row r="258" spans="10:10" x14ac:dyDescent="0.2">
      <c r="J258"/>
    </row>
    <row r="259" spans="10:10" x14ac:dyDescent="0.2">
      <c r="J259"/>
    </row>
    <row r="260" spans="10:10" x14ac:dyDescent="0.2">
      <c r="J260"/>
    </row>
    <row r="261" spans="10:10" x14ac:dyDescent="0.2">
      <c r="J261"/>
    </row>
    <row r="262" spans="10:10" x14ac:dyDescent="0.2">
      <c r="J262"/>
    </row>
    <row r="263" spans="10:10" x14ac:dyDescent="0.2">
      <c r="J263"/>
    </row>
    <row r="264" spans="10:10" x14ac:dyDescent="0.2">
      <c r="J264"/>
    </row>
    <row r="265" spans="10:10" x14ac:dyDescent="0.2">
      <c r="J265"/>
    </row>
    <row r="266" spans="10:10" x14ac:dyDescent="0.2">
      <c r="J266"/>
    </row>
    <row r="267" spans="10:10" x14ac:dyDescent="0.2">
      <c r="J267"/>
    </row>
    <row r="268" spans="10:10" x14ac:dyDescent="0.2">
      <c r="J268"/>
    </row>
    <row r="269" spans="10:10" x14ac:dyDescent="0.2">
      <c r="J269"/>
    </row>
    <row r="270" spans="10:10" x14ac:dyDescent="0.2">
      <c r="J270"/>
    </row>
    <row r="271" spans="10:10" x14ac:dyDescent="0.2">
      <c r="J271"/>
    </row>
    <row r="272" spans="10:10" x14ac:dyDescent="0.2">
      <c r="J272"/>
    </row>
    <row r="273" spans="10:10" x14ac:dyDescent="0.2">
      <c r="J273"/>
    </row>
    <row r="274" spans="10:10" x14ac:dyDescent="0.2">
      <c r="J274"/>
    </row>
    <row r="275" spans="10:10" x14ac:dyDescent="0.2">
      <c r="J275"/>
    </row>
    <row r="276" spans="10:10" x14ac:dyDescent="0.2">
      <c r="J276"/>
    </row>
    <row r="277" spans="10:10" x14ac:dyDescent="0.2">
      <c r="J277"/>
    </row>
    <row r="278" spans="10:10" x14ac:dyDescent="0.2">
      <c r="J278"/>
    </row>
    <row r="279" spans="10:10" x14ac:dyDescent="0.2">
      <c r="J279"/>
    </row>
    <row r="280" spans="10:10" x14ac:dyDescent="0.2">
      <c r="J280"/>
    </row>
    <row r="281" spans="10:10" x14ac:dyDescent="0.2">
      <c r="J281"/>
    </row>
    <row r="282" spans="10:10" x14ac:dyDescent="0.2">
      <c r="J282"/>
    </row>
    <row r="283" spans="10:10" x14ac:dyDescent="0.2">
      <c r="J283"/>
    </row>
    <row r="284" spans="10:10" x14ac:dyDescent="0.2">
      <c r="J284"/>
    </row>
    <row r="285" spans="10:10" x14ac:dyDescent="0.2">
      <c r="J285"/>
    </row>
    <row r="286" spans="10:10" x14ac:dyDescent="0.2">
      <c r="J286"/>
    </row>
    <row r="287" spans="10:10" x14ac:dyDescent="0.2">
      <c r="J287"/>
    </row>
    <row r="288" spans="10:10" x14ac:dyDescent="0.2">
      <c r="J288"/>
    </row>
    <row r="289" spans="10:10" x14ac:dyDescent="0.2">
      <c r="J289"/>
    </row>
    <row r="290" spans="10:10" x14ac:dyDescent="0.2">
      <c r="J290"/>
    </row>
    <row r="291" spans="10:10" x14ac:dyDescent="0.2">
      <c r="J291"/>
    </row>
    <row r="292" spans="10:10" x14ac:dyDescent="0.2">
      <c r="J292"/>
    </row>
    <row r="293" spans="10:10" x14ac:dyDescent="0.2">
      <c r="J293"/>
    </row>
    <row r="294" spans="10:10" x14ac:dyDescent="0.2">
      <c r="J294"/>
    </row>
    <row r="295" spans="10:10" x14ac:dyDescent="0.2">
      <c r="J295"/>
    </row>
    <row r="296" spans="10:10" x14ac:dyDescent="0.2">
      <c r="J296"/>
    </row>
    <row r="297" spans="10:10" x14ac:dyDescent="0.2">
      <c r="J297"/>
    </row>
    <row r="298" spans="10:10" x14ac:dyDescent="0.2">
      <c r="J298"/>
    </row>
    <row r="299" spans="10:10" x14ac:dyDescent="0.2">
      <c r="J299"/>
    </row>
    <row r="300" spans="10:10" x14ac:dyDescent="0.2">
      <c r="J300"/>
    </row>
    <row r="301" spans="10:10" x14ac:dyDescent="0.2">
      <c r="J301"/>
    </row>
    <row r="302" spans="10:10" x14ac:dyDescent="0.2">
      <c r="J302"/>
    </row>
    <row r="303" spans="10:10" x14ac:dyDescent="0.2">
      <c r="J303"/>
    </row>
    <row r="304" spans="10:10" x14ac:dyDescent="0.2">
      <c r="J304"/>
    </row>
    <row r="305" spans="10:10" x14ac:dyDescent="0.2">
      <c r="J305"/>
    </row>
    <row r="306" spans="10:10" x14ac:dyDescent="0.2">
      <c r="J306"/>
    </row>
    <row r="307" spans="10:10" x14ac:dyDescent="0.2">
      <c r="J307"/>
    </row>
    <row r="308" spans="10:10" x14ac:dyDescent="0.2">
      <c r="J308"/>
    </row>
    <row r="309" spans="10:10" x14ac:dyDescent="0.2">
      <c r="J309"/>
    </row>
    <row r="310" spans="10:10" x14ac:dyDescent="0.2">
      <c r="J310"/>
    </row>
    <row r="311" spans="10:10" x14ac:dyDescent="0.2">
      <c r="J311"/>
    </row>
    <row r="312" spans="10:10" x14ac:dyDescent="0.2">
      <c r="J312"/>
    </row>
    <row r="313" spans="10:10" x14ac:dyDescent="0.2">
      <c r="J313"/>
    </row>
    <row r="314" spans="10:10" x14ac:dyDescent="0.2">
      <c r="J314"/>
    </row>
    <row r="315" spans="10:10" x14ac:dyDescent="0.2">
      <c r="J315"/>
    </row>
    <row r="316" spans="10:10" x14ac:dyDescent="0.2">
      <c r="J316"/>
    </row>
    <row r="317" spans="10:10" x14ac:dyDescent="0.2">
      <c r="J317"/>
    </row>
    <row r="318" spans="10:10" x14ac:dyDescent="0.2">
      <c r="J318"/>
    </row>
    <row r="319" spans="10:10" x14ac:dyDescent="0.2">
      <c r="J319"/>
    </row>
    <row r="320" spans="10:10" x14ac:dyDescent="0.2">
      <c r="J320"/>
    </row>
    <row r="321" spans="10:10" x14ac:dyDescent="0.2">
      <c r="J321"/>
    </row>
    <row r="322" spans="10:10" x14ac:dyDescent="0.2">
      <c r="J322"/>
    </row>
    <row r="323" spans="10:10" x14ac:dyDescent="0.2">
      <c r="J323"/>
    </row>
    <row r="324" spans="10:10" x14ac:dyDescent="0.2">
      <c r="J324"/>
    </row>
    <row r="325" spans="10:10" x14ac:dyDescent="0.2">
      <c r="J325"/>
    </row>
    <row r="326" spans="10:10" x14ac:dyDescent="0.2">
      <c r="J326"/>
    </row>
    <row r="327" spans="10:10" x14ac:dyDescent="0.2">
      <c r="J327"/>
    </row>
    <row r="328" spans="10:10" x14ac:dyDescent="0.2">
      <c r="J328"/>
    </row>
    <row r="329" spans="10:10" x14ac:dyDescent="0.2">
      <c r="J329"/>
    </row>
    <row r="330" spans="10:10" x14ac:dyDescent="0.2">
      <c r="J330"/>
    </row>
    <row r="331" spans="10:10" x14ac:dyDescent="0.2">
      <c r="J331"/>
    </row>
    <row r="332" spans="10:10" x14ac:dyDescent="0.2">
      <c r="J332"/>
    </row>
    <row r="333" spans="10:10" x14ac:dyDescent="0.2">
      <c r="J333"/>
    </row>
    <row r="334" spans="10:10" x14ac:dyDescent="0.2">
      <c r="J334"/>
    </row>
    <row r="335" spans="10:10" x14ac:dyDescent="0.2">
      <c r="J335"/>
    </row>
    <row r="336" spans="10:10" x14ac:dyDescent="0.2">
      <c r="J336"/>
    </row>
    <row r="337" spans="10:10" x14ac:dyDescent="0.2">
      <c r="J337"/>
    </row>
    <row r="338" spans="10:10" x14ac:dyDescent="0.2">
      <c r="J338"/>
    </row>
    <row r="339" spans="10:10" x14ac:dyDescent="0.2">
      <c r="J339"/>
    </row>
    <row r="340" spans="10:10" x14ac:dyDescent="0.2">
      <c r="J340"/>
    </row>
    <row r="341" spans="10:10" x14ac:dyDescent="0.2">
      <c r="J341"/>
    </row>
    <row r="342" spans="10:10" x14ac:dyDescent="0.2">
      <c r="J342"/>
    </row>
    <row r="343" spans="10:10" x14ac:dyDescent="0.2">
      <c r="J343"/>
    </row>
    <row r="344" spans="10:10" x14ac:dyDescent="0.2">
      <c r="J344"/>
    </row>
    <row r="345" spans="10:10" x14ac:dyDescent="0.2">
      <c r="J345"/>
    </row>
    <row r="346" spans="10:10" x14ac:dyDescent="0.2">
      <c r="J346"/>
    </row>
    <row r="347" spans="10:10" x14ac:dyDescent="0.2">
      <c r="J347"/>
    </row>
    <row r="348" spans="10:10" x14ac:dyDescent="0.2">
      <c r="J348"/>
    </row>
    <row r="349" spans="10:10" x14ac:dyDescent="0.2">
      <c r="J349"/>
    </row>
    <row r="350" spans="10:10" x14ac:dyDescent="0.2">
      <c r="J350"/>
    </row>
    <row r="351" spans="10:10" x14ac:dyDescent="0.2">
      <c r="J351"/>
    </row>
    <row r="352" spans="10:10" x14ac:dyDescent="0.2">
      <c r="J352"/>
    </row>
    <row r="353" spans="10:10" x14ac:dyDescent="0.2">
      <c r="J353"/>
    </row>
    <row r="354" spans="10:10" x14ac:dyDescent="0.2">
      <c r="J354"/>
    </row>
    <row r="355" spans="10:10" x14ac:dyDescent="0.2">
      <c r="J355"/>
    </row>
    <row r="356" spans="10:10" x14ac:dyDescent="0.2">
      <c r="J356"/>
    </row>
    <row r="357" spans="10:10" x14ac:dyDescent="0.2">
      <c r="J357"/>
    </row>
    <row r="358" spans="10:10" x14ac:dyDescent="0.2">
      <c r="J358"/>
    </row>
    <row r="359" spans="10:10" x14ac:dyDescent="0.2">
      <c r="J359"/>
    </row>
    <row r="360" spans="10:10" x14ac:dyDescent="0.2">
      <c r="J360"/>
    </row>
    <row r="361" spans="10:10" x14ac:dyDescent="0.2">
      <c r="J361"/>
    </row>
    <row r="362" spans="10:10" x14ac:dyDescent="0.2">
      <c r="J362"/>
    </row>
    <row r="363" spans="10:10" x14ac:dyDescent="0.2">
      <c r="J363"/>
    </row>
    <row r="364" spans="10:10" x14ac:dyDescent="0.2">
      <c r="J364"/>
    </row>
    <row r="365" spans="10:10" x14ac:dyDescent="0.2">
      <c r="J365"/>
    </row>
    <row r="366" spans="10:10" x14ac:dyDescent="0.2">
      <c r="J366"/>
    </row>
    <row r="367" spans="10:10" x14ac:dyDescent="0.2">
      <c r="J367"/>
    </row>
    <row r="368" spans="10:10" x14ac:dyDescent="0.2">
      <c r="J368"/>
    </row>
    <row r="369" spans="10:10" x14ac:dyDescent="0.2">
      <c r="J369"/>
    </row>
    <row r="370" spans="10:10" x14ac:dyDescent="0.2">
      <c r="J370"/>
    </row>
    <row r="371" spans="10:10" x14ac:dyDescent="0.2">
      <c r="J371"/>
    </row>
    <row r="372" spans="10:10" x14ac:dyDescent="0.2">
      <c r="J372"/>
    </row>
    <row r="373" spans="10:10" x14ac:dyDescent="0.2">
      <c r="J373"/>
    </row>
    <row r="374" spans="10:10" x14ac:dyDescent="0.2">
      <c r="J374"/>
    </row>
    <row r="375" spans="10:10" x14ac:dyDescent="0.2">
      <c r="J375"/>
    </row>
    <row r="376" spans="10:10" x14ac:dyDescent="0.2">
      <c r="J376"/>
    </row>
    <row r="377" spans="10:10" x14ac:dyDescent="0.2">
      <c r="J377"/>
    </row>
    <row r="378" spans="10:10" x14ac:dyDescent="0.2">
      <c r="J378"/>
    </row>
    <row r="379" spans="10:10" x14ac:dyDescent="0.2">
      <c r="J379"/>
    </row>
    <row r="380" spans="10:10" x14ac:dyDescent="0.2">
      <c r="J380"/>
    </row>
    <row r="381" spans="10:10" x14ac:dyDescent="0.2">
      <c r="J381"/>
    </row>
    <row r="382" spans="10:10" x14ac:dyDescent="0.2">
      <c r="J382"/>
    </row>
    <row r="383" spans="10:10" x14ac:dyDescent="0.2">
      <c r="J383"/>
    </row>
    <row r="384" spans="10:10" x14ac:dyDescent="0.2">
      <c r="J384"/>
    </row>
    <row r="385" spans="10:10" x14ac:dyDescent="0.2">
      <c r="J385"/>
    </row>
    <row r="386" spans="10:10" x14ac:dyDescent="0.2">
      <c r="J386"/>
    </row>
    <row r="387" spans="10:10" x14ac:dyDescent="0.2">
      <c r="J387"/>
    </row>
    <row r="388" spans="10:10" x14ac:dyDescent="0.2">
      <c r="J388"/>
    </row>
    <row r="389" spans="10:10" x14ac:dyDescent="0.2">
      <c r="J389"/>
    </row>
    <row r="390" spans="10:10" x14ac:dyDescent="0.2">
      <c r="J390"/>
    </row>
    <row r="391" spans="10:10" x14ac:dyDescent="0.2">
      <c r="J391"/>
    </row>
    <row r="392" spans="10:10" x14ac:dyDescent="0.2">
      <c r="J392"/>
    </row>
    <row r="393" spans="10:10" x14ac:dyDescent="0.2">
      <c r="J393"/>
    </row>
    <row r="394" spans="10:10" x14ac:dyDescent="0.2">
      <c r="J394"/>
    </row>
    <row r="395" spans="10:10" x14ac:dyDescent="0.2">
      <c r="J395"/>
    </row>
    <row r="396" spans="10:10" x14ac:dyDescent="0.2">
      <c r="J396"/>
    </row>
    <row r="397" spans="10:10" x14ac:dyDescent="0.2">
      <c r="J397"/>
    </row>
    <row r="398" spans="10:10" x14ac:dyDescent="0.2">
      <c r="J398"/>
    </row>
    <row r="399" spans="10:10" x14ac:dyDescent="0.2">
      <c r="J399"/>
    </row>
    <row r="400" spans="10:10" x14ac:dyDescent="0.2">
      <c r="J400"/>
    </row>
    <row r="401" spans="10:10" x14ac:dyDescent="0.2">
      <c r="J401"/>
    </row>
    <row r="402" spans="10:10" x14ac:dyDescent="0.2">
      <c r="J402"/>
    </row>
    <row r="403" spans="10:10" x14ac:dyDescent="0.2">
      <c r="J403"/>
    </row>
    <row r="404" spans="10:10" x14ac:dyDescent="0.2">
      <c r="J404"/>
    </row>
    <row r="405" spans="10:10" x14ac:dyDescent="0.2">
      <c r="J405"/>
    </row>
    <row r="406" spans="10:10" x14ac:dyDescent="0.2">
      <c r="J406"/>
    </row>
    <row r="407" spans="10:10" x14ac:dyDescent="0.2">
      <c r="J407"/>
    </row>
    <row r="408" spans="10:10" x14ac:dyDescent="0.2">
      <c r="J408"/>
    </row>
    <row r="409" spans="10:10" x14ac:dyDescent="0.2">
      <c r="J409"/>
    </row>
    <row r="410" spans="10:10" x14ac:dyDescent="0.2">
      <c r="J410"/>
    </row>
    <row r="411" spans="10:10" x14ac:dyDescent="0.2">
      <c r="J411"/>
    </row>
    <row r="412" spans="10:10" x14ac:dyDescent="0.2">
      <c r="J412"/>
    </row>
    <row r="413" spans="10:10" x14ac:dyDescent="0.2">
      <c r="J413"/>
    </row>
    <row r="414" spans="10:10" x14ac:dyDescent="0.2">
      <c r="J414"/>
    </row>
    <row r="415" spans="10:10" x14ac:dyDescent="0.2">
      <c r="J415"/>
    </row>
    <row r="416" spans="10:10" x14ac:dyDescent="0.2">
      <c r="J416"/>
    </row>
    <row r="417" spans="10:10" x14ac:dyDescent="0.2">
      <c r="J417"/>
    </row>
    <row r="418" spans="10:10" x14ac:dyDescent="0.2">
      <c r="J418"/>
    </row>
    <row r="419" spans="10:10" x14ac:dyDescent="0.2">
      <c r="J419"/>
    </row>
    <row r="420" spans="10:10" x14ac:dyDescent="0.2">
      <c r="J420"/>
    </row>
    <row r="421" spans="10:10" x14ac:dyDescent="0.2">
      <c r="J421"/>
    </row>
    <row r="422" spans="10:10" x14ac:dyDescent="0.2">
      <c r="J422"/>
    </row>
    <row r="423" spans="10:10" x14ac:dyDescent="0.2">
      <c r="J423"/>
    </row>
    <row r="424" spans="10:10" x14ac:dyDescent="0.2">
      <c r="J424"/>
    </row>
    <row r="425" spans="10:10" x14ac:dyDescent="0.2">
      <c r="J425"/>
    </row>
    <row r="426" spans="10:10" x14ac:dyDescent="0.2">
      <c r="J426"/>
    </row>
    <row r="427" spans="10:10" x14ac:dyDescent="0.2">
      <c r="J427"/>
    </row>
    <row r="428" spans="10:10" x14ac:dyDescent="0.2">
      <c r="J428"/>
    </row>
    <row r="429" spans="10:10" x14ac:dyDescent="0.2">
      <c r="J429"/>
    </row>
    <row r="430" spans="10:10" x14ac:dyDescent="0.2">
      <c r="J430"/>
    </row>
    <row r="431" spans="10:10" x14ac:dyDescent="0.2">
      <c r="J431"/>
    </row>
    <row r="432" spans="10:10" x14ac:dyDescent="0.2">
      <c r="J432"/>
    </row>
    <row r="433" spans="10:10" x14ac:dyDescent="0.2">
      <c r="J433"/>
    </row>
    <row r="434" spans="10:10" x14ac:dyDescent="0.2">
      <c r="J434"/>
    </row>
    <row r="435" spans="10:10" x14ac:dyDescent="0.2">
      <c r="J435"/>
    </row>
    <row r="436" spans="10:10" x14ac:dyDescent="0.2">
      <c r="J436"/>
    </row>
    <row r="437" spans="10:10" x14ac:dyDescent="0.2">
      <c r="J437"/>
    </row>
    <row r="438" spans="10:10" x14ac:dyDescent="0.2">
      <c r="J438"/>
    </row>
    <row r="439" spans="10:10" x14ac:dyDescent="0.2">
      <c r="J439"/>
    </row>
    <row r="440" spans="10:10" x14ac:dyDescent="0.2">
      <c r="J440"/>
    </row>
    <row r="441" spans="10:10" x14ac:dyDescent="0.2">
      <c r="J441"/>
    </row>
    <row r="442" spans="10:10" x14ac:dyDescent="0.2">
      <c r="J442"/>
    </row>
    <row r="443" spans="10:10" x14ac:dyDescent="0.2">
      <c r="J443"/>
    </row>
    <row r="444" spans="10:10" x14ac:dyDescent="0.2">
      <c r="J444"/>
    </row>
    <row r="445" spans="10:10" x14ac:dyDescent="0.2">
      <c r="J445"/>
    </row>
    <row r="446" spans="10:10" x14ac:dyDescent="0.2">
      <c r="J446"/>
    </row>
    <row r="447" spans="10:10" x14ac:dyDescent="0.2">
      <c r="J447"/>
    </row>
    <row r="448" spans="10:10" x14ac:dyDescent="0.2">
      <c r="J448"/>
    </row>
    <row r="449" spans="10:10" x14ac:dyDescent="0.2">
      <c r="J449"/>
    </row>
    <row r="450" spans="10:10" x14ac:dyDescent="0.2">
      <c r="J450"/>
    </row>
    <row r="451" spans="10:10" x14ac:dyDescent="0.2">
      <c r="J451"/>
    </row>
    <row r="452" spans="10:10" x14ac:dyDescent="0.2">
      <c r="J452"/>
    </row>
    <row r="453" spans="10:10" x14ac:dyDescent="0.2">
      <c r="J453"/>
    </row>
    <row r="454" spans="10:10" x14ac:dyDescent="0.2">
      <c r="J454"/>
    </row>
    <row r="455" spans="10:10" x14ac:dyDescent="0.2">
      <c r="J455"/>
    </row>
    <row r="456" spans="10:10" x14ac:dyDescent="0.2">
      <c r="J456"/>
    </row>
    <row r="457" spans="10:10" x14ac:dyDescent="0.2">
      <c r="J457"/>
    </row>
    <row r="458" spans="10:10" x14ac:dyDescent="0.2">
      <c r="J458"/>
    </row>
    <row r="459" spans="10:10" x14ac:dyDescent="0.2">
      <c r="J459"/>
    </row>
    <row r="460" spans="10:10" x14ac:dyDescent="0.2">
      <c r="J460"/>
    </row>
    <row r="461" spans="10:10" x14ac:dyDescent="0.2">
      <c r="J461"/>
    </row>
    <row r="462" spans="10:10" x14ac:dyDescent="0.2">
      <c r="J462"/>
    </row>
    <row r="463" spans="10:10" x14ac:dyDescent="0.2">
      <c r="J463"/>
    </row>
    <row r="464" spans="10:10" x14ac:dyDescent="0.2">
      <c r="J464"/>
    </row>
    <row r="465" spans="10:10" x14ac:dyDescent="0.2">
      <c r="J465"/>
    </row>
    <row r="466" spans="10:10" x14ac:dyDescent="0.2">
      <c r="J466"/>
    </row>
    <row r="467" spans="10:10" x14ac:dyDescent="0.2">
      <c r="J467"/>
    </row>
    <row r="468" spans="10:10" x14ac:dyDescent="0.2">
      <c r="J468"/>
    </row>
    <row r="469" spans="10:10" x14ac:dyDescent="0.2">
      <c r="J469"/>
    </row>
    <row r="470" spans="10:10" x14ac:dyDescent="0.2">
      <c r="J470"/>
    </row>
    <row r="471" spans="10:10" x14ac:dyDescent="0.2">
      <c r="J471"/>
    </row>
    <row r="472" spans="10:10" x14ac:dyDescent="0.2">
      <c r="J472"/>
    </row>
    <row r="473" spans="10:10" x14ac:dyDescent="0.2">
      <c r="J473"/>
    </row>
    <row r="474" spans="10:10" x14ac:dyDescent="0.2">
      <c r="J474"/>
    </row>
    <row r="475" spans="10:10" x14ac:dyDescent="0.2">
      <c r="J475"/>
    </row>
    <row r="476" spans="10:10" x14ac:dyDescent="0.2">
      <c r="J476"/>
    </row>
    <row r="477" spans="10:10" x14ac:dyDescent="0.2">
      <c r="J477"/>
    </row>
    <row r="478" spans="10:10" x14ac:dyDescent="0.2">
      <c r="J478"/>
    </row>
    <row r="479" spans="10:10" x14ac:dyDescent="0.2">
      <c r="J479"/>
    </row>
    <row r="480" spans="10:10" x14ac:dyDescent="0.2">
      <c r="J480"/>
    </row>
    <row r="481" spans="10:10" x14ac:dyDescent="0.2">
      <c r="J481"/>
    </row>
    <row r="482" spans="10:10" x14ac:dyDescent="0.2">
      <c r="J482"/>
    </row>
    <row r="483" spans="10:10" x14ac:dyDescent="0.2">
      <c r="J483"/>
    </row>
    <row r="484" spans="10:10" x14ac:dyDescent="0.2">
      <c r="J484"/>
    </row>
    <row r="485" spans="10:10" x14ac:dyDescent="0.2">
      <c r="J485"/>
    </row>
    <row r="486" spans="10:10" x14ac:dyDescent="0.2">
      <c r="J486"/>
    </row>
    <row r="487" spans="10:10" x14ac:dyDescent="0.2">
      <c r="J487"/>
    </row>
    <row r="488" spans="10:10" x14ac:dyDescent="0.2">
      <c r="J488"/>
    </row>
    <row r="489" spans="10:10" x14ac:dyDescent="0.2">
      <c r="J489"/>
    </row>
    <row r="490" spans="10:10" x14ac:dyDescent="0.2">
      <c r="J490"/>
    </row>
    <row r="491" spans="10:10" x14ac:dyDescent="0.2">
      <c r="J491"/>
    </row>
    <row r="492" spans="10:10" x14ac:dyDescent="0.2">
      <c r="J492"/>
    </row>
    <row r="493" spans="10:10" x14ac:dyDescent="0.2">
      <c r="J493"/>
    </row>
    <row r="494" spans="10:10" x14ac:dyDescent="0.2">
      <c r="J494"/>
    </row>
    <row r="495" spans="10:10" x14ac:dyDescent="0.2">
      <c r="J495"/>
    </row>
    <row r="496" spans="10:10" x14ac:dyDescent="0.2">
      <c r="J496"/>
    </row>
    <row r="497" spans="10:10" x14ac:dyDescent="0.2">
      <c r="J497"/>
    </row>
    <row r="498" spans="10:10" x14ac:dyDescent="0.2">
      <c r="J498"/>
    </row>
    <row r="499" spans="10:10" x14ac:dyDescent="0.2">
      <c r="J499"/>
    </row>
    <row r="500" spans="10:10" x14ac:dyDescent="0.2">
      <c r="J500"/>
    </row>
    <row r="501" spans="10:10" x14ac:dyDescent="0.2">
      <c r="J501"/>
    </row>
    <row r="502" spans="10:10" x14ac:dyDescent="0.2">
      <c r="J502"/>
    </row>
    <row r="503" spans="10:10" x14ac:dyDescent="0.2">
      <c r="J503"/>
    </row>
    <row r="504" spans="10:10" x14ac:dyDescent="0.2">
      <c r="J504"/>
    </row>
    <row r="505" spans="10:10" x14ac:dyDescent="0.2">
      <c r="J505"/>
    </row>
    <row r="506" spans="10:10" x14ac:dyDescent="0.2">
      <c r="J506"/>
    </row>
    <row r="507" spans="10:10" x14ac:dyDescent="0.2">
      <c r="J507"/>
    </row>
    <row r="508" spans="10:10" x14ac:dyDescent="0.2">
      <c r="J508"/>
    </row>
    <row r="509" spans="10:10" x14ac:dyDescent="0.2">
      <c r="J509"/>
    </row>
    <row r="510" spans="10:10" x14ac:dyDescent="0.2">
      <c r="J510"/>
    </row>
    <row r="511" spans="10:10" x14ac:dyDescent="0.2">
      <c r="J511"/>
    </row>
    <row r="512" spans="10:10" x14ac:dyDescent="0.2">
      <c r="J512"/>
    </row>
    <row r="513" spans="10:10" x14ac:dyDescent="0.2">
      <c r="J513"/>
    </row>
    <row r="514" spans="10:10" x14ac:dyDescent="0.2">
      <c r="J514"/>
    </row>
    <row r="515" spans="10:10" x14ac:dyDescent="0.2">
      <c r="J515"/>
    </row>
    <row r="516" spans="10:10" x14ac:dyDescent="0.2">
      <c r="J516"/>
    </row>
    <row r="517" spans="10:10" x14ac:dyDescent="0.2">
      <c r="J517"/>
    </row>
    <row r="518" spans="10:10" x14ac:dyDescent="0.2">
      <c r="J518"/>
    </row>
    <row r="519" spans="10:10" x14ac:dyDescent="0.2">
      <c r="J519"/>
    </row>
    <row r="520" spans="10:10" x14ac:dyDescent="0.2">
      <c r="J520"/>
    </row>
    <row r="521" spans="10:10" x14ac:dyDescent="0.2">
      <c r="J521"/>
    </row>
    <row r="522" spans="10:10" x14ac:dyDescent="0.2">
      <c r="J522"/>
    </row>
    <row r="523" spans="10:10" x14ac:dyDescent="0.2">
      <c r="J523"/>
    </row>
    <row r="524" spans="10:10" x14ac:dyDescent="0.2">
      <c r="J524"/>
    </row>
    <row r="525" spans="10:10" x14ac:dyDescent="0.2">
      <c r="J525"/>
    </row>
    <row r="526" spans="10:10" x14ac:dyDescent="0.2">
      <c r="J526"/>
    </row>
    <row r="527" spans="10:10" x14ac:dyDescent="0.2">
      <c r="J527"/>
    </row>
    <row r="528" spans="10:10" x14ac:dyDescent="0.2">
      <c r="J528"/>
    </row>
    <row r="529" spans="10:10" x14ac:dyDescent="0.2">
      <c r="J529"/>
    </row>
    <row r="530" spans="10:10" x14ac:dyDescent="0.2">
      <c r="J530"/>
    </row>
    <row r="531" spans="10:10" x14ac:dyDescent="0.2">
      <c r="J531"/>
    </row>
    <row r="532" spans="10:10" x14ac:dyDescent="0.2">
      <c r="J532"/>
    </row>
    <row r="533" spans="10:10" x14ac:dyDescent="0.2">
      <c r="J533"/>
    </row>
    <row r="534" spans="10:10" x14ac:dyDescent="0.2">
      <c r="J534"/>
    </row>
    <row r="535" spans="10:10" x14ac:dyDescent="0.2">
      <c r="J535"/>
    </row>
    <row r="536" spans="10:10" x14ac:dyDescent="0.2">
      <c r="J536"/>
    </row>
    <row r="537" spans="10:10" x14ac:dyDescent="0.2">
      <c r="J537"/>
    </row>
    <row r="538" spans="10:10" x14ac:dyDescent="0.2">
      <c r="J538"/>
    </row>
    <row r="539" spans="10:10" x14ac:dyDescent="0.2">
      <c r="J539"/>
    </row>
    <row r="540" spans="10:10" x14ac:dyDescent="0.2">
      <c r="J540"/>
    </row>
    <row r="541" spans="10:10" x14ac:dyDescent="0.2">
      <c r="J541"/>
    </row>
    <row r="542" spans="10:10" x14ac:dyDescent="0.2">
      <c r="J542"/>
    </row>
    <row r="543" spans="10:10" x14ac:dyDescent="0.2">
      <c r="J543"/>
    </row>
    <row r="544" spans="10:10" x14ac:dyDescent="0.2">
      <c r="J544"/>
    </row>
    <row r="545" spans="10:10" x14ac:dyDescent="0.2">
      <c r="J545"/>
    </row>
    <row r="546" spans="10:10" x14ac:dyDescent="0.2">
      <c r="J546"/>
    </row>
    <row r="547" spans="10:10" x14ac:dyDescent="0.2">
      <c r="J547"/>
    </row>
    <row r="548" spans="10:10" x14ac:dyDescent="0.2">
      <c r="J548"/>
    </row>
    <row r="549" spans="10:10" x14ac:dyDescent="0.2">
      <c r="J549"/>
    </row>
    <row r="550" spans="10:10" x14ac:dyDescent="0.2">
      <c r="J550"/>
    </row>
    <row r="551" spans="10:10" x14ac:dyDescent="0.2">
      <c r="J551"/>
    </row>
    <row r="552" spans="10:10" x14ac:dyDescent="0.2">
      <c r="J552"/>
    </row>
    <row r="553" spans="10:10" x14ac:dyDescent="0.2">
      <c r="J553"/>
    </row>
    <row r="554" spans="10:10" x14ac:dyDescent="0.2">
      <c r="J554"/>
    </row>
    <row r="555" spans="10:10" x14ac:dyDescent="0.2">
      <c r="J555"/>
    </row>
    <row r="556" spans="10:10" x14ac:dyDescent="0.2">
      <c r="J556"/>
    </row>
    <row r="557" spans="10:10" x14ac:dyDescent="0.2">
      <c r="J557"/>
    </row>
    <row r="558" spans="10:10" x14ac:dyDescent="0.2">
      <c r="J558"/>
    </row>
    <row r="559" spans="10:10" x14ac:dyDescent="0.2">
      <c r="J559"/>
    </row>
    <row r="560" spans="10:10" x14ac:dyDescent="0.2">
      <c r="J560"/>
    </row>
    <row r="561" spans="10:10" x14ac:dyDescent="0.2">
      <c r="J561"/>
    </row>
    <row r="562" spans="10:10" x14ac:dyDescent="0.2">
      <c r="J562"/>
    </row>
    <row r="563" spans="10:10" x14ac:dyDescent="0.2">
      <c r="J563"/>
    </row>
    <row r="564" spans="10:10" x14ac:dyDescent="0.2">
      <c r="J564"/>
    </row>
    <row r="565" spans="10:10" x14ac:dyDescent="0.2">
      <c r="J565"/>
    </row>
    <row r="566" spans="10:10" x14ac:dyDescent="0.2">
      <c r="J566"/>
    </row>
    <row r="567" spans="10:10" x14ac:dyDescent="0.2">
      <c r="J567"/>
    </row>
    <row r="568" spans="10:10" x14ac:dyDescent="0.2">
      <c r="J568"/>
    </row>
    <row r="569" spans="10:10" x14ac:dyDescent="0.2">
      <c r="J569"/>
    </row>
    <row r="570" spans="10:10" x14ac:dyDescent="0.2">
      <c r="J570"/>
    </row>
    <row r="571" spans="10:10" x14ac:dyDescent="0.2">
      <c r="J571"/>
    </row>
    <row r="572" spans="10:10" x14ac:dyDescent="0.2">
      <c r="J572"/>
    </row>
    <row r="573" spans="10:10" x14ac:dyDescent="0.2">
      <c r="J573"/>
    </row>
    <row r="574" spans="10:10" x14ac:dyDescent="0.2">
      <c r="J574"/>
    </row>
    <row r="575" spans="10:10" x14ac:dyDescent="0.2">
      <c r="J575"/>
    </row>
    <row r="576" spans="10:10" x14ac:dyDescent="0.2">
      <c r="J576"/>
    </row>
    <row r="577" spans="10:10" x14ac:dyDescent="0.2">
      <c r="J577"/>
    </row>
    <row r="578" spans="10:10" x14ac:dyDescent="0.2">
      <c r="J578"/>
    </row>
    <row r="579" spans="10:10" x14ac:dyDescent="0.2">
      <c r="J579"/>
    </row>
    <row r="580" spans="10:10" x14ac:dyDescent="0.2">
      <c r="J580"/>
    </row>
    <row r="581" spans="10:10" x14ac:dyDescent="0.2">
      <c r="J581"/>
    </row>
    <row r="582" spans="10:10" x14ac:dyDescent="0.2">
      <c r="J582"/>
    </row>
    <row r="583" spans="10:10" x14ac:dyDescent="0.2">
      <c r="J583"/>
    </row>
    <row r="584" spans="10:10" x14ac:dyDescent="0.2">
      <c r="J584"/>
    </row>
    <row r="585" spans="10:10" x14ac:dyDescent="0.2">
      <c r="J585"/>
    </row>
    <row r="586" spans="10:10" x14ac:dyDescent="0.2">
      <c r="J586"/>
    </row>
    <row r="587" spans="10:10" x14ac:dyDescent="0.2">
      <c r="J587"/>
    </row>
    <row r="588" spans="10:10" x14ac:dyDescent="0.2">
      <c r="J588"/>
    </row>
    <row r="589" spans="10:10" x14ac:dyDescent="0.2">
      <c r="J589"/>
    </row>
    <row r="590" spans="10:10" x14ac:dyDescent="0.2">
      <c r="J590"/>
    </row>
    <row r="591" spans="10:10" x14ac:dyDescent="0.2">
      <c r="J591"/>
    </row>
    <row r="592" spans="10:10" x14ac:dyDescent="0.2">
      <c r="J592"/>
    </row>
    <row r="593" spans="10:10" x14ac:dyDescent="0.2">
      <c r="J593"/>
    </row>
    <row r="594" spans="10:10" x14ac:dyDescent="0.2">
      <c r="J594"/>
    </row>
    <row r="595" spans="10:10" x14ac:dyDescent="0.2">
      <c r="J595"/>
    </row>
    <row r="596" spans="10:10" x14ac:dyDescent="0.2">
      <c r="J596"/>
    </row>
    <row r="597" spans="10:10" x14ac:dyDescent="0.2">
      <c r="J597"/>
    </row>
    <row r="598" spans="10:10" x14ac:dyDescent="0.2">
      <c r="J598"/>
    </row>
    <row r="599" spans="10:10" x14ac:dyDescent="0.2">
      <c r="J599"/>
    </row>
    <row r="600" spans="10:10" x14ac:dyDescent="0.2">
      <c r="J600"/>
    </row>
    <row r="601" spans="10:10" x14ac:dyDescent="0.2">
      <c r="J601"/>
    </row>
    <row r="602" spans="10:10" x14ac:dyDescent="0.2">
      <c r="J602"/>
    </row>
    <row r="603" spans="10:10" x14ac:dyDescent="0.2">
      <c r="J603"/>
    </row>
    <row r="604" spans="10:10" x14ac:dyDescent="0.2">
      <c r="J604"/>
    </row>
    <row r="605" spans="10:10" x14ac:dyDescent="0.2">
      <c r="J605"/>
    </row>
    <row r="606" spans="10:10" x14ac:dyDescent="0.2">
      <c r="J606"/>
    </row>
    <row r="607" spans="10:10" x14ac:dyDescent="0.2">
      <c r="J607"/>
    </row>
    <row r="608" spans="10:10" x14ac:dyDescent="0.2">
      <c r="J608"/>
    </row>
    <row r="609" spans="10:10" x14ac:dyDescent="0.2">
      <c r="J609"/>
    </row>
    <row r="610" spans="10:10" x14ac:dyDescent="0.2">
      <c r="J610"/>
    </row>
    <row r="611" spans="10:10" x14ac:dyDescent="0.2">
      <c r="J611"/>
    </row>
    <row r="612" spans="10:10" x14ac:dyDescent="0.2">
      <c r="J612"/>
    </row>
    <row r="613" spans="10:10" x14ac:dyDescent="0.2">
      <c r="J613"/>
    </row>
    <row r="614" spans="10:10" x14ac:dyDescent="0.2">
      <c r="J614"/>
    </row>
    <row r="615" spans="10:10" x14ac:dyDescent="0.2">
      <c r="J615"/>
    </row>
    <row r="616" spans="10:10" x14ac:dyDescent="0.2">
      <c r="J616"/>
    </row>
    <row r="617" spans="10:10" x14ac:dyDescent="0.2">
      <c r="J617"/>
    </row>
    <row r="618" spans="10:10" x14ac:dyDescent="0.2">
      <c r="J618"/>
    </row>
    <row r="619" spans="10:10" x14ac:dyDescent="0.2">
      <c r="J619"/>
    </row>
    <row r="620" spans="10:10" x14ac:dyDescent="0.2">
      <c r="J620"/>
    </row>
    <row r="621" spans="10:10" x14ac:dyDescent="0.2">
      <c r="J621"/>
    </row>
    <row r="622" spans="10:10" x14ac:dyDescent="0.2">
      <c r="J622"/>
    </row>
    <row r="623" spans="10:10" x14ac:dyDescent="0.2">
      <c r="J623"/>
    </row>
    <row r="624" spans="10:10" x14ac:dyDescent="0.2">
      <c r="J624"/>
    </row>
    <row r="625" spans="10:10" x14ac:dyDescent="0.2">
      <c r="J625"/>
    </row>
    <row r="626" spans="10:10" x14ac:dyDescent="0.2">
      <c r="J626"/>
    </row>
    <row r="627" spans="10:10" x14ac:dyDescent="0.2">
      <c r="J627"/>
    </row>
    <row r="628" spans="10:10" x14ac:dyDescent="0.2">
      <c r="J628"/>
    </row>
    <row r="629" spans="10:10" x14ac:dyDescent="0.2">
      <c r="J629"/>
    </row>
    <row r="630" spans="10:10" x14ac:dyDescent="0.2">
      <c r="J630"/>
    </row>
    <row r="631" spans="10:10" x14ac:dyDescent="0.2">
      <c r="J631"/>
    </row>
    <row r="632" spans="10:10" x14ac:dyDescent="0.2">
      <c r="J632"/>
    </row>
    <row r="633" spans="10:10" x14ac:dyDescent="0.2">
      <c r="J633"/>
    </row>
    <row r="634" spans="10:10" x14ac:dyDescent="0.2">
      <c r="J634"/>
    </row>
    <row r="635" spans="10:10" x14ac:dyDescent="0.2">
      <c r="J635"/>
    </row>
    <row r="636" spans="10:10" x14ac:dyDescent="0.2">
      <c r="J636"/>
    </row>
    <row r="637" spans="10:10" x14ac:dyDescent="0.2">
      <c r="J637"/>
    </row>
    <row r="638" spans="10:10" x14ac:dyDescent="0.2">
      <c r="J638"/>
    </row>
    <row r="639" spans="10:10" x14ac:dyDescent="0.2">
      <c r="J639"/>
    </row>
    <row r="640" spans="10:10" x14ac:dyDescent="0.2">
      <c r="J640"/>
    </row>
    <row r="641" spans="10:10" x14ac:dyDescent="0.2">
      <c r="J641"/>
    </row>
    <row r="642" spans="10:10" x14ac:dyDescent="0.2">
      <c r="J642"/>
    </row>
    <row r="643" spans="10:10" x14ac:dyDescent="0.2">
      <c r="J643"/>
    </row>
    <row r="644" spans="10:10" x14ac:dyDescent="0.2">
      <c r="J644"/>
    </row>
    <row r="645" spans="10:10" x14ac:dyDescent="0.2">
      <c r="J645"/>
    </row>
    <row r="646" spans="10:10" x14ac:dyDescent="0.2">
      <c r="J646"/>
    </row>
    <row r="647" spans="10:10" x14ac:dyDescent="0.2">
      <c r="J647"/>
    </row>
    <row r="648" spans="10:10" x14ac:dyDescent="0.2">
      <c r="J648"/>
    </row>
    <row r="649" spans="10:10" x14ac:dyDescent="0.2">
      <c r="J649"/>
    </row>
    <row r="650" spans="10:10" x14ac:dyDescent="0.2">
      <c r="J650"/>
    </row>
    <row r="651" spans="10:10" x14ac:dyDescent="0.2">
      <c r="J651"/>
    </row>
    <row r="652" spans="10:10" x14ac:dyDescent="0.2">
      <c r="J652"/>
    </row>
    <row r="653" spans="10:10" x14ac:dyDescent="0.2">
      <c r="J653"/>
    </row>
    <row r="654" spans="10:10" x14ac:dyDescent="0.2">
      <c r="J654"/>
    </row>
    <row r="655" spans="10:10" x14ac:dyDescent="0.2">
      <c r="J655"/>
    </row>
    <row r="656" spans="10:10" x14ac:dyDescent="0.2">
      <c r="J656"/>
    </row>
    <row r="657" spans="10:10" x14ac:dyDescent="0.2">
      <c r="J657"/>
    </row>
    <row r="658" spans="10:10" x14ac:dyDescent="0.2">
      <c r="J658"/>
    </row>
    <row r="659" spans="10:10" x14ac:dyDescent="0.2">
      <c r="J659"/>
    </row>
    <row r="660" spans="10:10" x14ac:dyDescent="0.2">
      <c r="J660"/>
    </row>
    <row r="661" spans="10:10" x14ac:dyDescent="0.2">
      <c r="J661"/>
    </row>
    <row r="662" spans="10:10" x14ac:dyDescent="0.2">
      <c r="J662"/>
    </row>
    <row r="663" spans="10:10" x14ac:dyDescent="0.2">
      <c r="J663"/>
    </row>
    <row r="664" spans="10:10" x14ac:dyDescent="0.2">
      <c r="J664"/>
    </row>
    <row r="665" spans="10:10" x14ac:dyDescent="0.2">
      <c r="J665"/>
    </row>
    <row r="666" spans="10:10" x14ac:dyDescent="0.2">
      <c r="J666"/>
    </row>
    <row r="667" spans="10:10" x14ac:dyDescent="0.2">
      <c r="J667"/>
    </row>
    <row r="668" spans="10:10" x14ac:dyDescent="0.2">
      <c r="J668"/>
    </row>
    <row r="669" spans="10:10" x14ac:dyDescent="0.2">
      <c r="J669"/>
    </row>
    <row r="670" spans="10:10" x14ac:dyDescent="0.2">
      <c r="J670"/>
    </row>
    <row r="671" spans="10:10" x14ac:dyDescent="0.2">
      <c r="J671"/>
    </row>
    <row r="672" spans="10:10" x14ac:dyDescent="0.2">
      <c r="J672"/>
    </row>
    <row r="673" spans="10:10" x14ac:dyDescent="0.2">
      <c r="J673"/>
    </row>
    <row r="674" spans="10:10" x14ac:dyDescent="0.2">
      <c r="J674"/>
    </row>
    <row r="675" spans="10:10" x14ac:dyDescent="0.2">
      <c r="J675"/>
    </row>
    <row r="676" spans="10:10" x14ac:dyDescent="0.2">
      <c r="J676"/>
    </row>
    <row r="677" spans="10:10" x14ac:dyDescent="0.2">
      <c r="J677"/>
    </row>
    <row r="678" spans="10:10" x14ac:dyDescent="0.2">
      <c r="J678"/>
    </row>
    <row r="679" spans="10:10" x14ac:dyDescent="0.2">
      <c r="J679"/>
    </row>
    <row r="680" spans="10:10" x14ac:dyDescent="0.2">
      <c r="J680"/>
    </row>
    <row r="681" spans="10:10" x14ac:dyDescent="0.2">
      <c r="J681"/>
    </row>
    <row r="682" spans="10:10" x14ac:dyDescent="0.2">
      <c r="J682"/>
    </row>
    <row r="683" spans="10:10" x14ac:dyDescent="0.2">
      <c r="J683"/>
    </row>
    <row r="684" spans="10:10" x14ac:dyDescent="0.2">
      <c r="J684"/>
    </row>
    <row r="685" spans="10:10" x14ac:dyDescent="0.2">
      <c r="J685"/>
    </row>
    <row r="686" spans="10:10" x14ac:dyDescent="0.2">
      <c r="J686"/>
    </row>
    <row r="687" spans="10:10" x14ac:dyDescent="0.2">
      <c r="J687"/>
    </row>
    <row r="688" spans="10:10" x14ac:dyDescent="0.2">
      <c r="J688"/>
    </row>
    <row r="689" spans="10:10" x14ac:dyDescent="0.2">
      <c r="J689"/>
    </row>
    <row r="690" spans="10:10" x14ac:dyDescent="0.2">
      <c r="J690"/>
    </row>
    <row r="691" spans="10:10" x14ac:dyDescent="0.2">
      <c r="J691"/>
    </row>
    <row r="692" spans="10:10" x14ac:dyDescent="0.2">
      <c r="J692"/>
    </row>
    <row r="693" spans="10:10" x14ac:dyDescent="0.2">
      <c r="J693"/>
    </row>
    <row r="694" spans="10:10" x14ac:dyDescent="0.2">
      <c r="J694"/>
    </row>
    <row r="695" spans="10:10" x14ac:dyDescent="0.2">
      <c r="J695"/>
    </row>
    <row r="696" spans="10:10" x14ac:dyDescent="0.2">
      <c r="J696"/>
    </row>
    <row r="697" spans="10:10" x14ac:dyDescent="0.2">
      <c r="J697"/>
    </row>
    <row r="698" spans="10:10" x14ac:dyDescent="0.2">
      <c r="J698"/>
    </row>
    <row r="699" spans="10:10" x14ac:dyDescent="0.2">
      <c r="J699"/>
    </row>
    <row r="700" spans="10:10" x14ac:dyDescent="0.2">
      <c r="J700"/>
    </row>
    <row r="701" spans="10:10" x14ac:dyDescent="0.2">
      <c r="J701"/>
    </row>
    <row r="702" spans="10:10" x14ac:dyDescent="0.2">
      <c r="J702"/>
    </row>
    <row r="703" spans="10:10" x14ac:dyDescent="0.2">
      <c r="J703"/>
    </row>
    <row r="704" spans="10:10" x14ac:dyDescent="0.2">
      <c r="J704"/>
    </row>
    <row r="705" spans="10:10" x14ac:dyDescent="0.2">
      <c r="J705"/>
    </row>
    <row r="706" spans="10:10" x14ac:dyDescent="0.2">
      <c r="J706"/>
    </row>
    <row r="707" spans="10:10" x14ac:dyDescent="0.2">
      <c r="J707"/>
    </row>
    <row r="708" spans="10:10" x14ac:dyDescent="0.2">
      <c r="J708"/>
    </row>
    <row r="709" spans="10:10" x14ac:dyDescent="0.2">
      <c r="J709"/>
    </row>
    <row r="710" spans="10:10" x14ac:dyDescent="0.2">
      <c r="J710"/>
    </row>
    <row r="711" spans="10:10" x14ac:dyDescent="0.2">
      <c r="J711"/>
    </row>
    <row r="712" spans="10:10" x14ac:dyDescent="0.2">
      <c r="J712"/>
    </row>
    <row r="713" spans="10:10" x14ac:dyDescent="0.2">
      <c r="J713"/>
    </row>
    <row r="714" spans="10:10" x14ac:dyDescent="0.2">
      <c r="J714"/>
    </row>
    <row r="715" spans="10:10" x14ac:dyDescent="0.2">
      <c r="J715"/>
    </row>
    <row r="716" spans="10:10" x14ac:dyDescent="0.2">
      <c r="J716"/>
    </row>
    <row r="717" spans="10:10" x14ac:dyDescent="0.2">
      <c r="J717"/>
    </row>
    <row r="718" spans="10:10" x14ac:dyDescent="0.2">
      <c r="J718"/>
    </row>
    <row r="719" spans="10:10" x14ac:dyDescent="0.2">
      <c r="J719"/>
    </row>
    <row r="720" spans="10:10" x14ac:dyDescent="0.2">
      <c r="J720"/>
    </row>
    <row r="721" spans="10:10" x14ac:dyDescent="0.2">
      <c r="J721"/>
    </row>
    <row r="722" spans="10:10" x14ac:dyDescent="0.2">
      <c r="J722"/>
    </row>
    <row r="723" spans="10:10" x14ac:dyDescent="0.2">
      <c r="J723"/>
    </row>
    <row r="724" spans="10:10" x14ac:dyDescent="0.2">
      <c r="J724"/>
    </row>
    <row r="725" spans="10:10" x14ac:dyDescent="0.2">
      <c r="J725"/>
    </row>
    <row r="726" spans="10:10" x14ac:dyDescent="0.2">
      <c r="J726"/>
    </row>
    <row r="727" spans="10:10" x14ac:dyDescent="0.2">
      <c r="J727"/>
    </row>
    <row r="728" spans="10:10" x14ac:dyDescent="0.2">
      <c r="J728"/>
    </row>
    <row r="729" spans="10:10" x14ac:dyDescent="0.2">
      <c r="J729"/>
    </row>
    <row r="730" spans="10:10" x14ac:dyDescent="0.2">
      <c r="J730"/>
    </row>
    <row r="731" spans="10:10" x14ac:dyDescent="0.2">
      <c r="J731"/>
    </row>
    <row r="732" spans="10:10" x14ac:dyDescent="0.2">
      <c r="J732"/>
    </row>
    <row r="733" spans="10:10" x14ac:dyDescent="0.2">
      <c r="J733"/>
    </row>
    <row r="734" spans="10:10" x14ac:dyDescent="0.2">
      <c r="J734"/>
    </row>
    <row r="735" spans="10:10" x14ac:dyDescent="0.2">
      <c r="J735"/>
    </row>
    <row r="736" spans="10:10" x14ac:dyDescent="0.2">
      <c r="J736"/>
    </row>
    <row r="737" spans="10:10" x14ac:dyDescent="0.2">
      <c r="J737"/>
    </row>
    <row r="738" spans="10:10" x14ac:dyDescent="0.2">
      <c r="J738"/>
    </row>
    <row r="739" spans="10:10" x14ac:dyDescent="0.2">
      <c r="J739"/>
    </row>
    <row r="740" spans="10:10" x14ac:dyDescent="0.2">
      <c r="J740"/>
    </row>
    <row r="741" spans="10:10" x14ac:dyDescent="0.2">
      <c r="J741"/>
    </row>
    <row r="742" spans="10:10" x14ac:dyDescent="0.2">
      <c r="J742"/>
    </row>
    <row r="743" spans="10:10" x14ac:dyDescent="0.2">
      <c r="J743"/>
    </row>
    <row r="744" spans="10:10" x14ac:dyDescent="0.2">
      <c r="J744"/>
    </row>
    <row r="745" spans="10:10" x14ac:dyDescent="0.2">
      <c r="J745"/>
    </row>
    <row r="746" spans="10:10" x14ac:dyDescent="0.2">
      <c r="J746"/>
    </row>
    <row r="747" spans="10:10" x14ac:dyDescent="0.2">
      <c r="J747"/>
    </row>
    <row r="748" spans="10:10" x14ac:dyDescent="0.2">
      <c r="J748"/>
    </row>
    <row r="749" spans="10:10" x14ac:dyDescent="0.2">
      <c r="J749"/>
    </row>
    <row r="750" spans="10:10" x14ac:dyDescent="0.2">
      <c r="J750"/>
    </row>
    <row r="751" spans="10:10" x14ac:dyDescent="0.2">
      <c r="J751"/>
    </row>
    <row r="752" spans="10:10" x14ac:dyDescent="0.2">
      <c r="J752"/>
    </row>
    <row r="753" spans="10:10" x14ac:dyDescent="0.2">
      <c r="J753"/>
    </row>
    <row r="754" spans="10:10" x14ac:dyDescent="0.2">
      <c r="J754"/>
    </row>
    <row r="755" spans="10:10" x14ac:dyDescent="0.2">
      <c r="J755"/>
    </row>
    <row r="756" spans="10:10" x14ac:dyDescent="0.2">
      <c r="J756"/>
    </row>
    <row r="757" spans="10:10" x14ac:dyDescent="0.2">
      <c r="J757"/>
    </row>
    <row r="758" spans="10:10" x14ac:dyDescent="0.2">
      <c r="J758"/>
    </row>
    <row r="759" spans="10:10" x14ac:dyDescent="0.2">
      <c r="J759"/>
    </row>
    <row r="760" spans="10:10" x14ac:dyDescent="0.2">
      <c r="J760"/>
    </row>
    <row r="761" spans="10:10" x14ac:dyDescent="0.2">
      <c r="J761"/>
    </row>
    <row r="762" spans="10:10" x14ac:dyDescent="0.2">
      <c r="J762"/>
    </row>
    <row r="763" spans="10:10" x14ac:dyDescent="0.2">
      <c r="J763"/>
    </row>
    <row r="764" spans="10:10" x14ac:dyDescent="0.2">
      <c r="J764"/>
    </row>
    <row r="765" spans="10:10" x14ac:dyDescent="0.2">
      <c r="J765"/>
    </row>
    <row r="766" spans="10:10" x14ac:dyDescent="0.2">
      <c r="J766"/>
    </row>
    <row r="767" spans="10:10" x14ac:dyDescent="0.2">
      <c r="J767"/>
    </row>
    <row r="768" spans="10:10" x14ac:dyDescent="0.2">
      <c r="J768"/>
    </row>
    <row r="769" spans="10:10" x14ac:dyDescent="0.2">
      <c r="J769"/>
    </row>
    <row r="770" spans="10:10" x14ac:dyDescent="0.2">
      <c r="J770"/>
    </row>
    <row r="771" spans="10:10" x14ac:dyDescent="0.2">
      <c r="J771"/>
    </row>
    <row r="772" spans="10:10" x14ac:dyDescent="0.2">
      <c r="J772"/>
    </row>
    <row r="773" spans="10:10" x14ac:dyDescent="0.2">
      <c r="J773"/>
    </row>
    <row r="774" spans="10:10" x14ac:dyDescent="0.2">
      <c r="J774"/>
    </row>
    <row r="775" spans="10:10" x14ac:dyDescent="0.2">
      <c r="J775"/>
    </row>
    <row r="776" spans="10:10" x14ac:dyDescent="0.2">
      <c r="J776"/>
    </row>
    <row r="777" spans="10:10" x14ac:dyDescent="0.2">
      <c r="J777"/>
    </row>
    <row r="778" spans="10:10" x14ac:dyDescent="0.2">
      <c r="J778"/>
    </row>
    <row r="779" spans="10:10" x14ac:dyDescent="0.2">
      <c r="J779"/>
    </row>
    <row r="780" spans="10:10" x14ac:dyDescent="0.2">
      <c r="J780"/>
    </row>
    <row r="781" spans="10:10" x14ac:dyDescent="0.2">
      <c r="J781"/>
    </row>
    <row r="782" spans="10:10" x14ac:dyDescent="0.2">
      <c r="J782"/>
    </row>
    <row r="783" spans="10:10" x14ac:dyDescent="0.2">
      <c r="J783"/>
    </row>
    <row r="784" spans="10:10" x14ac:dyDescent="0.2">
      <c r="J784"/>
    </row>
    <row r="785" spans="10:10" x14ac:dyDescent="0.2">
      <c r="J785"/>
    </row>
    <row r="786" spans="10:10" x14ac:dyDescent="0.2">
      <c r="J786"/>
    </row>
    <row r="787" spans="10:10" x14ac:dyDescent="0.2">
      <c r="J787"/>
    </row>
    <row r="788" spans="10:10" x14ac:dyDescent="0.2">
      <c r="J788"/>
    </row>
    <row r="789" spans="10:10" x14ac:dyDescent="0.2">
      <c r="J789"/>
    </row>
    <row r="790" spans="10:10" x14ac:dyDescent="0.2">
      <c r="J790"/>
    </row>
    <row r="791" spans="10:10" x14ac:dyDescent="0.2">
      <c r="J791"/>
    </row>
    <row r="792" spans="10:10" x14ac:dyDescent="0.2">
      <c r="J792"/>
    </row>
    <row r="793" spans="10:10" x14ac:dyDescent="0.2">
      <c r="J793"/>
    </row>
    <row r="794" spans="10:10" x14ac:dyDescent="0.2">
      <c r="J794"/>
    </row>
    <row r="795" spans="10:10" x14ac:dyDescent="0.2">
      <c r="J795"/>
    </row>
    <row r="796" spans="10:10" x14ac:dyDescent="0.2">
      <c r="J796"/>
    </row>
    <row r="797" spans="10:10" x14ac:dyDescent="0.2">
      <c r="J797"/>
    </row>
    <row r="798" spans="10:10" x14ac:dyDescent="0.2">
      <c r="J798"/>
    </row>
    <row r="799" spans="10:10" x14ac:dyDescent="0.2">
      <c r="J799"/>
    </row>
    <row r="800" spans="10:10" x14ac:dyDescent="0.2">
      <c r="J800"/>
    </row>
    <row r="801" spans="10:10" x14ac:dyDescent="0.2">
      <c r="J801"/>
    </row>
    <row r="802" spans="10:10" x14ac:dyDescent="0.2">
      <c r="J802"/>
    </row>
    <row r="803" spans="10:10" x14ac:dyDescent="0.2">
      <c r="J803"/>
    </row>
    <row r="804" spans="10:10" x14ac:dyDescent="0.2">
      <c r="J804"/>
    </row>
    <row r="805" spans="10:10" x14ac:dyDescent="0.2">
      <c r="J805"/>
    </row>
    <row r="806" spans="10:10" x14ac:dyDescent="0.2">
      <c r="J806"/>
    </row>
    <row r="807" spans="10:10" x14ac:dyDescent="0.2">
      <c r="J807"/>
    </row>
    <row r="808" spans="10:10" x14ac:dyDescent="0.2">
      <c r="J808"/>
    </row>
    <row r="809" spans="10:10" x14ac:dyDescent="0.2">
      <c r="J809"/>
    </row>
    <row r="810" spans="10:10" x14ac:dyDescent="0.2">
      <c r="J810"/>
    </row>
    <row r="811" spans="10:10" x14ac:dyDescent="0.2">
      <c r="J811"/>
    </row>
    <row r="812" spans="10:10" x14ac:dyDescent="0.2">
      <c r="J812"/>
    </row>
    <row r="813" spans="10:10" x14ac:dyDescent="0.2">
      <c r="J813"/>
    </row>
    <row r="814" spans="10:10" x14ac:dyDescent="0.2">
      <c r="J814"/>
    </row>
    <row r="815" spans="10:10" x14ac:dyDescent="0.2">
      <c r="J815"/>
    </row>
    <row r="816" spans="10:10" x14ac:dyDescent="0.2">
      <c r="J816"/>
    </row>
    <row r="817" spans="10:10" x14ac:dyDescent="0.2">
      <c r="J817"/>
    </row>
    <row r="818" spans="10:10" x14ac:dyDescent="0.2">
      <c r="J818"/>
    </row>
    <row r="819" spans="10:10" x14ac:dyDescent="0.2">
      <c r="J819"/>
    </row>
    <row r="820" spans="10:10" x14ac:dyDescent="0.2">
      <c r="J820"/>
    </row>
    <row r="821" spans="10:10" x14ac:dyDescent="0.2">
      <c r="J821"/>
    </row>
    <row r="822" spans="10:10" x14ac:dyDescent="0.2">
      <c r="J822"/>
    </row>
    <row r="823" spans="10:10" x14ac:dyDescent="0.2">
      <c r="J823"/>
    </row>
    <row r="824" spans="10:10" x14ac:dyDescent="0.2">
      <c r="J824"/>
    </row>
    <row r="825" spans="10:10" x14ac:dyDescent="0.2">
      <c r="J825"/>
    </row>
    <row r="826" spans="10:10" x14ac:dyDescent="0.2">
      <c r="J826"/>
    </row>
    <row r="827" spans="10:10" x14ac:dyDescent="0.2">
      <c r="J827"/>
    </row>
    <row r="828" spans="10:10" x14ac:dyDescent="0.2">
      <c r="J828"/>
    </row>
    <row r="829" spans="10:10" x14ac:dyDescent="0.2">
      <c r="J829"/>
    </row>
    <row r="830" spans="10:10" x14ac:dyDescent="0.2">
      <c r="J830"/>
    </row>
    <row r="831" spans="10:10" x14ac:dyDescent="0.2">
      <c r="J831"/>
    </row>
    <row r="832" spans="10:10" x14ac:dyDescent="0.2">
      <c r="J832"/>
    </row>
    <row r="833" spans="10:10" x14ac:dyDescent="0.2">
      <c r="J833"/>
    </row>
    <row r="834" spans="10:10" x14ac:dyDescent="0.2">
      <c r="J834"/>
    </row>
    <row r="835" spans="10:10" x14ac:dyDescent="0.2">
      <c r="J835"/>
    </row>
    <row r="836" spans="10:10" x14ac:dyDescent="0.2">
      <c r="J836"/>
    </row>
    <row r="837" spans="10:10" x14ac:dyDescent="0.2">
      <c r="J837"/>
    </row>
    <row r="838" spans="10:10" x14ac:dyDescent="0.2">
      <c r="J838"/>
    </row>
    <row r="839" spans="10:10" x14ac:dyDescent="0.2">
      <c r="J839"/>
    </row>
    <row r="840" spans="10:10" x14ac:dyDescent="0.2">
      <c r="J840"/>
    </row>
    <row r="841" spans="10:10" x14ac:dyDescent="0.2">
      <c r="J841"/>
    </row>
    <row r="842" spans="10:10" x14ac:dyDescent="0.2">
      <c r="J842"/>
    </row>
    <row r="843" spans="10:10" x14ac:dyDescent="0.2">
      <c r="J843"/>
    </row>
    <row r="844" spans="10:10" x14ac:dyDescent="0.2">
      <c r="J844"/>
    </row>
    <row r="845" spans="10:10" x14ac:dyDescent="0.2">
      <c r="J845"/>
    </row>
    <row r="846" spans="10:10" x14ac:dyDescent="0.2">
      <c r="J846"/>
    </row>
    <row r="847" spans="10:10" x14ac:dyDescent="0.2">
      <c r="J847"/>
    </row>
    <row r="848" spans="10:10" x14ac:dyDescent="0.2">
      <c r="J848"/>
    </row>
    <row r="849" spans="10:10" x14ac:dyDescent="0.2">
      <c r="J849"/>
    </row>
    <row r="850" spans="10:10" x14ac:dyDescent="0.2">
      <c r="J850"/>
    </row>
    <row r="851" spans="10:10" x14ac:dyDescent="0.2">
      <c r="J851"/>
    </row>
    <row r="852" spans="10:10" x14ac:dyDescent="0.2">
      <c r="J852"/>
    </row>
    <row r="853" spans="10:10" x14ac:dyDescent="0.2">
      <c r="J853"/>
    </row>
    <row r="854" spans="10:10" x14ac:dyDescent="0.2">
      <c r="J854"/>
    </row>
    <row r="855" spans="10:10" x14ac:dyDescent="0.2">
      <c r="J855"/>
    </row>
    <row r="856" spans="10:10" x14ac:dyDescent="0.2">
      <c r="J856"/>
    </row>
    <row r="857" spans="10:10" x14ac:dyDescent="0.2">
      <c r="J857"/>
    </row>
    <row r="858" spans="10:10" x14ac:dyDescent="0.2">
      <c r="J858"/>
    </row>
    <row r="859" spans="10:10" x14ac:dyDescent="0.2">
      <c r="J859"/>
    </row>
    <row r="860" spans="10:10" x14ac:dyDescent="0.2">
      <c r="J860"/>
    </row>
    <row r="861" spans="10:10" x14ac:dyDescent="0.2">
      <c r="J861"/>
    </row>
    <row r="862" spans="10:10" x14ac:dyDescent="0.2">
      <c r="J862"/>
    </row>
    <row r="863" spans="10:10" x14ac:dyDescent="0.2">
      <c r="J863"/>
    </row>
    <row r="864" spans="10:10" x14ac:dyDescent="0.2">
      <c r="J864"/>
    </row>
    <row r="865" spans="10:10" x14ac:dyDescent="0.2">
      <c r="J865"/>
    </row>
    <row r="866" spans="10:10" x14ac:dyDescent="0.2">
      <c r="J866"/>
    </row>
    <row r="867" spans="10:10" x14ac:dyDescent="0.2">
      <c r="J867"/>
    </row>
    <row r="868" spans="10:10" x14ac:dyDescent="0.2">
      <c r="J868"/>
    </row>
    <row r="869" spans="10:10" x14ac:dyDescent="0.2">
      <c r="J869"/>
    </row>
    <row r="870" spans="10:10" x14ac:dyDescent="0.2">
      <c r="J870"/>
    </row>
    <row r="871" spans="10:10" x14ac:dyDescent="0.2">
      <c r="J871"/>
    </row>
    <row r="872" spans="10:10" x14ac:dyDescent="0.2">
      <c r="J872"/>
    </row>
    <row r="873" spans="10:10" x14ac:dyDescent="0.2">
      <c r="J873"/>
    </row>
    <row r="874" spans="10:10" x14ac:dyDescent="0.2">
      <c r="J874"/>
    </row>
    <row r="875" spans="10:10" x14ac:dyDescent="0.2">
      <c r="J875"/>
    </row>
    <row r="876" spans="10:10" x14ac:dyDescent="0.2">
      <c r="J876"/>
    </row>
    <row r="877" spans="10:10" x14ac:dyDescent="0.2">
      <c r="J877"/>
    </row>
    <row r="878" spans="10:10" x14ac:dyDescent="0.2">
      <c r="J878"/>
    </row>
    <row r="879" spans="10:10" x14ac:dyDescent="0.2">
      <c r="J879"/>
    </row>
    <row r="880" spans="10:10" x14ac:dyDescent="0.2">
      <c r="J880"/>
    </row>
    <row r="881" spans="10:10" x14ac:dyDescent="0.2">
      <c r="J881"/>
    </row>
    <row r="882" spans="10:10" x14ac:dyDescent="0.2">
      <c r="J882"/>
    </row>
    <row r="883" spans="10:10" x14ac:dyDescent="0.2">
      <c r="J883"/>
    </row>
    <row r="884" spans="10:10" x14ac:dyDescent="0.2">
      <c r="J884"/>
    </row>
    <row r="885" spans="10:10" x14ac:dyDescent="0.2">
      <c r="J885"/>
    </row>
    <row r="886" spans="10:10" x14ac:dyDescent="0.2">
      <c r="J886"/>
    </row>
    <row r="887" spans="10:10" x14ac:dyDescent="0.2">
      <c r="J887"/>
    </row>
    <row r="888" spans="10:10" x14ac:dyDescent="0.2">
      <c r="J888"/>
    </row>
    <row r="889" spans="10:10" x14ac:dyDescent="0.2">
      <c r="J889"/>
    </row>
    <row r="890" spans="10:10" x14ac:dyDescent="0.2">
      <c r="J890"/>
    </row>
    <row r="891" spans="10:10" x14ac:dyDescent="0.2">
      <c r="J891"/>
    </row>
    <row r="892" spans="10:10" x14ac:dyDescent="0.2">
      <c r="J892"/>
    </row>
    <row r="893" spans="10:10" x14ac:dyDescent="0.2">
      <c r="J893"/>
    </row>
    <row r="894" spans="10:10" x14ac:dyDescent="0.2">
      <c r="J894"/>
    </row>
    <row r="895" spans="10:10" x14ac:dyDescent="0.2">
      <c r="J895"/>
    </row>
    <row r="896" spans="10:10" x14ac:dyDescent="0.2">
      <c r="J896"/>
    </row>
    <row r="897" spans="10:10" x14ac:dyDescent="0.2">
      <c r="J897"/>
    </row>
    <row r="898" spans="10:10" x14ac:dyDescent="0.2">
      <c r="J898"/>
    </row>
    <row r="899" spans="10:10" x14ac:dyDescent="0.2">
      <c r="J899"/>
    </row>
    <row r="900" spans="10:10" x14ac:dyDescent="0.2">
      <c r="J900"/>
    </row>
    <row r="901" spans="10:10" x14ac:dyDescent="0.2">
      <c r="J901"/>
    </row>
    <row r="902" spans="10:10" x14ac:dyDescent="0.2">
      <c r="J902"/>
    </row>
    <row r="903" spans="10:10" x14ac:dyDescent="0.2">
      <c r="J903"/>
    </row>
    <row r="904" spans="10:10" x14ac:dyDescent="0.2">
      <c r="J904"/>
    </row>
    <row r="905" spans="10:10" x14ac:dyDescent="0.2">
      <c r="J905"/>
    </row>
    <row r="906" spans="10:10" x14ac:dyDescent="0.2">
      <c r="J906"/>
    </row>
    <row r="907" spans="10:10" x14ac:dyDescent="0.2">
      <c r="J907"/>
    </row>
    <row r="908" spans="10:10" x14ac:dyDescent="0.2">
      <c r="J908"/>
    </row>
    <row r="909" spans="10:10" x14ac:dyDescent="0.2">
      <c r="J909"/>
    </row>
    <row r="910" spans="10:10" x14ac:dyDescent="0.2">
      <c r="J910"/>
    </row>
    <row r="911" spans="10:10" x14ac:dyDescent="0.2">
      <c r="J911"/>
    </row>
    <row r="912" spans="10:10" x14ac:dyDescent="0.2">
      <c r="J912"/>
    </row>
    <row r="913" spans="10:10" x14ac:dyDescent="0.2">
      <c r="J913"/>
    </row>
    <row r="914" spans="10:10" x14ac:dyDescent="0.2">
      <c r="J914"/>
    </row>
    <row r="915" spans="10:10" x14ac:dyDescent="0.2">
      <c r="J915"/>
    </row>
    <row r="916" spans="10:10" x14ac:dyDescent="0.2">
      <c r="J916"/>
    </row>
    <row r="917" spans="10:10" x14ac:dyDescent="0.2">
      <c r="J917"/>
    </row>
    <row r="918" spans="10:10" x14ac:dyDescent="0.2">
      <c r="J918"/>
    </row>
    <row r="919" spans="10:10" x14ac:dyDescent="0.2">
      <c r="J919"/>
    </row>
    <row r="920" spans="10:10" x14ac:dyDescent="0.2">
      <c r="J920"/>
    </row>
    <row r="921" spans="10:10" x14ac:dyDescent="0.2">
      <c r="J921"/>
    </row>
    <row r="922" spans="10:10" x14ac:dyDescent="0.2">
      <c r="J922"/>
    </row>
    <row r="923" spans="10:10" x14ac:dyDescent="0.2">
      <c r="J923"/>
    </row>
    <row r="924" spans="10:10" x14ac:dyDescent="0.2">
      <c r="J924"/>
    </row>
    <row r="925" spans="10:10" x14ac:dyDescent="0.2">
      <c r="J925"/>
    </row>
    <row r="926" spans="10:10" x14ac:dyDescent="0.2">
      <c r="J926"/>
    </row>
    <row r="927" spans="10:10" x14ac:dyDescent="0.2">
      <c r="J927"/>
    </row>
    <row r="928" spans="10:10" x14ac:dyDescent="0.2">
      <c r="J928"/>
    </row>
    <row r="929" spans="10:10" x14ac:dyDescent="0.2">
      <c r="J929"/>
    </row>
    <row r="930" spans="10:10" x14ac:dyDescent="0.2">
      <c r="J930"/>
    </row>
    <row r="931" spans="10:10" x14ac:dyDescent="0.2">
      <c r="J931"/>
    </row>
    <row r="932" spans="10:10" x14ac:dyDescent="0.2">
      <c r="J932"/>
    </row>
    <row r="933" spans="10:10" x14ac:dyDescent="0.2">
      <c r="J933"/>
    </row>
    <row r="934" spans="10:10" x14ac:dyDescent="0.2">
      <c r="J934"/>
    </row>
    <row r="935" spans="10:10" x14ac:dyDescent="0.2">
      <c r="J935"/>
    </row>
    <row r="936" spans="10:10" x14ac:dyDescent="0.2">
      <c r="J936"/>
    </row>
    <row r="937" spans="10:10" x14ac:dyDescent="0.2">
      <c r="J937"/>
    </row>
    <row r="938" spans="10:10" x14ac:dyDescent="0.2">
      <c r="J938"/>
    </row>
    <row r="939" spans="10:10" x14ac:dyDescent="0.2">
      <c r="J939"/>
    </row>
    <row r="940" spans="10:10" x14ac:dyDescent="0.2">
      <c r="J940"/>
    </row>
    <row r="941" spans="10:10" x14ac:dyDescent="0.2">
      <c r="J941"/>
    </row>
    <row r="942" spans="10:10" x14ac:dyDescent="0.2">
      <c r="J942"/>
    </row>
    <row r="943" spans="10:10" x14ac:dyDescent="0.2">
      <c r="J943"/>
    </row>
    <row r="944" spans="10:10" x14ac:dyDescent="0.2">
      <c r="J944"/>
    </row>
    <row r="945" spans="10:10" x14ac:dyDescent="0.2">
      <c r="J945"/>
    </row>
    <row r="946" spans="10:10" x14ac:dyDescent="0.2">
      <c r="J946"/>
    </row>
    <row r="947" spans="10:10" x14ac:dyDescent="0.2">
      <c r="J947"/>
    </row>
    <row r="948" spans="10:10" x14ac:dyDescent="0.2">
      <c r="J948"/>
    </row>
    <row r="949" spans="10:10" x14ac:dyDescent="0.2">
      <c r="J949"/>
    </row>
    <row r="950" spans="10:10" x14ac:dyDescent="0.2">
      <c r="J950"/>
    </row>
    <row r="951" spans="10:10" x14ac:dyDescent="0.2">
      <c r="J951"/>
    </row>
    <row r="952" spans="10:10" x14ac:dyDescent="0.2">
      <c r="J952"/>
    </row>
    <row r="953" spans="10:10" x14ac:dyDescent="0.2">
      <c r="J953"/>
    </row>
    <row r="954" spans="10:10" x14ac:dyDescent="0.2">
      <c r="J954"/>
    </row>
    <row r="955" spans="10:10" x14ac:dyDescent="0.2">
      <c r="J955"/>
    </row>
    <row r="956" spans="10:10" x14ac:dyDescent="0.2">
      <c r="J956"/>
    </row>
    <row r="957" spans="10:10" x14ac:dyDescent="0.2">
      <c r="J957"/>
    </row>
    <row r="958" spans="10:10" x14ac:dyDescent="0.2">
      <c r="J958"/>
    </row>
    <row r="959" spans="10:10" x14ac:dyDescent="0.2">
      <c r="J959"/>
    </row>
    <row r="960" spans="10:10" x14ac:dyDescent="0.2">
      <c r="J960"/>
    </row>
    <row r="961" spans="10:10" x14ac:dyDescent="0.2">
      <c r="J961"/>
    </row>
    <row r="962" spans="10:10" x14ac:dyDescent="0.2">
      <c r="J962"/>
    </row>
    <row r="963" spans="10:10" x14ac:dyDescent="0.2">
      <c r="J963"/>
    </row>
    <row r="964" spans="10:10" x14ac:dyDescent="0.2">
      <c r="J964"/>
    </row>
    <row r="965" spans="10:10" x14ac:dyDescent="0.2">
      <c r="J965"/>
    </row>
    <row r="966" spans="10:10" x14ac:dyDescent="0.2">
      <c r="J966"/>
    </row>
    <row r="967" spans="10:10" x14ac:dyDescent="0.2">
      <c r="J967"/>
    </row>
    <row r="968" spans="10:10" x14ac:dyDescent="0.2">
      <c r="J968"/>
    </row>
    <row r="969" spans="10:10" x14ac:dyDescent="0.2">
      <c r="J969"/>
    </row>
    <row r="970" spans="10:10" x14ac:dyDescent="0.2">
      <c r="J970"/>
    </row>
    <row r="971" spans="10:10" x14ac:dyDescent="0.2">
      <c r="J971"/>
    </row>
    <row r="972" spans="10:10" x14ac:dyDescent="0.2">
      <c r="J972"/>
    </row>
    <row r="973" spans="10:10" x14ac:dyDescent="0.2">
      <c r="J973"/>
    </row>
    <row r="974" spans="10:10" x14ac:dyDescent="0.2">
      <c r="J974"/>
    </row>
    <row r="975" spans="10:10" x14ac:dyDescent="0.2">
      <c r="J975"/>
    </row>
    <row r="976" spans="10:10" x14ac:dyDescent="0.2">
      <c r="J976"/>
    </row>
    <row r="977" spans="10:10" x14ac:dyDescent="0.2">
      <c r="J977"/>
    </row>
    <row r="978" spans="10:10" x14ac:dyDescent="0.2">
      <c r="J978"/>
    </row>
    <row r="979" spans="10:10" x14ac:dyDescent="0.2">
      <c r="J979"/>
    </row>
    <row r="980" spans="10:10" x14ac:dyDescent="0.2">
      <c r="J980"/>
    </row>
    <row r="981" spans="10:10" x14ac:dyDescent="0.2">
      <c r="J981"/>
    </row>
    <row r="982" spans="10:10" x14ac:dyDescent="0.2">
      <c r="J982"/>
    </row>
    <row r="983" spans="10:10" x14ac:dyDescent="0.2">
      <c r="J983"/>
    </row>
    <row r="984" spans="10:10" x14ac:dyDescent="0.2">
      <c r="J984"/>
    </row>
    <row r="985" spans="10:10" x14ac:dyDescent="0.2">
      <c r="J985"/>
    </row>
    <row r="986" spans="10:10" x14ac:dyDescent="0.2">
      <c r="J986"/>
    </row>
    <row r="987" spans="10:10" x14ac:dyDescent="0.2">
      <c r="J987"/>
    </row>
    <row r="988" spans="10:10" x14ac:dyDescent="0.2">
      <c r="J988"/>
    </row>
    <row r="989" spans="10:10" x14ac:dyDescent="0.2">
      <c r="J989"/>
    </row>
    <row r="990" spans="10:10" x14ac:dyDescent="0.2">
      <c r="J990"/>
    </row>
    <row r="991" spans="10:10" x14ac:dyDescent="0.2">
      <c r="J991"/>
    </row>
    <row r="992" spans="10:10" x14ac:dyDescent="0.2">
      <c r="J992"/>
    </row>
    <row r="993" spans="10:10" x14ac:dyDescent="0.2">
      <c r="J993"/>
    </row>
    <row r="994" spans="10:10" x14ac:dyDescent="0.2">
      <c r="J994"/>
    </row>
    <row r="995" spans="10:10" x14ac:dyDescent="0.2">
      <c r="J995"/>
    </row>
    <row r="996" spans="10:10" x14ac:dyDescent="0.2">
      <c r="J996"/>
    </row>
    <row r="997" spans="10:10" x14ac:dyDescent="0.2">
      <c r="J997"/>
    </row>
    <row r="998" spans="10:10" x14ac:dyDescent="0.2">
      <c r="J998"/>
    </row>
    <row r="999" spans="10:10" x14ac:dyDescent="0.2">
      <c r="J999"/>
    </row>
    <row r="1000" spans="10:10" x14ac:dyDescent="0.2">
      <c r="J1000"/>
    </row>
    <row r="1001" spans="10:10" x14ac:dyDescent="0.2">
      <c r="J1001"/>
    </row>
    <row r="1002" spans="10:10" x14ac:dyDescent="0.2">
      <c r="J1002"/>
    </row>
    <row r="1003" spans="10:10" x14ac:dyDescent="0.2">
      <c r="J1003"/>
    </row>
    <row r="1004" spans="10:10" x14ac:dyDescent="0.2">
      <c r="J1004"/>
    </row>
    <row r="1005" spans="10:10" x14ac:dyDescent="0.2">
      <c r="J1005"/>
    </row>
    <row r="1006" spans="10:10" x14ac:dyDescent="0.2">
      <c r="J1006"/>
    </row>
    <row r="1007" spans="10:10" x14ac:dyDescent="0.2">
      <c r="J1007"/>
    </row>
    <row r="1008" spans="10:10" x14ac:dyDescent="0.2">
      <c r="J1008"/>
    </row>
    <row r="1009" spans="10:10" x14ac:dyDescent="0.2">
      <c r="J1009"/>
    </row>
    <row r="1010" spans="10:10" x14ac:dyDescent="0.2">
      <c r="J1010"/>
    </row>
    <row r="1011" spans="10:10" x14ac:dyDescent="0.2">
      <c r="J1011"/>
    </row>
    <row r="1012" spans="10:10" x14ac:dyDescent="0.2">
      <c r="J1012"/>
    </row>
    <row r="1013" spans="10:10" x14ac:dyDescent="0.2">
      <c r="J1013"/>
    </row>
    <row r="1014" spans="10:10" x14ac:dyDescent="0.2">
      <c r="J1014"/>
    </row>
    <row r="1015" spans="10:10" x14ac:dyDescent="0.2">
      <c r="J1015"/>
    </row>
    <row r="1016" spans="10:10" x14ac:dyDescent="0.2">
      <c r="J1016"/>
    </row>
    <row r="1017" spans="10:10" x14ac:dyDescent="0.2">
      <c r="J1017"/>
    </row>
    <row r="1018" spans="10:10" x14ac:dyDescent="0.2">
      <c r="J1018"/>
    </row>
    <row r="1019" spans="10:10" x14ac:dyDescent="0.2">
      <c r="J1019"/>
    </row>
    <row r="1020" spans="10:10" x14ac:dyDescent="0.2">
      <c r="J1020"/>
    </row>
    <row r="1021" spans="10:10" x14ac:dyDescent="0.2">
      <c r="J1021"/>
    </row>
    <row r="1022" spans="10:10" x14ac:dyDescent="0.2">
      <c r="J1022"/>
    </row>
    <row r="1023" spans="10:10" x14ac:dyDescent="0.2">
      <c r="J1023"/>
    </row>
    <row r="1024" spans="10:10" x14ac:dyDescent="0.2">
      <c r="J1024"/>
    </row>
    <row r="1025" spans="10:10" x14ac:dyDescent="0.2">
      <c r="J1025"/>
    </row>
    <row r="1026" spans="10:10" x14ac:dyDescent="0.2">
      <c r="J1026"/>
    </row>
    <row r="1027" spans="10:10" x14ac:dyDescent="0.2">
      <c r="J1027"/>
    </row>
    <row r="1028" spans="10:10" x14ac:dyDescent="0.2">
      <c r="J1028"/>
    </row>
    <row r="1029" spans="10:10" x14ac:dyDescent="0.2">
      <c r="J1029"/>
    </row>
    <row r="1030" spans="10:10" x14ac:dyDescent="0.2">
      <c r="J1030"/>
    </row>
    <row r="1031" spans="10:10" x14ac:dyDescent="0.2">
      <c r="J1031"/>
    </row>
    <row r="1032" spans="10:10" x14ac:dyDescent="0.2">
      <c r="J1032"/>
    </row>
    <row r="1033" spans="10:10" x14ac:dyDescent="0.2">
      <c r="J1033"/>
    </row>
    <row r="1034" spans="10:10" x14ac:dyDescent="0.2">
      <c r="J1034"/>
    </row>
    <row r="1035" spans="10:10" x14ac:dyDescent="0.2">
      <c r="J1035"/>
    </row>
    <row r="1036" spans="10:10" x14ac:dyDescent="0.2">
      <c r="J1036"/>
    </row>
    <row r="1037" spans="10:10" x14ac:dyDescent="0.2">
      <c r="J1037"/>
    </row>
    <row r="1038" spans="10:10" x14ac:dyDescent="0.2">
      <c r="J1038"/>
    </row>
    <row r="1039" spans="10:10" x14ac:dyDescent="0.2">
      <c r="J1039"/>
    </row>
    <row r="1040" spans="10:10" x14ac:dyDescent="0.2">
      <c r="J1040"/>
    </row>
    <row r="1041" spans="10:10" x14ac:dyDescent="0.2">
      <c r="J1041"/>
    </row>
    <row r="1042" spans="10:10" x14ac:dyDescent="0.2">
      <c r="J1042"/>
    </row>
    <row r="1043" spans="10:10" x14ac:dyDescent="0.2">
      <c r="J1043"/>
    </row>
    <row r="1044" spans="10:10" x14ac:dyDescent="0.2">
      <c r="J1044"/>
    </row>
    <row r="1045" spans="10:10" x14ac:dyDescent="0.2">
      <c r="J1045"/>
    </row>
    <row r="1046" spans="10:10" x14ac:dyDescent="0.2">
      <c r="J1046"/>
    </row>
    <row r="1047" spans="10:10" x14ac:dyDescent="0.2">
      <c r="J1047"/>
    </row>
    <row r="1048" spans="10:10" x14ac:dyDescent="0.2">
      <c r="J1048"/>
    </row>
    <row r="1049" spans="10:10" x14ac:dyDescent="0.2">
      <c r="J1049"/>
    </row>
    <row r="1050" spans="10:10" x14ac:dyDescent="0.2">
      <c r="J1050"/>
    </row>
    <row r="1051" spans="10:10" x14ac:dyDescent="0.2">
      <c r="J1051"/>
    </row>
    <row r="1052" spans="10:10" x14ac:dyDescent="0.2">
      <c r="J1052"/>
    </row>
    <row r="1053" spans="10:10" x14ac:dyDescent="0.2">
      <c r="J1053"/>
    </row>
    <row r="1054" spans="10:10" x14ac:dyDescent="0.2">
      <c r="J1054"/>
    </row>
    <row r="1055" spans="10:10" x14ac:dyDescent="0.2">
      <c r="J1055"/>
    </row>
    <row r="1056" spans="10:10" x14ac:dyDescent="0.2">
      <c r="J1056"/>
    </row>
    <row r="1057" spans="10:10" x14ac:dyDescent="0.2">
      <c r="J1057"/>
    </row>
    <row r="1058" spans="10:10" x14ac:dyDescent="0.2">
      <c r="J1058"/>
    </row>
    <row r="1059" spans="10:10" x14ac:dyDescent="0.2">
      <c r="J1059"/>
    </row>
    <row r="1060" spans="10:10" x14ac:dyDescent="0.2">
      <c r="J1060"/>
    </row>
    <row r="1061" spans="10:10" x14ac:dyDescent="0.2">
      <c r="J1061"/>
    </row>
    <row r="1062" spans="10:10" x14ac:dyDescent="0.2">
      <c r="J1062"/>
    </row>
    <row r="1063" spans="10:10" x14ac:dyDescent="0.2">
      <c r="J1063"/>
    </row>
    <row r="1064" spans="10:10" x14ac:dyDescent="0.2">
      <c r="J1064"/>
    </row>
    <row r="1065" spans="10:10" x14ac:dyDescent="0.2">
      <c r="J1065"/>
    </row>
    <row r="1066" spans="10:10" x14ac:dyDescent="0.2">
      <c r="J1066"/>
    </row>
    <row r="1067" spans="10:10" x14ac:dyDescent="0.2">
      <c r="J1067"/>
    </row>
    <row r="1068" spans="10:10" x14ac:dyDescent="0.2">
      <c r="J1068"/>
    </row>
    <row r="1069" spans="10:10" x14ac:dyDescent="0.2">
      <c r="J1069"/>
    </row>
    <row r="1070" spans="10:10" x14ac:dyDescent="0.2">
      <c r="J1070"/>
    </row>
    <row r="1071" spans="10:10" x14ac:dyDescent="0.2">
      <c r="J1071"/>
    </row>
    <row r="1072" spans="10:10" x14ac:dyDescent="0.2">
      <c r="J1072"/>
    </row>
    <row r="1073" spans="10:10" x14ac:dyDescent="0.2">
      <c r="J1073"/>
    </row>
    <row r="1074" spans="10:10" x14ac:dyDescent="0.2">
      <c r="J1074"/>
    </row>
    <row r="1075" spans="10:10" x14ac:dyDescent="0.2">
      <c r="J1075"/>
    </row>
    <row r="1076" spans="10:10" x14ac:dyDescent="0.2">
      <c r="J1076"/>
    </row>
    <row r="1077" spans="10:10" x14ac:dyDescent="0.2">
      <c r="J1077"/>
    </row>
    <row r="1078" spans="10:10" x14ac:dyDescent="0.2">
      <c r="J1078"/>
    </row>
    <row r="1079" spans="10:10" x14ac:dyDescent="0.2">
      <c r="J1079"/>
    </row>
    <row r="1080" spans="10:10" x14ac:dyDescent="0.2">
      <c r="J1080"/>
    </row>
    <row r="1081" spans="10:10" x14ac:dyDescent="0.2">
      <c r="J1081"/>
    </row>
    <row r="1082" spans="10:10" x14ac:dyDescent="0.2">
      <c r="J1082"/>
    </row>
    <row r="1083" spans="10:10" x14ac:dyDescent="0.2">
      <c r="J1083"/>
    </row>
    <row r="1084" spans="10:10" x14ac:dyDescent="0.2">
      <c r="J1084"/>
    </row>
    <row r="1085" spans="10:10" x14ac:dyDescent="0.2">
      <c r="J1085"/>
    </row>
    <row r="1086" spans="10:10" x14ac:dyDescent="0.2">
      <c r="J1086"/>
    </row>
    <row r="1087" spans="10:10" x14ac:dyDescent="0.2">
      <c r="J1087"/>
    </row>
    <row r="1088" spans="10:10" x14ac:dyDescent="0.2">
      <c r="J1088"/>
    </row>
    <row r="1089" spans="10:10" x14ac:dyDescent="0.2">
      <c r="J1089"/>
    </row>
  </sheetData>
  <mergeCells count="5">
    <mergeCell ref="L23:O23"/>
    <mergeCell ref="E2:F2"/>
    <mergeCell ref="E1:F1"/>
    <mergeCell ref="A23:B23"/>
    <mergeCell ref="A22:C22"/>
  </mergeCells>
  <phoneticPr fontId="0" type="noConversion"/>
  <pageMargins left="0.27" right="0.2" top="0.39" bottom="0.43" header="0.27" footer="0.22"/>
  <pageSetup scale="65" orientation="landscape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Z1051"/>
  <sheetViews>
    <sheetView topLeftCell="A63" zoomScaleNormal="100" workbookViewId="0">
      <selection activeCell="A68" sqref="A68"/>
    </sheetView>
  </sheetViews>
  <sheetFormatPr defaultRowHeight="12.75" x14ac:dyDescent="0.2"/>
  <cols>
    <col min="1" max="1" width="14.140625" customWidth="1"/>
    <col min="2" max="2" width="15" bestFit="1" customWidth="1"/>
    <col min="3" max="4" width="15" customWidth="1"/>
    <col min="5" max="5" width="12.7109375" customWidth="1"/>
    <col min="6" max="6" width="15" customWidth="1"/>
    <col min="7" max="7" width="13.28515625" customWidth="1"/>
    <col min="8" max="8" width="13.5703125" customWidth="1"/>
    <col min="9" max="9" width="14.85546875" customWidth="1"/>
    <col min="10" max="10" width="12.5703125" customWidth="1"/>
    <col min="11" max="11" width="14" bestFit="1" customWidth="1"/>
    <col min="12" max="12" width="14.28515625" style="154" customWidth="1"/>
    <col min="13" max="13" width="14.42578125" bestFit="1" customWidth="1"/>
    <col min="14" max="14" width="11.28515625" customWidth="1"/>
    <col min="15" max="15" width="13.28515625" customWidth="1"/>
    <col min="16" max="16" width="14.140625" customWidth="1"/>
    <col min="17" max="17" width="13.140625" customWidth="1"/>
    <col min="18" max="18" width="12.85546875" bestFit="1" customWidth="1"/>
    <col min="19" max="19" width="12.85546875" customWidth="1"/>
    <col min="20" max="20" width="15" customWidth="1"/>
    <col min="21" max="21" width="13.28515625" customWidth="1"/>
    <col min="22" max="24" width="12.85546875" bestFit="1" customWidth="1"/>
    <col min="25" max="25" width="11.28515625" bestFit="1" customWidth="1"/>
    <col min="26" max="26" width="12.85546875" bestFit="1" customWidth="1"/>
  </cols>
  <sheetData>
    <row r="1" spans="1:22" ht="37.5" hidden="1" customHeight="1" x14ac:dyDescent="0.2">
      <c r="A1" s="193" t="s">
        <v>410</v>
      </c>
      <c r="B1" s="147"/>
      <c r="C1" s="147"/>
      <c r="D1" s="148"/>
      <c r="E1" s="213" t="s">
        <v>638</v>
      </c>
      <c r="F1" s="213"/>
      <c r="G1" s="141"/>
      <c r="H1" s="141"/>
      <c r="I1" s="141"/>
      <c r="L1" s="149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25.5" hidden="1" customHeight="1" x14ac:dyDescent="0.2">
      <c r="A2" s="154" t="s">
        <v>648</v>
      </c>
      <c r="C2" s="155">
        <v>1957802.76</v>
      </c>
      <c r="E2" s="212" t="s">
        <v>411</v>
      </c>
      <c r="F2" s="212"/>
      <c r="G2" s="158">
        <f>IF(C4&lt;0,0,IF(C4&lt;C2,B3,0))</f>
        <v>0</v>
      </c>
      <c r="L2"/>
    </row>
    <row r="3" spans="1:22" ht="25.5" hidden="1" x14ac:dyDescent="0.2">
      <c r="A3" s="154" t="s">
        <v>649</v>
      </c>
      <c r="B3" s="155">
        <f>'s3,s3b,s3d'!$I$9</f>
        <v>2120174.2400000002</v>
      </c>
      <c r="E3" s="159" t="s">
        <v>397</v>
      </c>
      <c r="F3" s="160" t="s">
        <v>398</v>
      </c>
      <c r="G3" s="160" t="s">
        <v>640</v>
      </c>
      <c r="H3" s="160" t="s">
        <v>399</v>
      </c>
      <c r="I3" s="160" t="s">
        <v>400</v>
      </c>
      <c r="L3"/>
    </row>
    <row r="4" spans="1:22" ht="25.5" hidden="1" x14ac:dyDescent="0.2">
      <c r="A4" s="156" t="s">
        <v>396</v>
      </c>
      <c r="B4" s="150">
        <f>'s3,s3b,s3d'!E85</f>
        <v>12433.42</v>
      </c>
      <c r="C4" s="157">
        <f>B3-B4</f>
        <v>2107740.8199999998</v>
      </c>
      <c r="E4" s="154" t="s">
        <v>21</v>
      </c>
      <c r="F4" s="152">
        <v>1.67E-2</v>
      </c>
      <c r="G4" s="161">
        <f t="shared" ref="G4:G20" si="0">$G$2*F4</f>
        <v>0</v>
      </c>
      <c r="H4" s="150">
        <f>'s3,s3b,s3d'!E68</f>
        <v>261.10000000000002</v>
      </c>
      <c r="I4" s="161">
        <f t="shared" ref="I4:I20" si="1">G4-H4</f>
        <v>-261.10000000000002</v>
      </c>
      <c r="L4"/>
    </row>
    <row r="5" spans="1:22" hidden="1" x14ac:dyDescent="0.2">
      <c r="E5" s="154" t="s">
        <v>22</v>
      </c>
      <c r="F5" s="152">
        <v>2.7699999999999999E-2</v>
      </c>
      <c r="G5" s="161">
        <f t="shared" si="0"/>
        <v>0</v>
      </c>
      <c r="H5" s="150">
        <f>'s3,s3b,s3d'!E69</f>
        <v>211.37</v>
      </c>
      <c r="I5" s="161">
        <f t="shared" si="1"/>
        <v>-211.37</v>
      </c>
      <c r="L5"/>
    </row>
    <row r="6" spans="1:22" hidden="1" x14ac:dyDescent="0.2">
      <c r="E6" s="154" t="s">
        <v>23</v>
      </c>
      <c r="F6" s="152">
        <v>0.43830000000000002</v>
      </c>
      <c r="G6" s="161">
        <f t="shared" si="0"/>
        <v>0</v>
      </c>
      <c r="H6" s="150">
        <f>'s3,s3b,s3d'!E70</f>
        <v>6825.96</v>
      </c>
      <c r="I6" s="161">
        <f>(G6-H6)+J21</f>
        <v>-6825.96</v>
      </c>
      <c r="L6"/>
    </row>
    <row r="7" spans="1:22" hidden="1" x14ac:dyDescent="0.2">
      <c r="E7" s="154" t="s">
        <v>24</v>
      </c>
      <c r="F7" s="152">
        <v>1.55E-2</v>
      </c>
      <c r="G7" s="161">
        <f t="shared" si="0"/>
        <v>0</v>
      </c>
      <c r="H7" s="150">
        <f>'s3,s3b,s3d'!E71</f>
        <v>211.37</v>
      </c>
      <c r="I7" s="161">
        <f t="shared" si="1"/>
        <v>-211.37</v>
      </c>
      <c r="L7"/>
    </row>
    <row r="8" spans="1:22" hidden="1" x14ac:dyDescent="0.2">
      <c r="E8" s="154" t="s">
        <v>25</v>
      </c>
      <c r="F8" s="152">
        <v>6.5299999999999997E-2</v>
      </c>
      <c r="G8" s="161">
        <f t="shared" si="0"/>
        <v>0</v>
      </c>
      <c r="H8" s="150">
        <f>'s3,s3b,s3d'!E72</f>
        <v>410.3</v>
      </c>
      <c r="I8" s="161">
        <f t="shared" si="1"/>
        <v>-410.3</v>
      </c>
      <c r="L8"/>
    </row>
    <row r="9" spans="1:22" hidden="1" x14ac:dyDescent="0.2">
      <c r="E9" s="154" t="s">
        <v>26</v>
      </c>
      <c r="F9" s="152">
        <v>1.52E-2</v>
      </c>
      <c r="G9" s="161">
        <f t="shared" si="0"/>
        <v>0</v>
      </c>
      <c r="H9" s="150">
        <f>'s3,s3b,s3d'!E73</f>
        <v>99.47</v>
      </c>
      <c r="I9" s="161">
        <f t="shared" si="1"/>
        <v>-99.47</v>
      </c>
      <c r="L9"/>
    </row>
    <row r="10" spans="1:22" hidden="1" x14ac:dyDescent="0.2">
      <c r="E10" s="154" t="s">
        <v>27</v>
      </c>
      <c r="F10" s="152">
        <v>1.9400000000000001E-2</v>
      </c>
      <c r="G10" s="161">
        <f t="shared" si="0"/>
        <v>0</v>
      </c>
      <c r="H10" s="150">
        <f>'s3,s3b,s3d'!E74</f>
        <v>198.93</v>
      </c>
      <c r="I10" s="161">
        <f t="shared" si="1"/>
        <v>-198.93</v>
      </c>
      <c r="L10"/>
    </row>
    <row r="11" spans="1:22" hidden="1" x14ac:dyDescent="0.2">
      <c r="E11" s="154" t="s">
        <v>28</v>
      </c>
      <c r="F11" s="152">
        <v>3.9199999999999999E-2</v>
      </c>
      <c r="G11" s="161">
        <f t="shared" si="0"/>
        <v>0</v>
      </c>
      <c r="H11" s="150">
        <f>'s3,s3b,s3d'!E75</f>
        <v>261.10000000000002</v>
      </c>
      <c r="I11" s="161">
        <f t="shared" si="1"/>
        <v>-261.10000000000002</v>
      </c>
      <c r="L11"/>
    </row>
    <row r="12" spans="1:22" hidden="1" x14ac:dyDescent="0.2">
      <c r="E12" s="154" t="s">
        <v>29</v>
      </c>
      <c r="F12" s="152">
        <v>2.4799999999999999E-2</v>
      </c>
      <c r="G12" s="161">
        <f t="shared" si="0"/>
        <v>0</v>
      </c>
      <c r="H12" s="150">
        <f>'s3,s3b,s3d'!E76</f>
        <v>248.67</v>
      </c>
      <c r="I12" s="161">
        <f t="shared" si="1"/>
        <v>-248.67</v>
      </c>
      <c r="L12"/>
    </row>
    <row r="13" spans="1:22" hidden="1" x14ac:dyDescent="0.2">
      <c r="E13" s="154" t="s">
        <v>30</v>
      </c>
      <c r="F13" s="152">
        <v>4.3200000000000002E-2</v>
      </c>
      <c r="G13" s="161">
        <f t="shared" si="0"/>
        <v>0</v>
      </c>
      <c r="H13" s="150">
        <f>'s3,s3b,s3d'!E77</f>
        <v>397.87</v>
      </c>
      <c r="I13" s="161">
        <f t="shared" si="1"/>
        <v>-397.87</v>
      </c>
      <c r="L13"/>
    </row>
    <row r="14" spans="1:22" hidden="1" x14ac:dyDescent="0.2">
      <c r="E14" s="154" t="s">
        <v>31</v>
      </c>
      <c r="F14" s="152">
        <v>1.89E-2</v>
      </c>
      <c r="G14" s="161">
        <f t="shared" si="0"/>
        <v>0</v>
      </c>
      <c r="H14" s="150">
        <f>'s3,s3b,s3d'!E78</f>
        <v>261.10000000000002</v>
      </c>
      <c r="I14" s="161">
        <f t="shared" si="1"/>
        <v>-261.10000000000002</v>
      </c>
      <c r="L14"/>
    </row>
    <row r="15" spans="1:22" hidden="1" x14ac:dyDescent="0.2">
      <c r="E15" s="154" t="s">
        <v>401</v>
      </c>
      <c r="F15" s="152">
        <v>1.4E-2</v>
      </c>
      <c r="G15" s="161">
        <f t="shared" si="0"/>
        <v>0</v>
      </c>
      <c r="H15" s="150">
        <f>'s3,s3b,s3d'!E79</f>
        <v>87.03</v>
      </c>
      <c r="I15" s="161">
        <f t="shared" si="1"/>
        <v>-87.03</v>
      </c>
      <c r="L15"/>
    </row>
    <row r="16" spans="1:22" hidden="1" x14ac:dyDescent="0.2">
      <c r="E16" s="154" t="s">
        <v>33</v>
      </c>
      <c r="F16" s="152">
        <v>6.7699999999999996E-2</v>
      </c>
      <c r="G16" s="161">
        <f t="shared" si="0"/>
        <v>0</v>
      </c>
      <c r="H16" s="150">
        <f>'s3,s3b,s3d'!E80</f>
        <v>547.07000000000005</v>
      </c>
      <c r="I16" s="161">
        <f t="shared" si="1"/>
        <v>-547.07000000000005</v>
      </c>
      <c r="L16"/>
    </row>
    <row r="17" spans="1:24" hidden="1" x14ac:dyDescent="0.2">
      <c r="E17" s="154" t="s">
        <v>34</v>
      </c>
      <c r="F17" s="152">
        <v>2.8400000000000002E-2</v>
      </c>
      <c r="G17" s="161">
        <f t="shared" si="0"/>
        <v>0</v>
      </c>
      <c r="H17" s="150">
        <f>'s3,s3b,s3d'!E81</f>
        <v>410.3</v>
      </c>
      <c r="I17" s="161">
        <f t="shared" si="1"/>
        <v>-410.3</v>
      </c>
      <c r="L17"/>
    </row>
    <row r="18" spans="1:24" hidden="1" x14ac:dyDescent="0.2">
      <c r="E18" s="154" t="s">
        <v>35</v>
      </c>
      <c r="F18" s="152">
        <v>2.2000000000000001E-3</v>
      </c>
      <c r="G18" s="161">
        <f t="shared" si="0"/>
        <v>0</v>
      </c>
      <c r="H18" s="150">
        <f>'s3,s3b,s3d'!E82</f>
        <v>24.87</v>
      </c>
      <c r="I18" s="161">
        <f t="shared" si="1"/>
        <v>-24.87</v>
      </c>
      <c r="L18"/>
    </row>
    <row r="19" spans="1:24" hidden="1" x14ac:dyDescent="0.2">
      <c r="E19" s="154" t="s">
        <v>36</v>
      </c>
      <c r="F19" s="152">
        <v>0.1232</v>
      </c>
      <c r="G19" s="161">
        <f t="shared" si="0"/>
        <v>0</v>
      </c>
      <c r="H19" s="150">
        <f>'s3,s3b,s3d'!E83</f>
        <v>1715.81</v>
      </c>
      <c r="I19" s="161">
        <f t="shared" si="1"/>
        <v>-1715.81</v>
      </c>
      <c r="L19"/>
    </row>
    <row r="20" spans="1:24" hidden="1" x14ac:dyDescent="0.2">
      <c r="E20" s="154" t="s">
        <v>37</v>
      </c>
      <c r="F20" s="152">
        <v>4.0300000000000002E-2</v>
      </c>
      <c r="G20" s="161">
        <f t="shared" si="0"/>
        <v>0</v>
      </c>
      <c r="H20" s="150">
        <f>'s3,s3b,s3d'!E84</f>
        <v>261.10000000000002</v>
      </c>
      <c r="I20" s="161">
        <f t="shared" si="1"/>
        <v>-261.10000000000002</v>
      </c>
      <c r="L20"/>
    </row>
    <row r="21" spans="1:24" ht="13.5" hidden="1" thickBot="1" x14ac:dyDescent="0.25">
      <c r="E21" s="149" t="s">
        <v>245</v>
      </c>
      <c r="F21" s="162">
        <f>SUM(F4:F20)</f>
        <v>1</v>
      </c>
      <c r="G21" s="163">
        <f>SUM(G4:G20)</f>
        <v>0</v>
      </c>
      <c r="H21" s="164">
        <f>SUM(H4:H20)</f>
        <v>12433.42</v>
      </c>
      <c r="I21" s="163">
        <f>SUM(I4:I20)</f>
        <v>-12433.42</v>
      </c>
      <c r="J21" s="161">
        <f>G2-G21</f>
        <v>0</v>
      </c>
      <c r="L21"/>
    </row>
    <row r="22" spans="1:24" ht="28.5" hidden="1" customHeight="1" thickTop="1" thickBot="1" x14ac:dyDescent="0.25">
      <c r="A22" s="401" t="s">
        <v>650</v>
      </c>
      <c r="B22" s="401"/>
      <c r="C22" s="401"/>
      <c r="D22" s="401"/>
      <c r="E22" s="401"/>
      <c r="G22" s="149"/>
      <c r="H22" s="165"/>
      <c r="I22" s="194"/>
      <c r="J22" s="195"/>
      <c r="K22" s="194"/>
      <c r="L22"/>
    </row>
    <row r="23" spans="1:24" ht="40.5" hidden="1" customHeight="1" thickBot="1" x14ac:dyDescent="0.25">
      <c r="A23" s="399" t="s">
        <v>412</v>
      </c>
      <c r="B23" s="399"/>
      <c r="C23" s="150">
        <f>IF(C4&gt;C2,B3,0)</f>
        <v>2120174.2400000002</v>
      </c>
      <c r="D23" s="150"/>
      <c r="E23" s="150"/>
      <c r="F23" s="150"/>
      <c r="L23"/>
      <c r="N23" s="396" t="s">
        <v>672</v>
      </c>
      <c r="O23" s="397"/>
      <c r="P23" s="397"/>
      <c r="Q23" s="398"/>
      <c r="R23" s="149" t="s">
        <v>647</v>
      </c>
    </row>
    <row r="24" spans="1:24" ht="89.25" hidden="1" x14ac:dyDescent="0.2">
      <c r="A24" s="166" t="s">
        <v>402</v>
      </c>
      <c r="B24" s="166" t="s">
        <v>403</v>
      </c>
      <c r="C24" s="166" t="s">
        <v>404</v>
      </c>
      <c r="D24" s="166" t="s">
        <v>651</v>
      </c>
      <c r="E24" s="166" t="s">
        <v>652</v>
      </c>
      <c r="F24" s="166" t="s">
        <v>405</v>
      </c>
      <c r="G24" s="166" t="s">
        <v>406</v>
      </c>
      <c r="H24" s="166" t="s">
        <v>642</v>
      </c>
      <c r="I24" s="167" t="s">
        <v>643</v>
      </c>
      <c r="J24" s="166" t="s">
        <v>407</v>
      </c>
      <c r="K24" s="166" t="s">
        <v>408</v>
      </c>
      <c r="L24" s="166" t="s">
        <v>644</v>
      </c>
      <c r="M24" s="323" t="s">
        <v>645</v>
      </c>
      <c r="N24" s="322" t="s">
        <v>673</v>
      </c>
      <c r="O24" s="322" t="s">
        <v>674</v>
      </c>
      <c r="P24" s="322" t="s">
        <v>675</v>
      </c>
      <c r="Q24" s="322" t="s">
        <v>676</v>
      </c>
      <c r="R24" s="166" t="s">
        <v>646</v>
      </c>
      <c r="S24" s="167" t="s">
        <v>413</v>
      </c>
      <c r="T24" s="168">
        <f>IF(C4-C2&gt;0,C4-C2,0)</f>
        <v>149938.06</v>
      </c>
      <c r="U24" s="166" t="s">
        <v>112</v>
      </c>
      <c r="V24" s="332" t="s">
        <v>677</v>
      </c>
      <c r="W24" s="333" t="s">
        <v>678</v>
      </c>
    </row>
    <row r="25" spans="1:24" hidden="1" x14ac:dyDescent="0.2">
      <c r="A25" s="154" t="s">
        <v>21</v>
      </c>
      <c r="B25" s="169">
        <v>54844</v>
      </c>
      <c r="C25" s="143">
        <f>B25/$B$60</f>
        <v>2.4861000000000001E-2</v>
      </c>
      <c r="D25" s="299">
        <v>54844</v>
      </c>
      <c r="E25" s="297">
        <f>D25/$B$25</f>
        <v>1</v>
      </c>
      <c r="F25" s="169">
        <v>248</v>
      </c>
      <c r="G25" s="143">
        <f>F25/$F$60</f>
        <v>1.2185E-2</v>
      </c>
      <c r="H25" s="143">
        <f>(C25*2/3)+(G25/3)</f>
        <v>2.0636000000000002E-2</v>
      </c>
      <c r="I25" s="161">
        <f>$C$23*H25</f>
        <v>43751.92</v>
      </c>
      <c r="J25" s="161">
        <f>H4</f>
        <v>261.10000000000002</v>
      </c>
      <c r="K25" s="161">
        <f>I25-J25</f>
        <v>43490.82</v>
      </c>
      <c r="L25" s="152">
        <f>F4</f>
        <v>1.67E-2</v>
      </c>
      <c r="M25" s="161">
        <f>$C$2*L25</f>
        <v>32695.31</v>
      </c>
      <c r="N25" s="324">
        <f>IF(K25&gt;M25, K25-M25,0)</f>
        <v>10795.51</v>
      </c>
      <c r="O25" s="325">
        <f>IF(N25&gt;0,ROUND((N25/$N$60),7),0)</f>
        <v>2.8039999999999999E-2</v>
      </c>
      <c r="P25" s="326">
        <f>IF(M25&gt;K25, M25-K25,0)</f>
        <v>0</v>
      </c>
      <c r="Q25" s="327">
        <f>O25*$Q$60</f>
        <v>4204.26</v>
      </c>
      <c r="R25" s="143">
        <f>IF(K25-M25&lt;=0,0,H25)</f>
        <v>2.0636000000000002E-2</v>
      </c>
      <c r="S25" s="143">
        <f>IF(R25=0,0,R25/$R$60)</f>
        <v>2.6522E-2</v>
      </c>
      <c r="T25" s="161">
        <f>S25*$T$24</f>
        <v>3976.66</v>
      </c>
      <c r="U25" s="161">
        <f>M25+T25</f>
        <v>36671.97</v>
      </c>
      <c r="V25" s="334">
        <f>M25+Q25</f>
        <v>36899.57</v>
      </c>
      <c r="W25" s="338">
        <f>+U25-V25</f>
        <v>-227.6</v>
      </c>
      <c r="X25" s="161">
        <f>M25+T25</f>
        <v>36671.97</v>
      </c>
    </row>
    <row r="26" spans="1:24" hidden="1" x14ac:dyDescent="0.2">
      <c r="A26" s="154" t="s">
        <v>22</v>
      </c>
      <c r="B26" s="169">
        <v>25116</v>
      </c>
      <c r="C26" s="143">
        <f>B26/$B$60</f>
        <v>1.1384999999999999E-2</v>
      </c>
      <c r="D26" s="299">
        <v>16938</v>
      </c>
      <c r="E26" s="297">
        <f>+D26/$B$26</f>
        <v>0.67439099999999996</v>
      </c>
      <c r="F26" s="169">
        <v>595</v>
      </c>
      <c r="G26" s="143">
        <f>F26/$F$60</f>
        <v>2.9234E-2</v>
      </c>
      <c r="H26" s="143">
        <f>(C26*2/3)+(G26/3)</f>
        <v>1.7335E-2</v>
      </c>
      <c r="I26" s="161">
        <f>$C$23*H26</f>
        <v>36753.22</v>
      </c>
      <c r="J26" s="161">
        <f>H5</f>
        <v>211.37</v>
      </c>
      <c r="K26" s="161">
        <f>I26-J26</f>
        <v>36541.85</v>
      </c>
      <c r="L26" s="152">
        <f>F5</f>
        <v>2.7699999999999999E-2</v>
      </c>
      <c r="M26" s="161">
        <f>$C$2*L26</f>
        <v>54231.14</v>
      </c>
      <c r="N26" s="324">
        <f>IF(K26&gt;M26, K26-M26,0)</f>
        <v>0</v>
      </c>
      <c r="O26" s="325">
        <f>IF(N26&gt;0,ROUND((N26/$N$60),7),0)</f>
        <v>0</v>
      </c>
      <c r="P26" s="326">
        <f>IF(M26&gt;K26, M26-K26,0)</f>
        <v>17689.29</v>
      </c>
      <c r="Q26" s="327">
        <f>O26*$Q$60</f>
        <v>0</v>
      </c>
      <c r="R26" s="143">
        <f>IF(K26-M26&lt;=0,0,H26)</f>
        <v>0</v>
      </c>
      <c r="S26" s="143">
        <f>IF(R26=0,0,R26/$R$60)</f>
        <v>0</v>
      </c>
      <c r="T26" s="161">
        <f>S26*$T$24</f>
        <v>0</v>
      </c>
      <c r="U26" s="161">
        <f>M26+T26</f>
        <v>54231.14</v>
      </c>
      <c r="V26" s="334">
        <f>M26+Q26</f>
        <v>54231.14</v>
      </c>
      <c r="W26" s="338">
        <f t="shared" ref="W26:W60" si="2">+U26-V26</f>
        <v>0</v>
      </c>
      <c r="X26" s="161">
        <f>M26+T26</f>
        <v>54231.14</v>
      </c>
    </row>
    <row r="27" spans="1:24" hidden="1" x14ac:dyDescent="0.2">
      <c r="A27" s="301" t="s">
        <v>372</v>
      </c>
      <c r="B27" s="169"/>
      <c r="C27" s="143"/>
      <c r="D27" s="299">
        <v>8178</v>
      </c>
      <c r="E27" s="297">
        <f>+D27/$B$26</f>
        <v>0.32560899999999998</v>
      </c>
      <c r="F27" s="169"/>
      <c r="G27" s="143"/>
      <c r="H27" s="143"/>
      <c r="I27" s="161"/>
      <c r="J27" s="161"/>
      <c r="K27" s="161"/>
      <c r="L27" s="152"/>
      <c r="M27" s="161"/>
      <c r="N27" s="324" t="s">
        <v>82</v>
      </c>
      <c r="O27" s="325" t="s">
        <v>82</v>
      </c>
      <c r="P27" s="326"/>
      <c r="Q27" s="327"/>
      <c r="R27" s="143"/>
      <c r="S27" s="143"/>
      <c r="T27" s="161"/>
      <c r="U27" s="161"/>
      <c r="V27" s="334"/>
      <c r="W27" s="338">
        <f t="shared" si="2"/>
        <v>0</v>
      </c>
      <c r="X27" s="161"/>
    </row>
    <row r="28" spans="1:24" hidden="1" x14ac:dyDescent="0.2">
      <c r="A28" s="154" t="s">
        <v>23</v>
      </c>
      <c r="B28" s="169">
        <v>1549657</v>
      </c>
      <c r="C28" s="143">
        <f>B28/$B$60</f>
        <v>0.70246699999999995</v>
      </c>
      <c r="D28" s="299">
        <v>661506</v>
      </c>
      <c r="E28" s="297">
        <f t="shared" ref="E28:E33" si="3">+D28/$B$28</f>
        <v>0.426873</v>
      </c>
      <c r="F28" s="169">
        <v>4863</v>
      </c>
      <c r="G28" s="143">
        <f>F28/$F$60</f>
        <v>0.23893300000000001</v>
      </c>
      <c r="H28" s="143">
        <f>(C28*2/3)+(G28/3)</f>
        <v>0.547956</v>
      </c>
      <c r="I28" s="161">
        <f>$C$23*H28</f>
        <v>1161762.2</v>
      </c>
      <c r="J28" s="161">
        <f>H6</f>
        <v>6825.96</v>
      </c>
      <c r="K28" s="161">
        <f>I28-J28</f>
        <v>1154936.24</v>
      </c>
      <c r="L28" s="152">
        <f>F6</f>
        <v>0.43830000000000002</v>
      </c>
      <c r="M28" s="161">
        <f>$C$2*L28</f>
        <v>858104.95</v>
      </c>
      <c r="N28" s="324">
        <f>IF(K28&gt;M28, K28-M28,0)</f>
        <v>296831.28999999998</v>
      </c>
      <c r="O28" s="325">
        <f>IF(N28&gt;0,ROUND((N28/$N$60),7),0)</f>
        <v>0.77097700000000002</v>
      </c>
      <c r="P28" s="326">
        <f>IF(M28&gt;K28, M28-K28,0)</f>
        <v>0</v>
      </c>
      <c r="Q28" s="327">
        <f>O28*$Q$60</f>
        <v>115598.8</v>
      </c>
      <c r="R28" s="143">
        <f>IF(K28-M28&lt;=0,0,H28)</f>
        <v>0.547956</v>
      </c>
      <c r="S28" s="143">
        <f>IF(R28=0,0,R28/$R$60)</f>
        <v>0.70425000000000004</v>
      </c>
      <c r="T28" s="161">
        <f>S28*$T$24</f>
        <v>105593.88</v>
      </c>
      <c r="U28" s="161">
        <f>M28+T28-Z60</f>
        <v>963698.82</v>
      </c>
      <c r="V28" s="334">
        <f>M28+Q28</f>
        <v>973703.75</v>
      </c>
      <c r="W28" s="338">
        <f t="shared" si="2"/>
        <v>-10004.93</v>
      </c>
      <c r="X28" s="161">
        <f>M28+T28</f>
        <v>963698.83</v>
      </c>
    </row>
    <row r="29" spans="1:24" hidden="1" x14ac:dyDescent="0.2">
      <c r="A29" s="301" t="s">
        <v>373</v>
      </c>
      <c r="B29" s="169"/>
      <c r="C29" s="143"/>
      <c r="D29" s="299">
        <v>14842</v>
      </c>
      <c r="E29" s="297">
        <f t="shared" si="3"/>
        <v>9.5779999999999997E-3</v>
      </c>
      <c r="F29" s="169"/>
      <c r="G29" s="143"/>
      <c r="H29" s="143"/>
      <c r="I29" s="161"/>
      <c r="J29" s="161"/>
      <c r="K29" s="161"/>
      <c r="L29" s="152"/>
      <c r="M29" s="161"/>
      <c r="N29" s="324"/>
      <c r="O29" s="325"/>
      <c r="P29" s="326"/>
      <c r="Q29" s="327"/>
      <c r="R29" s="143"/>
      <c r="S29" s="143"/>
      <c r="T29" s="161"/>
      <c r="U29" s="161"/>
      <c r="V29" s="334"/>
      <c r="W29" s="338">
        <f t="shared" si="2"/>
        <v>0</v>
      </c>
      <c r="X29" s="161"/>
    </row>
    <row r="30" spans="1:24" hidden="1" x14ac:dyDescent="0.2">
      <c r="A30" s="301" t="s">
        <v>374</v>
      </c>
      <c r="B30" s="169"/>
      <c r="C30" s="143"/>
      <c r="D30" s="299">
        <v>209486</v>
      </c>
      <c r="E30" s="297">
        <f t="shared" si="3"/>
        <v>0.135182</v>
      </c>
      <c r="F30" s="169"/>
      <c r="G30" s="143"/>
      <c r="H30" s="143"/>
      <c r="I30" s="161"/>
      <c r="J30" s="161"/>
      <c r="K30" s="161"/>
      <c r="L30" s="152"/>
      <c r="M30" s="161"/>
      <c r="N30" s="324"/>
      <c r="O30" s="325"/>
      <c r="P30" s="326"/>
      <c r="Q30" s="327"/>
      <c r="R30" s="143"/>
      <c r="S30" s="143"/>
      <c r="T30" s="161"/>
      <c r="U30" s="161"/>
      <c r="V30" s="334"/>
      <c r="W30" s="338">
        <f t="shared" si="2"/>
        <v>0</v>
      </c>
      <c r="X30" s="161"/>
    </row>
    <row r="31" spans="1:24" hidden="1" x14ac:dyDescent="0.2">
      <c r="A31" s="301" t="s">
        <v>375</v>
      </c>
      <c r="B31" s="169"/>
      <c r="C31" s="143"/>
      <c r="D31" s="299">
        <v>514640</v>
      </c>
      <c r="E31" s="297">
        <f t="shared" si="3"/>
        <v>0.33209899999999998</v>
      </c>
      <c r="F31" s="169"/>
      <c r="G31" s="143"/>
      <c r="H31" s="143"/>
      <c r="I31" s="161"/>
      <c r="J31" s="161"/>
      <c r="K31" s="161"/>
      <c r="L31" s="152"/>
      <c r="M31" s="161"/>
      <c r="N31" s="324"/>
      <c r="O31" s="325"/>
      <c r="P31" s="326"/>
      <c r="Q31" s="327"/>
      <c r="R31" s="143"/>
      <c r="S31" s="143"/>
      <c r="T31" s="161"/>
      <c r="U31" s="161"/>
      <c r="V31" s="334"/>
      <c r="W31" s="338">
        <f t="shared" si="2"/>
        <v>0</v>
      </c>
      <c r="X31" s="161"/>
    </row>
    <row r="32" spans="1:24" hidden="1" x14ac:dyDescent="0.2">
      <c r="A32" s="301" t="s">
        <v>376</v>
      </c>
      <c r="B32" s="169"/>
      <c r="C32" s="143"/>
      <c r="D32" s="299">
        <v>13216</v>
      </c>
      <c r="E32" s="297">
        <f t="shared" si="3"/>
        <v>8.5280000000000009E-3</v>
      </c>
      <c r="F32" s="169"/>
      <c r="G32" s="143"/>
      <c r="H32" s="143"/>
      <c r="I32" s="161"/>
      <c r="J32" s="161"/>
      <c r="K32" s="161"/>
      <c r="L32" s="152"/>
      <c r="M32" s="161"/>
      <c r="N32" s="324"/>
      <c r="O32" s="325"/>
      <c r="P32" s="326"/>
      <c r="Q32" s="327"/>
      <c r="R32" s="143"/>
      <c r="S32" s="143"/>
      <c r="T32" s="161"/>
      <c r="U32" s="161"/>
      <c r="V32" s="334"/>
      <c r="W32" s="338">
        <f t="shared" si="2"/>
        <v>0</v>
      </c>
      <c r="X32" s="161"/>
    </row>
    <row r="33" spans="1:24" hidden="1" x14ac:dyDescent="0.2">
      <c r="A33" s="301" t="s">
        <v>653</v>
      </c>
      <c r="B33" s="169"/>
      <c r="C33" s="143"/>
      <c r="D33" s="299">
        <v>135967</v>
      </c>
      <c r="E33" s="297">
        <f t="shared" si="3"/>
        <v>8.7739999999999999E-2</v>
      </c>
      <c r="F33" s="169"/>
      <c r="G33" s="143"/>
      <c r="H33" s="143"/>
      <c r="I33" s="161"/>
      <c r="J33" s="161"/>
      <c r="K33" s="161"/>
      <c r="L33" s="152"/>
      <c r="M33" s="161"/>
      <c r="N33" s="324"/>
      <c r="O33" s="325"/>
      <c r="P33" s="326"/>
      <c r="Q33" s="327"/>
      <c r="R33" s="143"/>
      <c r="S33" s="143"/>
      <c r="T33" s="161"/>
      <c r="U33" s="161"/>
      <c r="V33" s="334"/>
      <c r="W33" s="338">
        <f t="shared" si="2"/>
        <v>0</v>
      </c>
      <c r="X33" s="161"/>
    </row>
    <row r="34" spans="1:24" hidden="1" x14ac:dyDescent="0.2">
      <c r="A34" s="154" t="s">
        <v>24</v>
      </c>
      <c r="B34" s="169">
        <v>44212</v>
      </c>
      <c r="C34" s="143">
        <f>B34/$B$60</f>
        <v>2.0042000000000001E-2</v>
      </c>
      <c r="D34" s="299">
        <v>44212</v>
      </c>
      <c r="E34" s="297">
        <f>D34/$B$34</f>
        <v>1</v>
      </c>
      <c r="F34" s="169">
        <v>210</v>
      </c>
      <c r="G34" s="143">
        <f>F34/$F$60</f>
        <v>1.0318000000000001E-2</v>
      </c>
      <c r="H34" s="143">
        <f>(C34*2/3)+(G34/3)</f>
        <v>1.6801E-2</v>
      </c>
      <c r="I34" s="161">
        <f>$C$23*H34</f>
        <v>35621.050000000003</v>
      </c>
      <c r="J34" s="161">
        <f>H7</f>
        <v>211.37</v>
      </c>
      <c r="K34" s="161">
        <f>I34-J34</f>
        <v>35409.68</v>
      </c>
      <c r="L34" s="152">
        <f>F7</f>
        <v>1.55E-2</v>
      </c>
      <c r="M34" s="161">
        <f>$C$2*L34</f>
        <v>30345.94</v>
      </c>
      <c r="N34" s="324">
        <f>IF(K34&gt;M34, K34-M34,0)</f>
        <v>5063.74</v>
      </c>
      <c r="O34" s="325">
        <f>IF(N34&gt;0,ROUND((N34/$N$60),7),0)</f>
        <v>1.3152E-2</v>
      </c>
      <c r="P34" s="326">
        <f>IF(M34&gt;K34, M34-K34,0)</f>
        <v>0</v>
      </c>
      <c r="Q34" s="327">
        <f>O34*$Q$60</f>
        <v>1971.99</v>
      </c>
      <c r="R34" s="143">
        <f>IF(K34-M34&lt;=0,0,H34)</f>
        <v>1.6801E-2</v>
      </c>
      <c r="S34" s="143">
        <f>IF(R34=0,0,R34/$R$60)</f>
        <v>2.1593000000000001E-2</v>
      </c>
      <c r="T34" s="161">
        <f>S34*$T$24</f>
        <v>3237.61</v>
      </c>
      <c r="U34" s="161">
        <f>M34+T34</f>
        <v>33583.550000000003</v>
      </c>
      <c r="V34" s="334">
        <f>M34+Q34</f>
        <v>32317.93</v>
      </c>
      <c r="W34" s="338">
        <f t="shared" si="2"/>
        <v>1265.6199999999999</v>
      </c>
      <c r="X34" s="161">
        <f>M34+T34</f>
        <v>33583.550000000003</v>
      </c>
    </row>
    <row r="35" spans="1:24" hidden="1" x14ac:dyDescent="0.2">
      <c r="A35" s="154" t="s">
        <v>25</v>
      </c>
      <c r="B35" s="169">
        <v>46577</v>
      </c>
      <c r="C35" s="143">
        <f>B35/$B$60</f>
        <v>2.1114000000000001E-2</v>
      </c>
      <c r="D35" s="299">
        <v>21763</v>
      </c>
      <c r="E35" s="297">
        <f>D35/$B$35</f>
        <v>0.467248</v>
      </c>
      <c r="F35" s="169">
        <v>1174</v>
      </c>
      <c r="G35" s="143">
        <f>F35/$F$60</f>
        <v>5.7681999999999997E-2</v>
      </c>
      <c r="H35" s="143">
        <f>(C35*2/3)+(G35/3)</f>
        <v>3.3302999999999999E-2</v>
      </c>
      <c r="I35" s="161">
        <f>$C$23*H35</f>
        <v>70608.160000000003</v>
      </c>
      <c r="J35" s="161">
        <f>H8</f>
        <v>410.3</v>
      </c>
      <c r="K35" s="161">
        <f>I35-J35</f>
        <v>70197.86</v>
      </c>
      <c r="L35" s="152">
        <f>F8</f>
        <v>6.5299999999999997E-2</v>
      </c>
      <c r="M35" s="161">
        <f>$C$2*L35</f>
        <v>127844.52</v>
      </c>
      <c r="N35" s="324">
        <f>IF(K35&gt;M35, K35-M35,0)</f>
        <v>0</v>
      </c>
      <c r="O35" s="325">
        <f>IF(N35&gt;0,ROUND((N35/$N$60),7),0)</f>
        <v>0</v>
      </c>
      <c r="P35" s="326">
        <f>IF(M35&gt;K35, M35-K35,0)</f>
        <v>57646.66</v>
      </c>
      <c r="Q35" s="327">
        <f>O35*$Q$60</f>
        <v>0</v>
      </c>
      <c r="R35" s="143">
        <f>IF(K35-M35&lt;=0,0,H35)</f>
        <v>0</v>
      </c>
      <c r="S35" s="143">
        <f>IF(R35=0,0,R35/$R$60)</f>
        <v>0</v>
      </c>
      <c r="T35" s="161">
        <f>S35*$T$24</f>
        <v>0</v>
      </c>
      <c r="U35" s="161">
        <f>M35+T35</f>
        <v>127844.52</v>
      </c>
      <c r="V35" s="334">
        <f>M35+Q35</f>
        <v>127844.52</v>
      </c>
      <c r="W35" s="338">
        <f t="shared" si="2"/>
        <v>0</v>
      </c>
      <c r="X35" s="161">
        <f>M35+T35</f>
        <v>127844.52</v>
      </c>
    </row>
    <row r="36" spans="1:24" hidden="1" x14ac:dyDescent="0.2">
      <c r="A36" s="301" t="s">
        <v>378</v>
      </c>
      <c r="B36" s="169"/>
      <c r="C36" s="143"/>
      <c r="D36" s="299">
        <v>2074</v>
      </c>
      <c r="E36" s="297">
        <f>D36/$B$35</f>
        <v>4.4527999999999998E-2</v>
      </c>
      <c r="F36" s="169"/>
      <c r="G36" s="143"/>
      <c r="H36" s="143"/>
      <c r="I36" s="161"/>
      <c r="J36" s="161"/>
      <c r="K36" s="161"/>
      <c r="L36" s="152"/>
      <c r="M36" s="161"/>
      <c r="N36" s="324"/>
      <c r="O36" s="325"/>
      <c r="P36" s="326"/>
      <c r="Q36" s="327"/>
      <c r="R36" s="143"/>
      <c r="S36" s="143"/>
      <c r="T36" s="161"/>
      <c r="U36" s="161"/>
      <c r="V36" s="334"/>
      <c r="W36" s="338">
        <f t="shared" si="2"/>
        <v>0</v>
      </c>
      <c r="X36" s="161"/>
    </row>
    <row r="37" spans="1:24" hidden="1" x14ac:dyDescent="0.2">
      <c r="A37" s="301" t="s">
        <v>135</v>
      </c>
      <c r="B37" s="169"/>
      <c r="C37" s="143"/>
      <c r="D37" s="299">
        <v>16690</v>
      </c>
      <c r="E37" s="297">
        <f>D37/$B$35</f>
        <v>0.35833100000000001</v>
      </c>
      <c r="F37" s="169"/>
      <c r="G37" s="143"/>
      <c r="H37" s="143"/>
      <c r="I37" s="161"/>
      <c r="J37" s="161"/>
      <c r="K37" s="161"/>
      <c r="L37" s="152"/>
      <c r="M37" s="161"/>
      <c r="N37" s="324"/>
      <c r="O37" s="325"/>
      <c r="P37" s="326"/>
      <c r="Q37" s="327"/>
      <c r="R37" s="143"/>
      <c r="S37" s="143"/>
      <c r="T37" s="161"/>
      <c r="U37" s="161"/>
      <c r="V37" s="334"/>
      <c r="W37" s="338">
        <f t="shared" si="2"/>
        <v>0</v>
      </c>
      <c r="X37" s="161"/>
    </row>
    <row r="38" spans="1:24" hidden="1" x14ac:dyDescent="0.2">
      <c r="A38" s="301" t="s">
        <v>379</v>
      </c>
      <c r="B38" s="169"/>
      <c r="C38" s="143"/>
      <c r="D38" s="299">
        <v>1389</v>
      </c>
      <c r="E38" s="297">
        <f>D38/$B$35</f>
        <v>2.9822000000000001E-2</v>
      </c>
      <c r="F38" s="169"/>
      <c r="G38" s="143"/>
      <c r="H38" s="143"/>
      <c r="I38" s="161"/>
      <c r="J38" s="161"/>
      <c r="K38" s="161"/>
      <c r="L38" s="152"/>
      <c r="M38" s="161"/>
      <c r="N38" s="324"/>
      <c r="O38" s="325"/>
      <c r="P38" s="326"/>
      <c r="Q38" s="327"/>
      <c r="R38" s="143"/>
      <c r="S38" s="143"/>
      <c r="T38" s="161"/>
      <c r="U38" s="161"/>
      <c r="V38" s="334"/>
      <c r="W38" s="338">
        <f t="shared" si="2"/>
        <v>0</v>
      </c>
      <c r="X38" s="161"/>
    </row>
    <row r="39" spans="1:24" hidden="1" x14ac:dyDescent="0.2">
      <c r="A39" s="301" t="s">
        <v>654</v>
      </c>
      <c r="B39" s="169"/>
      <c r="C39" s="143"/>
      <c r="D39" s="299">
        <v>4661</v>
      </c>
      <c r="E39" s="297">
        <f>D39/$B$35</f>
        <v>0.10007099999999999</v>
      </c>
      <c r="F39" s="169"/>
      <c r="G39" s="143"/>
      <c r="H39" s="143"/>
      <c r="I39" s="161"/>
      <c r="J39" s="161"/>
      <c r="K39" s="161"/>
      <c r="L39" s="152"/>
      <c r="M39" s="161"/>
      <c r="N39" s="324"/>
      <c r="O39" s="325"/>
      <c r="P39" s="326"/>
      <c r="Q39" s="327"/>
      <c r="R39" s="143"/>
      <c r="S39" s="143"/>
      <c r="T39" s="161"/>
      <c r="U39" s="161"/>
      <c r="V39" s="334"/>
      <c r="W39" s="338">
        <f t="shared" si="2"/>
        <v>0</v>
      </c>
      <c r="X39" s="161"/>
    </row>
    <row r="40" spans="1:24" hidden="1" x14ac:dyDescent="0.2">
      <c r="A40" s="154" t="s">
        <v>26</v>
      </c>
      <c r="B40" s="169">
        <v>1125</v>
      </c>
      <c r="C40" s="143">
        <f>B40/$B$60</f>
        <v>5.1000000000000004E-4</v>
      </c>
      <c r="D40" s="299">
        <v>1125</v>
      </c>
      <c r="E40" s="297">
        <f>D40/$B$40</f>
        <v>1</v>
      </c>
      <c r="F40" s="169">
        <v>469</v>
      </c>
      <c r="G40" s="143">
        <f>F40/$F$60</f>
        <v>2.3043000000000001E-2</v>
      </c>
      <c r="H40" s="143">
        <f>(C40*2/3)+(G40/3)</f>
        <v>8.0210000000000004E-3</v>
      </c>
      <c r="I40" s="161">
        <f>$C$23*H40</f>
        <v>17005.919999999998</v>
      </c>
      <c r="J40" s="161">
        <f>H9</f>
        <v>99.47</v>
      </c>
      <c r="K40" s="161">
        <f>I40-J40</f>
        <v>16906.45</v>
      </c>
      <c r="L40" s="152">
        <f>F9</f>
        <v>1.52E-2</v>
      </c>
      <c r="M40" s="161">
        <f>$C$2*L40</f>
        <v>29758.6</v>
      </c>
      <c r="N40" s="324">
        <f>IF(K40&gt;M40, K40-M40,0)</f>
        <v>0</v>
      </c>
      <c r="O40" s="325">
        <f>IF(N40&gt;0,ROUND((N40/$N$60),7),0)</f>
        <v>0</v>
      </c>
      <c r="P40" s="326">
        <f>IF(M40&gt;K40, M40-K40,0)</f>
        <v>12852.15</v>
      </c>
      <c r="Q40" s="327">
        <f>O40*$Q$60</f>
        <v>0</v>
      </c>
      <c r="R40" s="143">
        <f>IF(K40-M40&lt;=0,0,H40)</f>
        <v>0</v>
      </c>
      <c r="S40" s="143">
        <f>IF(R40=0,0,R40/$R$60)</f>
        <v>0</v>
      </c>
      <c r="T40" s="161">
        <f>S40*$T$24</f>
        <v>0</v>
      </c>
      <c r="U40" s="161">
        <f>M40+T40</f>
        <v>29758.6</v>
      </c>
      <c r="V40" s="334">
        <f>M40+Q40</f>
        <v>29758.6</v>
      </c>
      <c r="W40" s="338">
        <f t="shared" si="2"/>
        <v>0</v>
      </c>
      <c r="X40" s="161">
        <f>M40+T40</f>
        <v>29758.6</v>
      </c>
    </row>
    <row r="41" spans="1:24" hidden="1" x14ac:dyDescent="0.2">
      <c r="A41" s="154" t="s">
        <v>27</v>
      </c>
      <c r="B41" s="169">
        <v>1384</v>
      </c>
      <c r="C41" s="143">
        <f>B41/$B$60</f>
        <v>6.2699999999999995E-4</v>
      </c>
      <c r="D41" s="299">
        <v>1384</v>
      </c>
      <c r="E41" s="297">
        <f>D41/$B$41</f>
        <v>1</v>
      </c>
      <c r="F41" s="169">
        <v>960</v>
      </c>
      <c r="G41" s="143">
        <f>F41/$F$60</f>
        <v>4.7167000000000001E-2</v>
      </c>
      <c r="H41" s="143">
        <f>(C41*2/3)+(G41/3)</f>
        <v>1.6140000000000002E-2</v>
      </c>
      <c r="I41" s="161">
        <f>$C$23*H41</f>
        <v>34219.61</v>
      </c>
      <c r="J41" s="161">
        <f>H10</f>
        <v>198.93</v>
      </c>
      <c r="K41" s="161">
        <f>I41-J41</f>
        <v>34020.68</v>
      </c>
      <c r="L41" s="152">
        <f>F10</f>
        <v>1.9400000000000001E-2</v>
      </c>
      <c r="M41" s="161">
        <f>$C$2*L41</f>
        <v>37981.370000000003</v>
      </c>
      <c r="N41" s="324">
        <f>IF(K41&gt;M41, K41-M41,0)</f>
        <v>0</v>
      </c>
      <c r="O41" s="325">
        <f>IF(N41&gt;0,ROUND((N41/$N$60),7),0)</f>
        <v>0</v>
      </c>
      <c r="P41" s="326">
        <f>IF(M41&gt;K41, M41-K41,0)</f>
        <v>3960.69</v>
      </c>
      <c r="Q41" s="327">
        <f>O41*$Q$60</f>
        <v>0</v>
      </c>
      <c r="R41" s="143">
        <f>IF(K41-M41&lt;=0,0,H41)</f>
        <v>0</v>
      </c>
      <c r="S41" s="143">
        <f>IF(R41=0,0,R41/$R$60)</f>
        <v>0</v>
      </c>
      <c r="T41" s="161">
        <f>S41*$T$24</f>
        <v>0</v>
      </c>
      <c r="U41" s="161">
        <f>M41+T41</f>
        <v>37981.370000000003</v>
      </c>
      <c r="V41" s="334">
        <f>M41+Q41</f>
        <v>37981.370000000003</v>
      </c>
      <c r="W41" s="338">
        <f t="shared" si="2"/>
        <v>0</v>
      </c>
      <c r="X41" s="161">
        <f>M41+T41</f>
        <v>37981.370000000003</v>
      </c>
    </row>
    <row r="42" spans="1:24" hidden="1" x14ac:dyDescent="0.2">
      <c r="A42" s="154" t="s">
        <v>28</v>
      </c>
      <c r="B42" s="169">
        <v>16308</v>
      </c>
      <c r="C42" s="143">
        <f>B42/$B$60</f>
        <v>7.3920000000000001E-3</v>
      </c>
      <c r="D42" s="299">
        <v>9074</v>
      </c>
      <c r="E42" s="297">
        <f>D42/$B$42</f>
        <v>0.55641399999999996</v>
      </c>
      <c r="F42" s="169">
        <v>996</v>
      </c>
      <c r="G42" s="143">
        <f>F42/$F$60</f>
        <v>4.8936E-2</v>
      </c>
      <c r="H42" s="143">
        <f>(C42*2/3)+(G42/3)</f>
        <v>2.1239999999999998E-2</v>
      </c>
      <c r="I42" s="161">
        <f>$C$23*H42</f>
        <v>45032.5</v>
      </c>
      <c r="J42" s="161">
        <f>H11</f>
        <v>261.10000000000002</v>
      </c>
      <c r="K42" s="161">
        <f>I42-J42</f>
        <v>44771.4</v>
      </c>
      <c r="L42" s="152">
        <f>F11</f>
        <v>3.9199999999999999E-2</v>
      </c>
      <c r="M42" s="161">
        <f>$C$2*L42</f>
        <v>76745.87</v>
      </c>
      <c r="N42" s="324">
        <f>IF(K42&gt;M42, K42-M42,0)</f>
        <v>0</v>
      </c>
      <c r="O42" s="325">
        <f>IF(N42&gt;0,ROUND((N42/$N$60),7),0)</f>
        <v>0</v>
      </c>
      <c r="P42" s="326">
        <f>IF(M42&gt;K42, M42-K42,0)</f>
        <v>31974.47</v>
      </c>
      <c r="Q42" s="327">
        <f>O42*$Q$60</f>
        <v>0</v>
      </c>
      <c r="R42" s="143">
        <f>IF(K42-M42&lt;=0,0,H42)</f>
        <v>0</v>
      </c>
      <c r="S42" s="143">
        <f>IF(R42=0,0,R42/$R$60)</f>
        <v>0</v>
      </c>
      <c r="T42" s="161">
        <f>S42*$T$24</f>
        <v>0</v>
      </c>
      <c r="U42" s="161">
        <f>M42+T42</f>
        <v>76745.87</v>
      </c>
      <c r="V42" s="334">
        <f>M42+Q42</f>
        <v>76745.87</v>
      </c>
      <c r="W42" s="338">
        <f t="shared" si="2"/>
        <v>0</v>
      </c>
      <c r="X42" s="161">
        <f>M42+T42</f>
        <v>76745.87</v>
      </c>
    </row>
    <row r="43" spans="1:24" hidden="1" x14ac:dyDescent="0.2">
      <c r="A43" s="301" t="s">
        <v>381</v>
      </c>
      <c r="B43" s="169"/>
      <c r="C43" s="143"/>
      <c r="D43" s="299">
        <v>7234</v>
      </c>
      <c r="E43" s="297">
        <f>D43/$B$42</f>
        <v>0.44358599999999998</v>
      </c>
      <c r="F43" s="169"/>
      <c r="G43" s="143"/>
      <c r="H43" s="143"/>
      <c r="I43" s="161"/>
      <c r="J43" s="161"/>
      <c r="K43" s="161"/>
      <c r="L43" s="152"/>
      <c r="M43" s="161"/>
      <c r="N43" s="324"/>
      <c r="O43" s="325"/>
      <c r="P43" s="326"/>
      <c r="Q43" s="327"/>
      <c r="R43" s="143"/>
      <c r="S43" s="143"/>
      <c r="T43" s="161"/>
      <c r="U43" s="161"/>
      <c r="V43" s="334"/>
      <c r="W43" s="338">
        <f t="shared" si="2"/>
        <v>0</v>
      </c>
      <c r="X43" s="161"/>
    </row>
    <row r="44" spans="1:24" hidden="1" x14ac:dyDescent="0.2">
      <c r="A44" s="154" t="s">
        <v>29</v>
      </c>
      <c r="B44" s="169">
        <v>5547</v>
      </c>
      <c r="C44" s="143">
        <f>B44/$B$60</f>
        <v>2.5140000000000002E-3</v>
      </c>
      <c r="D44" s="299">
        <v>5547</v>
      </c>
      <c r="E44" s="297">
        <f>D44/$B$44</f>
        <v>1</v>
      </c>
      <c r="F44" s="169">
        <v>1149</v>
      </c>
      <c r="G44" s="143">
        <f>F44/$F$60</f>
        <v>5.6453999999999997E-2</v>
      </c>
      <c r="H44" s="143">
        <f>(C44*2/3)+(G44/3)</f>
        <v>2.0493999999999998E-2</v>
      </c>
      <c r="I44" s="161">
        <f>$C$23*H44</f>
        <v>43450.85</v>
      </c>
      <c r="J44" s="161">
        <f>H12</f>
        <v>248.67</v>
      </c>
      <c r="K44" s="161">
        <f>I44-J44</f>
        <v>43202.18</v>
      </c>
      <c r="L44" s="152">
        <f>F12</f>
        <v>2.4799999999999999E-2</v>
      </c>
      <c r="M44" s="161">
        <f>$C$2*L44</f>
        <v>48553.51</v>
      </c>
      <c r="N44" s="324">
        <f>IF(K44&gt;M44, K44-M44,0)</f>
        <v>0</v>
      </c>
      <c r="O44" s="325">
        <f>IF(N44&gt;0,ROUND((N44/$N$60),7),0)</f>
        <v>0</v>
      </c>
      <c r="P44" s="326">
        <f>IF(M44&gt;K44, M44-K44,0)</f>
        <v>5351.33</v>
      </c>
      <c r="Q44" s="327">
        <f>O44*$Q$60</f>
        <v>0</v>
      </c>
      <c r="R44" s="143">
        <f>IF(K44-M44&lt;=0,0,H44)</f>
        <v>0</v>
      </c>
      <c r="S44" s="143">
        <f>IF(R44=0,0,R44/$R$60)</f>
        <v>0</v>
      </c>
      <c r="T44" s="161">
        <f>S44*$T$24</f>
        <v>0</v>
      </c>
      <c r="U44" s="161">
        <f>M44+T44</f>
        <v>48553.51</v>
      </c>
      <c r="V44" s="334">
        <f>M44+Q44</f>
        <v>48553.51</v>
      </c>
      <c r="W44" s="338">
        <f t="shared" si="2"/>
        <v>0</v>
      </c>
      <c r="X44" s="161">
        <f>M44+T44</f>
        <v>48553.51</v>
      </c>
    </row>
    <row r="45" spans="1:24" hidden="1" x14ac:dyDescent="0.2">
      <c r="A45" s="154" t="s">
        <v>30</v>
      </c>
      <c r="B45" s="169">
        <v>3879</v>
      </c>
      <c r="C45" s="143">
        <f>B45/$B$60</f>
        <v>1.758E-3</v>
      </c>
      <c r="D45" s="299">
        <v>2821</v>
      </c>
      <c r="E45" s="297">
        <f>D45/$B$45</f>
        <v>0.72724900000000003</v>
      </c>
      <c r="F45" s="169">
        <v>1876</v>
      </c>
      <c r="G45" s="143">
        <f>F45/$F$60</f>
        <v>9.2173000000000005E-2</v>
      </c>
      <c r="H45" s="143">
        <f>(C45*2/3)+(G45/3)</f>
        <v>3.1896000000000001E-2</v>
      </c>
      <c r="I45" s="161">
        <f>$C$23*H45</f>
        <v>67625.08</v>
      </c>
      <c r="J45" s="161">
        <f>H13</f>
        <v>397.87</v>
      </c>
      <c r="K45" s="161">
        <f>I45-J45</f>
        <v>67227.210000000006</v>
      </c>
      <c r="L45" s="152">
        <f>F13</f>
        <v>4.3200000000000002E-2</v>
      </c>
      <c r="M45" s="161">
        <f>$C$2*L45</f>
        <v>84577.08</v>
      </c>
      <c r="N45" s="324">
        <f>IF(K45&gt;M45, K45-M45,0)</f>
        <v>0</v>
      </c>
      <c r="O45" s="325">
        <f>IF(N45&gt;0,ROUND((N45/$N$60),7),0)</f>
        <v>0</v>
      </c>
      <c r="P45" s="326">
        <f>IF(M45&gt;K45, M45-K45,0)</f>
        <v>17349.87</v>
      </c>
      <c r="Q45" s="327">
        <f>O45*$Q$60</f>
        <v>0</v>
      </c>
      <c r="R45" s="143">
        <f>IF(K45-M45&lt;=0,0,H45)</f>
        <v>0</v>
      </c>
      <c r="S45" s="143">
        <f>IF(R45=0,0,R45/$R$60)</f>
        <v>0</v>
      </c>
      <c r="T45" s="161">
        <f>S45*$T$24</f>
        <v>0</v>
      </c>
      <c r="U45" s="161">
        <f>M45+T45</f>
        <v>84577.08</v>
      </c>
      <c r="V45" s="334">
        <f>M45+Q45</f>
        <v>84577.08</v>
      </c>
      <c r="W45" s="338">
        <f t="shared" si="2"/>
        <v>0</v>
      </c>
      <c r="X45" s="161">
        <f>M45+T45</f>
        <v>84577.08</v>
      </c>
    </row>
    <row r="46" spans="1:24" hidden="1" x14ac:dyDescent="0.2">
      <c r="A46" s="301" t="s">
        <v>383</v>
      </c>
      <c r="B46" s="169"/>
      <c r="C46" s="143"/>
      <c r="D46" s="299">
        <v>1058</v>
      </c>
      <c r="E46" s="297">
        <f>D46/$B$45</f>
        <v>0.27275100000000002</v>
      </c>
      <c r="F46" s="169"/>
      <c r="G46" s="143"/>
      <c r="H46" s="143"/>
      <c r="I46" s="161"/>
      <c r="J46" s="161"/>
      <c r="K46" s="161"/>
      <c r="L46" s="152"/>
      <c r="M46" s="161"/>
      <c r="N46" s="324"/>
      <c r="O46" s="325"/>
      <c r="P46" s="326"/>
      <c r="Q46" s="327"/>
      <c r="R46" s="143"/>
      <c r="S46" s="143"/>
      <c r="T46" s="161"/>
      <c r="U46" s="161"/>
      <c r="V46" s="334"/>
      <c r="W46" s="338">
        <f t="shared" si="2"/>
        <v>0</v>
      </c>
      <c r="X46" s="161"/>
    </row>
    <row r="47" spans="1:24" hidden="1" x14ac:dyDescent="0.2">
      <c r="A47" s="154" t="s">
        <v>31</v>
      </c>
      <c r="B47" s="169">
        <v>38777</v>
      </c>
      <c r="C47" s="143">
        <f>B47/$B$60</f>
        <v>1.7578E-2</v>
      </c>
      <c r="D47" s="299">
        <v>25478</v>
      </c>
      <c r="E47" s="297">
        <f>D47/$B$47</f>
        <v>0.65703900000000004</v>
      </c>
      <c r="F47" s="169">
        <v>587</v>
      </c>
      <c r="G47" s="143">
        <f>F47/$F$60</f>
        <v>2.8840999999999999E-2</v>
      </c>
      <c r="H47" s="143">
        <f>(C47*2/3)+(G47/3)</f>
        <v>2.1332E-2</v>
      </c>
      <c r="I47" s="161">
        <f>$C$23*H47</f>
        <v>45227.56</v>
      </c>
      <c r="J47" s="161">
        <f>H14</f>
        <v>261.10000000000002</v>
      </c>
      <c r="K47" s="161">
        <f>I47-J47</f>
        <v>44966.46</v>
      </c>
      <c r="L47" s="152">
        <f>F14</f>
        <v>1.89E-2</v>
      </c>
      <c r="M47" s="161">
        <f>$C$2*L47</f>
        <v>37002.47</v>
      </c>
      <c r="N47" s="324">
        <f>IF(K47&gt;M47, K47-M47,0)</f>
        <v>7963.99</v>
      </c>
      <c r="O47" s="325">
        <f>IF(N47&gt;0,ROUND((N47/$N$60),7),0)</f>
        <v>2.0684999999999999E-2</v>
      </c>
      <c r="P47" s="326">
        <f>IF(M47&gt;K47, M47-K47,0)</f>
        <v>0</v>
      </c>
      <c r="Q47" s="327">
        <f>O47*$Q$60</f>
        <v>3101.47</v>
      </c>
      <c r="R47" s="143">
        <f>IF(K47-M47&lt;=0,0,H47)</f>
        <v>2.1332E-2</v>
      </c>
      <c r="S47" s="143">
        <f>IF(R47=0,0,R47/$R$60)</f>
        <v>2.7417E-2</v>
      </c>
      <c r="T47" s="161">
        <f>S47*$T$24</f>
        <v>4110.8500000000004</v>
      </c>
      <c r="U47" s="161">
        <f>M47+T47</f>
        <v>41113.32</v>
      </c>
      <c r="V47" s="334">
        <f>M47+Q47</f>
        <v>40103.94</v>
      </c>
      <c r="W47" s="338">
        <f t="shared" si="2"/>
        <v>1009.38</v>
      </c>
      <c r="X47" s="161">
        <f>M47+T47</f>
        <v>41113.32</v>
      </c>
    </row>
    <row r="48" spans="1:24" hidden="1" x14ac:dyDescent="0.2">
      <c r="A48" s="301" t="s">
        <v>385</v>
      </c>
      <c r="B48" s="169"/>
      <c r="C48" s="143"/>
      <c r="D48" s="299">
        <v>10440</v>
      </c>
      <c r="E48" s="297">
        <f>D48/$B$47</f>
        <v>0.26923200000000003</v>
      </c>
      <c r="F48" s="169"/>
      <c r="G48" s="143"/>
      <c r="H48" s="143"/>
      <c r="I48" s="161"/>
      <c r="J48" s="161"/>
      <c r="K48" s="161"/>
      <c r="L48" s="152"/>
      <c r="M48" s="161"/>
      <c r="N48" s="324"/>
      <c r="O48" s="325"/>
      <c r="P48" s="326"/>
      <c r="Q48" s="327"/>
      <c r="R48" s="143"/>
      <c r="S48" s="143"/>
      <c r="T48" s="161"/>
      <c r="U48" s="161"/>
      <c r="V48" s="334"/>
      <c r="W48" s="338">
        <f t="shared" si="2"/>
        <v>0</v>
      </c>
      <c r="X48" s="161"/>
    </row>
    <row r="49" spans="1:26" hidden="1" x14ac:dyDescent="0.2">
      <c r="A49" s="301" t="s">
        <v>384</v>
      </c>
      <c r="B49" s="169"/>
      <c r="C49" s="143"/>
      <c r="D49" s="299">
        <v>2859</v>
      </c>
      <c r="E49" s="297">
        <f>D49/$B$47</f>
        <v>7.3729000000000003E-2</v>
      </c>
      <c r="F49" s="169"/>
      <c r="G49" s="143"/>
      <c r="H49" s="143"/>
      <c r="I49" s="161"/>
      <c r="J49" s="161"/>
      <c r="K49" s="161"/>
      <c r="L49" s="152"/>
      <c r="M49" s="161"/>
      <c r="N49" s="324"/>
      <c r="O49" s="325"/>
      <c r="P49" s="326"/>
      <c r="Q49" s="327"/>
      <c r="R49" s="143"/>
      <c r="S49" s="143"/>
      <c r="T49" s="161"/>
      <c r="U49" s="161"/>
      <c r="V49" s="334"/>
      <c r="W49" s="338">
        <f t="shared" si="2"/>
        <v>0</v>
      </c>
      <c r="X49" s="161"/>
    </row>
    <row r="50" spans="1:26" hidden="1" x14ac:dyDescent="0.2">
      <c r="A50" s="154" t="s">
        <v>401</v>
      </c>
      <c r="B50" s="169">
        <v>4695</v>
      </c>
      <c r="C50" s="143">
        <f>B50/$B$60</f>
        <v>2.1280000000000001E-3</v>
      </c>
      <c r="D50" s="299">
        <v>4695</v>
      </c>
      <c r="E50" s="297">
        <f>D50/$B$50</f>
        <v>1</v>
      </c>
      <c r="F50" s="169">
        <v>324</v>
      </c>
      <c r="G50" s="143">
        <f>F50/$F$60</f>
        <v>1.5918999999999999E-2</v>
      </c>
      <c r="H50" s="143">
        <f>(C50*2/3)+(G50/3)</f>
        <v>6.7250000000000001E-3</v>
      </c>
      <c r="I50" s="161">
        <f>$C$23*H50</f>
        <v>14258.17</v>
      </c>
      <c r="J50" s="161">
        <f>H15</f>
        <v>87.03</v>
      </c>
      <c r="K50" s="161">
        <f>I50-J50</f>
        <v>14171.14</v>
      </c>
      <c r="L50" s="152">
        <f>F15</f>
        <v>1.4E-2</v>
      </c>
      <c r="M50" s="161">
        <f>$C$2*L50</f>
        <v>27409.24</v>
      </c>
      <c r="N50" s="324">
        <f>IF(K50&gt;M50, K50-M50,0)</f>
        <v>0</v>
      </c>
      <c r="O50" s="325">
        <f>IF(N50&gt;0,ROUND((N50/$N$60),7),0)</f>
        <v>0</v>
      </c>
      <c r="P50" s="326">
        <f>IF(M50&gt;K50, M50-K50,0)</f>
        <v>13238.1</v>
      </c>
      <c r="Q50" s="327">
        <f>O50*$Q$60</f>
        <v>0</v>
      </c>
      <c r="R50" s="143">
        <f>IF(K50-M50&lt;=0,0,H50)</f>
        <v>0</v>
      </c>
      <c r="S50" s="143">
        <f>IF(R50=0,0,R50/$R$60)</f>
        <v>0</v>
      </c>
      <c r="T50" s="161">
        <f>S50*$T$24</f>
        <v>0</v>
      </c>
      <c r="U50" s="161">
        <f>M50+T50</f>
        <v>27409.24</v>
      </c>
      <c r="V50" s="334">
        <f>M50+Q50</f>
        <v>27409.24</v>
      </c>
      <c r="W50" s="338">
        <f t="shared" si="2"/>
        <v>0</v>
      </c>
      <c r="X50" s="161">
        <f>M50+T50</f>
        <v>27409.24</v>
      </c>
    </row>
    <row r="51" spans="1:26" hidden="1" x14ac:dyDescent="0.2">
      <c r="A51" s="154" t="s">
        <v>33</v>
      </c>
      <c r="B51" s="169">
        <v>35039</v>
      </c>
      <c r="C51" s="143">
        <f>B51/$B$60</f>
        <v>1.5883000000000001E-2</v>
      </c>
      <c r="D51" s="299">
        <v>35039</v>
      </c>
      <c r="E51" s="297">
        <f>D51/$B$51</f>
        <v>1</v>
      </c>
      <c r="F51" s="169">
        <v>2027</v>
      </c>
      <c r="G51" s="143">
        <f>F51/$F$60</f>
        <v>9.9592E-2</v>
      </c>
      <c r="H51" s="143">
        <f>(C51*2/3)+(G51/3)</f>
        <v>4.3785999999999999E-2</v>
      </c>
      <c r="I51" s="161">
        <f>$C$23*H51</f>
        <v>92833.95</v>
      </c>
      <c r="J51" s="161">
        <f>H16</f>
        <v>547.07000000000005</v>
      </c>
      <c r="K51" s="161">
        <f>I51-J51</f>
        <v>92286.88</v>
      </c>
      <c r="L51" s="152">
        <f>F16</f>
        <v>6.7699999999999996E-2</v>
      </c>
      <c r="M51" s="161">
        <f>$C$2*L51</f>
        <v>132543.25</v>
      </c>
      <c r="N51" s="324">
        <f>IF(K51&gt;M51, K51-M51,0)</f>
        <v>0</v>
      </c>
      <c r="O51" s="325">
        <f>IF(N51&gt;0,ROUND((N51/$N$60),7),0)</f>
        <v>0</v>
      </c>
      <c r="P51" s="326">
        <f>IF(M51&gt;K51, M51-K51,0)</f>
        <v>40256.370000000003</v>
      </c>
      <c r="Q51" s="327">
        <f>O51*$Q$60</f>
        <v>0</v>
      </c>
      <c r="R51" s="143">
        <f>IF(K51-M51&lt;=0,0,H51)</f>
        <v>0</v>
      </c>
      <c r="S51" s="143">
        <f>IF(R51=0,0,R51/$R$60)</f>
        <v>0</v>
      </c>
      <c r="T51" s="161">
        <f>S51*$T$24</f>
        <v>0</v>
      </c>
      <c r="U51" s="161">
        <f>M51+T51</f>
        <v>132543.25</v>
      </c>
      <c r="V51" s="334">
        <f>M51+Q51</f>
        <v>132543.25</v>
      </c>
      <c r="W51" s="338">
        <f t="shared" si="2"/>
        <v>0</v>
      </c>
      <c r="X51" s="161">
        <f>M51+T51</f>
        <v>132543.25</v>
      </c>
    </row>
    <row r="52" spans="1:26" hidden="1" x14ac:dyDescent="0.2">
      <c r="A52" s="154" t="s">
        <v>34</v>
      </c>
      <c r="B52" s="169">
        <v>6937</v>
      </c>
      <c r="C52" s="143">
        <f>B52/$B$60</f>
        <v>3.1449999999999998E-3</v>
      </c>
      <c r="D52" s="299">
        <v>4670</v>
      </c>
      <c r="E52" s="297">
        <f>D52/$B$52</f>
        <v>0.67320199999999997</v>
      </c>
      <c r="F52" s="169">
        <v>1887</v>
      </c>
      <c r="G52" s="143">
        <f>F52/$F$60</f>
        <v>9.2714000000000005E-2</v>
      </c>
      <c r="H52" s="143">
        <f>(C52*2/3)+(G52/3)</f>
        <v>3.3001000000000003E-2</v>
      </c>
      <c r="I52" s="161">
        <f>$C$23*H52</f>
        <v>69967.87</v>
      </c>
      <c r="J52" s="161">
        <f>H17</f>
        <v>410.3</v>
      </c>
      <c r="K52" s="161">
        <f>I52-J52</f>
        <v>69557.570000000007</v>
      </c>
      <c r="L52" s="152">
        <f>F17</f>
        <v>2.8400000000000002E-2</v>
      </c>
      <c r="M52" s="161">
        <f>$C$2*L52</f>
        <v>55601.599999999999</v>
      </c>
      <c r="N52" s="324">
        <f>IF(K52&gt;M52, K52-M52,0)</f>
        <v>13955.97</v>
      </c>
      <c r="O52" s="325">
        <f>IF(N52&gt;0,ROUND((N52/$N$60),7),0)</f>
        <v>3.6249000000000003E-2</v>
      </c>
      <c r="P52" s="326">
        <f>IF(M52&gt;K52, M52-K52,0)</f>
        <v>0</v>
      </c>
      <c r="Q52" s="327">
        <f>O52*$Q$60</f>
        <v>5435.1</v>
      </c>
      <c r="R52" s="143">
        <f>IF(K52-M52&lt;=0,0,H52)</f>
        <v>3.3001000000000003E-2</v>
      </c>
      <c r="S52" s="143">
        <f>IF(R52=0,0,R52/$R$60)</f>
        <v>4.2414E-2</v>
      </c>
      <c r="T52" s="161">
        <f>S52*$T$24</f>
        <v>6359.47</v>
      </c>
      <c r="U52" s="161">
        <f>M52+T52</f>
        <v>61961.07</v>
      </c>
      <c r="V52" s="334">
        <f>M52+Q52</f>
        <v>61036.7</v>
      </c>
      <c r="W52" s="338">
        <f t="shared" si="2"/>
        <v>924.37</v>
      </c>
      <c r="X52" s="161">
        <f>M52+T52</f>
        <v>61961.07</v>
      </c>
    </row>
    <row r="53" spans="1:26" hidden="1" x14ac:dyDescent="0.2">
      <c r="A53" s="301" t="s">
        <v>389</v>
      </c>
      <c r="B53" s="169"/>
      <c r="C53" s="143"/>
      <c r="D53" s="299">
        <v>2267</v>
      </c>
      <c r="E53" s="297">
        <f>D53/$B$52</f>
        <v>0.32679799999999998</v>
      </c>
      <c r="F53" s="169"/>
      <c r="G53" s="143"/>
      <c r="H53" s="143"/>
      <c r="I53" s="161"/>
      <c r="J53" s="161"/>
      <c r="K53" s="161"/>
      <c r="L53" s="152"/>
      <c r="M53" s="161"/>
      <c r="N53" s="324"/>
      <c r="O53" s="325"/>
      <c r="P53" s="326"/>
      <c r="Q53" s="327"/>
      <c r="R53" s="143"/>
      <c r="S53" s="143"/>
      <c r="T53" s="161"/>
      <c r="U53" s="161"/>
      <c r="V53" s="334"/>
      <c r="W53" s="338">
        <f t="shared" si="2"/>
        <v>0</v>
      </c>
      <c r="X53" s="161"/>
    </row>
    <row r="54" spans="1:26" hidden="1" x14ac:dyDescent="0.2">
      <c r="A54" s="154" t="s">
        <v>35</v>
      </c>
      <c r="B54" s="169">
        <v>3639</v>
      </c>
      <c r="C54" s="143">
        <f>B54/$B$60</f>
        <v>1.65E-3</v>
      </c>
      <c r="D54" s="299">
        <v>3639</v>
      </c>
      <c r="E54" s="297">
        <f>D54/$B$54</f>
        <v>1</v>
      </c>
      <c r="F54" s="169">
        <v>49</v>
      </c>
      <c r="G54" s="143">
        <f>F54/$F$60</f>
        <v>2.408E-3</v>
      </c>
      <c r="H54" s="143">
        <f>(C54*2/3)+(G54/3)</f>
        <v>1.903E-3</v>
      </c>
      <c r="I54" s="161">
        <f>$C$23*H54</f>
        <v>4034.69</v>
      </c>
      <c r="J54" s="161">
        <f>H18</f>
        <v>24.87</v>
      </c>
      <c r="K54" s="161">
        <f>I54-J54</f>
        <v>4009.82</v>
      </c>
      <c r="L54" s="152">
        <f>F18</f>
        <v>2.2000000000000001E-3</v>
      </c>
      <c r="M54" s="161">
        <f>$C$2*L54</f>
        <v>4307.17</v>
      </c>
      <c r="N54" s="324">
        <f>IF(K54&gt;M54, K54-M54,0)</f>
        <v>0</v>
      </c>
      <c r="O54" s="325">
        <f>IF(N54&gt;0,ROUND((N54/$N$60),7),0)</f>
        <v>0</v>
      </c>
      <c r="P54" s="326">
        <f>IF(M54&gt;K54, M54-K54,0)</f>
        <v>297.35000000000002</v>
      </c>
      <c r="Q54" s="327">
        <f>O54*$Q$60</f>
        <v>0</v>
      </c>
      <c r="R54" s="143">
        <f>IF(K54-M54&lt;=0,0,H54)</f>
        <v>0</v>
      </c>
      <c r="S54" s="143">
        <f>IF(R54=0,0,R54/$R$60)</f>
        <v>0</v>
      </c>
      <c r="T54" s="161">
        <f>S54*$T$24</f>
        <v>0</v>
      </c>
      <c r="U54" s="161">
        <f>M54+T54</f>
        <v>4307.17</v>
      </c>
      <c r="V54" s="334">
        <f>M54+Q54</f>
        <v>4307.17</v>
      </c>
      <c r="W54" s="338">
        <f t="shared" si="2"/>
        <v>0</v>
      </c>
      <c r="X54" s="161">
        <f>M54+T54</f>
        <v>4307.17</v>
      </c>
    </row>
    <row r="55" spans="1:26" hidden="1" x14ac:dyDescent="0.2">
      <c r="A55" s="154" t="s">
        <v>36</v>
      </c>
      <c r="B55" s="169">
        <v>359423</v>
      </c>
      <c r="C55" s="143">
        <f>B55/$B$60</f>
        <v>0.16292799999999999</v>
      </c>
      <c r="D55" s="299">
        <v>96334</v>
      </c>
      <c r="E55" s="297">
        <f>D55/$B$55</f>
        <v>0.26802399999999998</v>
      </c>
      <c r="F55" s="169">
        <v>1815</v>
      </c>
      <c r="G55" s="143">
        <f>F55/$F$60</f>
        <v>8.9176000000000005E-2</v>
      </c>
      <c r="H55" s="143">
        <f>(C55*2/3)+(G55/3)</f>
        <v>0.13834399999999999</v>
      </c>
      <c r="I55" s="161">
        <f>$C$23*H55</f>
        <v>293313.39</v>
      </c>
      <c r="J55" s="161">
        <f>H19</f>
        <v>1715.81</v>
      </c>
      <c r="K55" s="161">
        <f>I55-J55</f>
        <v>291597.58</v>
      </c>
      <c r="L55" s="152">
        <f>F19</f>
        <v>0.1232</v>
      </c>
      <c r="M55" s="161">
        <f>$C$2*L55</f>
        <v>241201.3</v>
      </c>
      <c r="N55" s="324">
        <f>IF(K55&gt;M55, K55-M55,0)</f>
        <v>50396.28</v>
      </c>
      <c r="O55" s="325">
        <f>IF(N55&gt;0,ROUND((N55/$N$60),7),0)</f>
        <v>0.13089700000000001</v>
      </c>
      <c r="P55" s="326">
        <f>IF(M55&gt;K55, M55-K55,0)</f>
        <v>0</v>
      </c>
      <c r="Q55" s="327">
        <f>O55*$Q$60</f>
        <v>19626.439999999999</v>
      </c>
      <c r="R55" s="143">
        <f>IF(K55-M55&lt;=0,0,H55)</f>
        <v>0.13834399999999999</v>
      </c>
      <c r="S55" s="143">
        <f>IF(R55=0,0,R55/$R$60)</f>
        <v>0.17780399999999999</v>
      </c>
      <c r="T55" s="161">
        <f>S55*$T$24</f>
        <v>26659.59</v>
      </c>
      <c r="U55" s="161">
        <f>M55+T55</f>
        <v>267860.89</v>
      </c>
      <c r="V55" s="334">
        <f>M55+Q55</f>
        <v>260827.74</v>
      </c>
      <c r="W55" s="338">
        <f t="shared" si="2"/>
        <v>7033.15</v>
      </c>
      <c r="X55" s="161">
        <f>M55+T55</f>
        <v>267860.89</v>
      </c>
    </row>
    <row r="56" spans="1:26" hidden="1" x14ac:dyDescent="0.2">
      <c r="A56" s="301" t="s">
        <v>390</v>
      </c>
      <c r="B56" s="169"/>
      <c r="C56" s="143"/>
      <c r="D56" s="299">
        <v>187834</v>
      </c>
      <c r="E56" s="297">
        <f>D56/$B$55</f>
        <v>0.52259900000000004</v>
      </c>
      <c r="F56" s="169"/>
      <c r="G56" s="143"/>
      <c r="H56" s="143"/>
      <c r="I56" s="161"/>
      <c r="J56" s="161"/>
      <c r="K56" s="161"/>
      <c r="L56" s="152"/>
      <c r="M56" s="161"/>
      <c r="N56" s="324"/>
      <c r="O56" s="325"/>
      <c r="P56" s="326"/>
      <c r="Q56" s="327"/>
      <c r="R56" s="143"/>
      <c r="S56" s="143"/>
      <c r="T56" s="161"/>
      <c r="U56" s="161"/>
      <c r="V56" s="334"/>
      <c r="W56" s="338">
        <f t="shared" si="2"/>
        <v>0</v>
      </c>
      <c r="X56" s="161"/>
    </row>
    <row r="57" spans="1:26" hidden="1" x14ac:dyDescent="0.2">
      <c r="A57" s="301" t="s">
        <v>391</v>
      </c>
      <c r="B57" s="169"/>
      <c r="C57" s="143"/>
      <c r="D57" s="299">
        <v>75255</v>
      </c>
      <c r="E57" s="297">
        <f>D57/$B$55</f>
        <v>0.20937700000000001</v>
      </c>
      <c r="F57" s="169"/>
      <c r="G57" s="143"/>
      <c r="H57" s="143"/>
      <c r="I57" s="161"/>
      <c r="J57" s="161"/>
      <c r="K57" s="161"/>
      <c r="L57" s="152"/>
      <c r="M57" s="161"/>
      <c r="N57" s="324"/>
      <c r="O57" s="325"/>
      <c r="P57" s="326"/>
      <c r="Q57" s="327"/>
      <c r="R57" s="143"/>
      <c r="S57" s="143"/>
      <c r="T57" s="161"/>
      <c r="U57" s="161"/>
      <c r="V57" s="334"/>
      <c r="W57" s="338">
        <f t="shared" si="2"/>
        <v>0</v>
      </c>
      <c r="X57" s="161"/>
    </row>
    <row r="58" spans="1:26" hidden="1" x14ac:dyDescent="0.2">
      <c r="A58" s="154" t="s">
        <v>37</v>
      </c>
      <c r="B58" s="169">
        <v>8863</v>
      </c>
      <c r="C58" s="143">
        <f>B58/$B$60</f>
        <v>4.0179999999999999E-3</v>
      </c>
      <c r="D58" s="299">
        <v>4977</v>
      </c>
      <c r="E58" s="297">
        <f>D58/$B$58</f>
        <v>0.56154800000000005</v>
      </c>
      <c r="F58" s="169">
        <v>1124</v>
      </c>
      <c r="G58" s="143">
        <f>F58/$F$60</f>
        <v>5.5225000000000003E-2</v>
      </c>
      <c r="H58" s="143">
        <f>(C58*2/3)+(G58/3)</f>
        <v>2.1087000000000002E-2</v>
      </c>
      <c r="I58" s="150">
        <f>$C$23*H58</f>
        <v>44708.11</v>
      </c>
      <c r="J58" s="161">
        <f>H20</f>
        <v>261.10000000000002</v>
      </c>
      <c r="K58" s="161">
        <f>I58-J58</f>
        <v>44447.01</v>
      </c>
      <c r="L58" s="170">
        <f>F20</f>
        <v>4.0300000000000002E-2</v>
      </c>
      <c r="M58" s="150">
        <f>$C$2*L58</f>
        <v>78899.45</v>
      </c>
      <c r="N58" s="324">
        <f>IF(K58&gt;M58, K58-M58,0)</f>
        <v>0</v>
      </c>
      <c r="O58" s="325">
        <f>IF(N58&gt;0,ROUND((N58/$N$60),7),0)</f>
        <v>0</v>
      </c>
      <c r="P58" s="326">
        <f>IF(M58&gt;K58, M58-K58,0)</f>
        <v>34452.44</v>
      </c>
      <c r="Q58" s="327">
        <f>O58*$Q$60</f>
        <v>0</v>
      </c>
      <c r="R58" s="143">
        <f>IF(K58-M58&lt;=0,0,H58)</f>
        <v>0</v>
      </c>
      <c r="S58" s="143">
        <f>IF(R58=0,0,R58/$R$60)</f>
        <v>0</v>
      </c>
      <c r="T58" s="150">
        <f>S58*$T$24</f>
        <v>0</v>
      </c>
      <c r="U58" s="150">
        <f>M58+T58</f>
        <v>78899.45</v>
      </c>
      <c r="V58" s="335">
        <f>M58+Q58</f>
        <v>78899.45</v>
      </c>
      <c r="W58" s="338">
        <f t="shared" si="2"/>
        <v>0</v>
      </c>
      <c r="X58" s="161">
        <f>M58+T58</f>
        <v>78899.45</v>
      </c>
      <c r="Y58" s="150"/>
      <c r="Z58" s="171"/>
    </row>
    <row r="59" spans="1:26" hidden="1" x14ac:dyDescent="0.2">
      <c r="A59" s="301" t="s">
        <v>392</v>
      </c>
      <c r="D59" s="299">
        <v>3886</v>
      </c>
      <c r="E59" s="297">
        <f>D59/$B$58</f>
        <v>0.43845200000000001</v>
      </c>
      <c r="N59" s="324"/>
      <c r="O59" s="325"/>
      <c r="P59" s="326"/>
      <c r="Q59" s="327"/>
      <c r="V59" s="336"/>
      <c r="W59" s="338">
        <f t="shared" si="2"/>
        <v>0</v>
      </c>
    </row>
    <row r="60" spans="1:26" ht="13.5" hidden="1" thickBot="1" x14ac:dyDescent="0.25">
      <c r="A60" s="149" t="s">
        <v>400</v>
      </c>
      <c r="B60" s="172">
        <f>SUM(B25:B58)</f>
        <v>2206022</v>
      </c>
      <c r="C60" s="173">
        <f>SUM(C25:C58)</f>
        <v>1</v>
      </c>
      <c r="D60" s="300">
        <f>SUM(D25:D59)</f>
        <v>2206022</v>
      </c>
      <c r="E60" s="298" t="s">
        <v>82</v>
      </c>
      <c r="F60" s="172">
        <f t="shared" ref="F60:P60" si="4">SUM(F25:F58)</f>
        <v>20353</v>
      </c>
      <c r="G60" s="174">
        <f t="shared" si="4"/>
        <v>1</v>
      </c>
      <c r="H60" s="174">
        <f t="shared" si="4"/>
        <v>1</v>
      </c>
      <c r="I60" s="163">
        <f t="shared" si="4"/>
        <v>2120174.25</v>
      </c>
      <c r="J60" s="175">
        <f t="shared" si="4"/>
        <v>12433.42</v>
      </c>
      <c r="K60" s="176">
        <f t="shared" si="4"/>
        <v>2107740.83</v>
      </c>
      <c r="L60" s="177">
        <f t="shared" si="4"/>
        <v>1</v>
      </c>
      <c r="M60" s="163">
        <f t="shared" si="4"/>
        <v>1957802.77</v>
      </c>
      <c r="N60" s="328">
        <f t="shared" si="4"/>
        <v>385006.78</v>
      </c>
      <c r="O60" s="329">
        <f t="shared" si="4"/>
        <v>1</v>
      </c>
      <c r="P60" s="330">
        <f t="shared" si="4"/>
        <v>235068.72</v>
      </c>
      <c r="Q60" s="331">
        <f>N60-P60</f>
        <v>149938.06</v>
      </c>
      <c r="R60" s="178">
        <f>SUM(R25:R58)</f>
        <v>0.77807000000000004</v>
      </c>
      <c r="S60" s="178">
        <f>SUM(S25:S58)</f>
        <v>1</v>
      </c>
      <c r="T60" s="163">
        <f>SUM(T25:T58)</f>
        <v>149938.06</v>
      </c>
      <c r="U60" s="163">
        <f>SUM(U25:U58)</f>
        <v>2107740.8199999998</v>
      </c>
      <c r="V60" s="337">
        <f>SUM(V25:V58)</f>
        <v>2107740.83</v>
      </c>
      <c r="W60" s="339">
        <f t="shared" si="2"/>
        <v>-0.01</v>
      </c>
      <c r="X60" s="161">
        <f>M60+T60</f>
        <v>2107740.83</v>
      </c>
      <c r="Y60" s="181">
        <f>C4</f>
        <v>2107740.8199999998</v>
      </c>
      <c r="Z60" s="182">
        <f>X60-Y60</f>
        <v>0.01</v>
      </c>
    </row>
    <row r="61" spans="1:26" ht="13.5" hidden="1" thickTop="1" x14ac:dyDescent="0.2">
      <c r="G61" s="153"/>
      <c r="H61" s="179"/>
      <c r="I61" s="153"/>
      <c r="J61" s="151"/>
      <c r="K61" s="151"/>
      <c r="L61" s="180"/>
      <c r="M61" s="150"/>
      <c r="P61" t="s">
        <v>106</v>
      </c>
      <c r="Q61" s="161">
        <f>SUM(Q25:Q59)</f>
        <v>149938.06</v>
      </c>
      <c r="R61" s="150"/>
      <c r="S61" s="150"/>
      <c r="T61" s="150"/>
      <c r="U61" s="150"/>
      <c r="V61" s="153"/>
    </row>
    <row r="62" spans="1:26" hidden="1" x14ac:dyDescent="0.2">
      <c r="L62"/>
      <c r="P62" t="s">
        <v>694</v>
      </c>
      <c r="Q62" s="161">
        <f>+Q60-Q61</f>
        <v>0</v>
      </c>
    </row>
    <row r="63" spans="1:26" x14ac:dyDescent="0.2">
      <c r="A63" s="234" t="s">
        <v>424</v>
      </c>
      <c r="B63" s="20"/>
    </row>
    <row r="64" spans="1:26" x14ac:dyDescent="0.2">
      <c r="A64" s="235" t="str">
        <f>ReportMonth</f>
        <v>MAY 2004</v>
      </c>
      <c r="B64" s="20"/>
    </row>
    <row r="65" spans="1:22" x14ac:dyDescent="0.2">
      <c r="A65" s="236" t="s">
        <v>108</v>
      </c>
      <c r="B65" s="20"/>
    </row>
    <row r="66" spans="1:22" x14ac:dyDescent="0.2">
      <c r="H66" s="302" t="s">
        <v>82</v>
      </c>
    </row>
    <row r="67" spans="1:22" x14ac:dyDescent="0.2">
      <c r="A67" s="402" t="s">
        <v>420</v>
      </c>
      <c r="B67" s="402"/>
      <c r="C67" s="402"/>
      <c r="D67" s="402"/>
      <c r="E67" s="402"/>
      <c r="F67" s="402"/>
      <c r="G67" s="402"/>
      <c r="H67" s="403" t="s">
        <v>655</v>
      </c>
      <c r="I67" s="403"/>
    </row>
    <row r="68" spans="1:22" x14ac:dyDescent="0.2">
      <c r="A68" s="233"/>
      <c r="B68" s="233"/>
      <c r="C68" s="233"/>
      <c r="D68" s="233"/>
      <c r="E68" s="233"/>
      <c r="F68" s="233"/>
      <c r="G68" s="233"/>
      <c r="H68" s="403"/>
      <c r="I68" s="403"/>
    </row>
    <row r="69" spans="1:22" x14ac:dyDescent="0.2">
      <c r="A69" s="233"/>
      <c r="B69" s="233"/>
      <c r="C69" s="233"/>
      <c r="D69" s="233"/>
      <c r="E69" s="233"/>
      <c r="F69" s="233"/>
      <c r="G69" s="233"/>
      <c r="H69" s="283"/>
    </row>
    <row r="70" spans="1:22" ht="41.25" customHeight="1" thickBot="1" x14ac:dyDescent="0.25">
      <c r="A70" s="144" t="s">
        <v>367</v>
      </c>
      <c r="B70" s="144" t="s">
        <v>368</v>
      </c>
      <c r="C70" s="215" t="s">
        <v>422</v>
      </c>
      <c r="D70" s="144" t="s">
        <v>421</v>
      </c>
      <c r="E70" s="189" t="s">
        <v>370</v>
      </c>
      <c r="F70" s="190" t="s">
        <v>371</v>
      </c>
      <c r="G70" s="145" t="s">
        <v>12</v>
      </c>
      <c r="H70" s="303" t="s">
        <v>656</v>
      </c>
      <c r="I70" s="304" t="s">
        <v>657</v>
      </c>
      <c r="J70" s="88"/>
      <c r="L70" s="88"/>
    </row>
    <row r="71" spans="1:22" ht="13.5" thickBot="1" x14ac:dyDescent="0.25">
      <c r="A71" t="s">
        <v>21</v>
      </c>
      <c r="C71" s="161">
        <f>D71+E71</f>
        <v>37160.67</v>
      </c>
      <c r="D71" s="161">
        <f>H4</f>
        <v>261.10000000000002</v>
      </c>
      <c r="E71" s="231">
        <f>IF($C$4&gt;$C$2,V25,I4)</f>
        <v>36899.57</v>
      </c>
      <c r="F71" s="185">
        <v>1</v>
      </c>
      <c r="G71" s="186">
        <f>$E$71*F71</f>
        <v>36899.57</v>
      </c>
      <c r="H71" s="305">
        <f>+NETCAG1</f>
        <v>30668.77</v>
      </c>
      <c r="I71" s="306">
        <v>1</v>
      </c>
      <c r="L71"/>
    </row>
    <row r="72" spans="1:22" ht="13.5" thickTop="1" x14ac:dyDescent="0.2">
      <c r="A72" t="s">
        <v>22</v>
      </c>
      <c r="C72" s="161">
        <f>D72+E72</f>
        <v>54442.51</v>
      </c>
      <c r="D72" s="161">
        <f>H5</f>
        <v>211.37</v>
      </c>
      <c r="E72" s="231">
        <f>IF($C$4&gt;$C$2,V26,I5)</f>
        <v>54231.14</v>
      </c>
      <c r="F72" s="146">
        <v>0.87431999999999999</v>
      </c>
      <c r="G72" s="150">
        <f>$E$72*F72+V74</f>
        <v>47415.37</v>
      </c>
      <c r="H72" s="283">
        <f>+NETCHG1*I72</f>
        <v>2381.2399999999998</v>
      </c>
      <c r="I72" s="297">
        <v>0.67439099999999996</v>
      </c>
      <c r="L72"/>
      <c r="T72" s="150">
        <f>$E$72*F72</f>
        <v>47415.37</v>
      </c>
    </row>
    <row r="73" spans="1:22" x14ac:dyDescent="0.2">
      <c r="A73" s="88"/>
      <c r="B73" s="88" t="s">
        <v>372</v>
      </c>
      <c r="C73" s="88"/>
      <c r="D73" s="88"/>
      <c r="E73" s="231"/>
      <c r="F73" s="183">
        <v>0.12567999999999999</v>
      </c>
      <c r="G73" s="150">
        <f>$E$72*F73</f>
        <v>6815.77</v>
      </c>
      <c r="H73" s="283">
        <f>+NETCHG1*I73</f>
        <v>1149.71</v>
      </c>
      <c r="I73" s="297">
        <v>0.32560899999999998</v>
      </c>
      <c r="J73" s="88"/>
      <c r="K73" s="88"/>
      <c r="L73" s="88"/>
      <c r="T73" s="150">
        <f>$E$72*F73</f>
        <v>6815.77</v>
      </c>
    </row>
    <row r="74" spans="1:22" ht="13.5" thickBot="1" x14ac:dyDescent="0.25">
      <c r="E74" s="231"/>
      <c r="F74" s="184">
        <f>SUM(F72:F73)</f>
        <v>1</v>
      </c>
      <c r="G74" s="164">
        <f>SUM(G72:G73)</f>
        <v>54231.14</v>
      </c>
      <c r="H74" s="307">
        <f>SUM(H72:H73)</f>
        <v>3530.95</v>
      </c>
      <c r="I74" s="184">
        <f>SUM(I72:I73)</f>
        <v>1</v>
      </c>
      <c r="L74"/>
      <c r="T74" s="191">
        <f>SUM(T72:T73)</f>
        <v>54231.14</v>
      </c>
      <c r="U74" s="191">
        <f>E72</f>
        <v>54231.14</v>
      </c>
      <c r="V74" s="191">
        <f>U74-T74</f>
        <v>0</v>
      </c>
    </row>
    <row r="75" spans="1:22" ht="13.5" thickTop="1" x14ac:dyDescent="0.2">
      <c r="A75" t="s">
        <v>23</v>
      </c>
      <c r="C75" s="161">
        <f>D75+E75</f>
        <v>980529.71</v>
      </c>
      <c r="D75" s="161">
        <f>H6</f>
        <v>6825.96</v>
      </c>
      <c r="E75" s="231">
        <f>IF($C$4&gt;$C$2,V28,I6)</f>
        <v>973703.75</v>
      </c>
      <c r="F75" s="143">
        <v>0.61951999999999996</v>
      </c>
      <c r="G75" s="150">
        <f>$E$75*F75+V81</f>
        <v>603228.94999999995</v>
      </c>
      <c r="H75" s="283">
        <f t="shared" ref="H75:H80" si="5">+NETCLG1*I75</f>
        <v>263382.03000000003</v>
      </c>
      <c r="I75" s="297">
        <v>0.426873</v>
      </c>
      <c r="S75" s="161"/>
      <c r="T75" s="161">
        <f t="shared" ref="T75:T80" si="6">$E$75*F75</f>
        <v>603228.94999999995</v>
      </c>
    </row>
    <row r="76" spans="1:22" x14ac:dyDescent="0.2">
      <c r="B76" t="s">
        <v>373</v>
      </c>
      <c r="E76" s="222"/>
      <c r="F76" s="143">
        <v>1.3520000000000001E-2</v>
      </c>
      <c r="G76" s="150">
        <f>$E$75*F76</f>
        <v>13164.47</v>
      </c>
      <c r="H76" s="283">
        <f t="shared" si="5"/>
        <v>5909.66</v>
      </c>
      <c r="I76" s="297">
        <v>9.5779999999999997E-3</v>
      </c>
      <c r="S76" s="161"/>
      <c r="T76" s="161">
        <f t="shared" si="6"/>
        <v>13164.47</v>
      </c>
    </row>
    <row r="77" spans="1:22" x14ac:dyDescent="0.2">
      <c r="B77" t="s">
        <v>374</v>
      </c>
      <c r="E77" s="222"/>
      <c r="F77" s="143">
        <v>8.8929999999999995E-2</v>
      </c>
      <c r="G77" s="150">
        <f>$E$75*F77</f>
        <v>86591.47</v>
      </c>
      <c r="H77" s="283">
        <f t="shared" si="5"/>
        <v>83407.73</v>
      </c>
      <c r="I77" s="297">
        <v>0.135182</v>
      </c>
      <c r="S77" s="161"/>
      <c r="T77" s="161">
        <f t="shared" si="6"/>
        <v>86591.47</v>
      </c>
    </row>
    <row r="78" spans="1:22" x14ac:dyDescent="0.2">
      <c r="B78" t="s">
        <v>375</v>
      </c>
      <c r="E78" s="222"/>
      <c r="F78" s="143">
        <v>0.21024000000000001</v>
      </c>
      <c r="G78" s="150">
        <f>$E$75*F78</f>
        <v>204711.48</v>
      </c>
      <c r="H78" s="283">
        <f t="shared" si="5"/>
        <v>204906.17</v>
      </c>
      <c r="I78" s="297">
        <v>0.33209899999999998</v>
      </c>
      <c r="S78" s="161"/>
      <c r="T78" s="161">
        <f t="shared" si="6"/>
        <v>204711.48</v>
      </c>
    </row>
    <row r="79" spans="1:22" x14ac:dyDescent="0.2">
      <c r="B79" t="s">
        <v>376</v>
      </c>
      <c r="E79" s="222"/>
      <c r="F79" s="143">
        <v>5.6100000000000004E-3</v>
      </c>
      <c r="G79" s="150">
        <f>$E$75*F79</f>
        <v>5462.48</v>
      </c>
      <c r="H79" s="283">
        <f t="shared" si="5"/>
        <v>5261.8</v>
      </c>
      <c r="I79" s="297">
        <v>8.5280000000000009E-3</v>
      </c>
      <c r="S79" s="161"/>
      <c r="T79" s="161">
        <f t="shared" si="6"/>
        <v>5462.48</v>
      </c>
    </row>
    <row r="80" spans="1:22" x14ac:dyDescent="0.2">
      <c r="B80" t="s">
        <v>377</v>
      </c>
      <c r="E80" s="222"/>
      <c r="F80" s="143">
        <v>6.2179999999999999E-2</v>
      </c>
      <c r="G80" s="150">
        <f>$E$75*F80</f>
        <v>60544.9</v>
      </c>
      <c r="H80" s="283">
        <f t="shared" si="5"/>
        <v>54135.87</v>
      </c>
      <c r="I80" s="297">
        <v>8.7739999999999999E-2</v>
      </c>
      <c r="S80" s="161"/>
      <c r="T80" s="161">
        <f t="shared" si="6"/>
        <v>60544.9</v>
      </c>
    </row>
    <row r="81" spans="1:22" ht="13.5" thickBot="1" x14ac:dyDescent="0.25">
      <c r="E81" s="222"/>
      <c r="F81" s="184">
        <f>SUM(F75:F80)</f>
        <v>1</v>
      </c>
      <c r="G81" s="164">
        <f>SUM(G75:G80)</f>
        <v>973703.75</v>
      </c>
      <c r="H81" s="307">
        <f>SUM(H75:H80)</f>
        <v>617003.26</v>
      </c>
      <c r="I81" s="184">
        <f>SUM(I75:I80)</f>
        <v>1</v>
      </c>
      <c r="S81" s="161"/>
      <c r="T81" s="191">
        <f>SUM(T75:T80)</f>
        <v>973703.75</v>
      </c>
      <c r="U81" s="164">
        <f>E75</f>
        <v>973703.75</v>
      </c>
      <c r="V81" s="164">
        <f>U81-T81</f>
        <v>0</v>
      </c>
    </row>
    <row r="82" spans="1:22" ht="14.25" thickTop="1" thickBot="1" x14ac:dyDescent="0.25">
      <c r="A82" t="s">
        <v>24</v>
      </c>
      <c r="C82" s="161">
        <f>D82+E82</f>
        <v>32529.3</v>
      </c>
      <c r="D82" s="161">
        <f>H7</f>
        <v>211.37</v>
      </c>
      <c r="E82" s="231">
        <f>IF($C$4&gt;$C$2,V34,I7)</f>
        <v>32317.93</v>
      </c>
      <c r="F82" s="187">
        <v>1</v>
      </c>
      <c r="G82" s="232">
        <f>$E$82*F82</f>
        <v>32317.93</v>
      </c>
      <c r="H82" s="305">
        <f>+NETDOG1</f>
        <v>20932.689999999999</v>
      </c>
      <c r="I82" s="187">
        <v>1</v>
      </c>
      <c r="L82"/>
    </row>
    <row r="83" spans="1:22" ht="13.5" thickTop="1" x14ac:dyDescent="0.2">
      <c r="A83" t="s">
        <v>25</v>
      </c>
      <c r="C83" s="161">
        <f>D83+E83</f>
        <v>128254.81</v>
      </c>
      <c r="D83" s="161">
        <f>H8</f>
        <v>410.3</v>
      </c>
      <c r="E83" s="231">
        <f>IF($C$4&gt;$C$2,V35,I8)-0.01</f>
        <v>127844.51</v>
      </c>
      <c r="F83" s="143">
        <v>0.77627999999999997</v>
      </c>
      <c r="G83" s="150">
        <f>$E$83*F83+V88</f>
        <v>99243.14</v>
      </c>
      <c r="H83" s="283">
        <f>+NETELG1*I83</f>
        <v>11190.79</v>
      </c>
      <c r="I83" s="297">
        <v>0.467248</v>
      </c>
      <c r="L83"/>
      <c r="T83" s="161">
        <f>$E$83*F83</f>
        <v>99243.14</v>
      </c>
    </row>
    <row r="84" spans="1:22" x14ac:dyDescent="0.2">
      <c r="B84" t="s">
        <v>378</v>
      </c>
      <c r="E84" s="222"/>
      <c r="F84" s="143">
        <v>1.7930000000000001E-2</v>
      </c>
      <c r="G84" s="150">
        <f>$E$83*F84</f>
        <v>2292.25</v>
      </c>
      <c r="H84" s="283">
        <f>+NETELG1*I84</f>
        <v>1066.46</v>
      </c>
      <c r="I84" s="297">
        <v>4.4527999999999998E-2</v>
      </c>
      <c r="L84"/>
      <c r="T84" s="161">
        <f>$E$83*F84</f>
        <v>2292.25</v>
      </c>
    </row>
    <row r="85" spans="1:22" x14ac:dyDescent="0.2">
      <c r="B85" t="s">
        <v>135</v>
      </c>
      <c r="E85" s="222"/>
      <c r="F85" s="143">
        <v>0.15975</v>
      </c>
      <c r="G85" s="150">
        <f>$E$83*F85</f>
        <v>20423.16</v>
      </c>
      <c r="H85" s="283">
        <f>+NETELG1*I85</f>
        <v>8582.18</v>
      </c>
      <c r="I85" s="297">
        <v>0.35833100000000001</v>
      </c>
      <c r="L85"/>
      <c r="T85" s="161">
        <f>$E$83*F85</f>
        <v>20423.16</v>
      </c>
    </row>
    <row r="86" spans="1:22" x14ac:dyDescent="0.2">
      <c r="B86" t="s">
        <v>379</v>
      </c>
      <c r="E86" s="222"/>
      <c r="F86" s="143">
        <v>1.5049999999999999E-2</v>
      </c>
      <c r="G86" s="150">
        <f>$E$83*F86</f>
        <v>1924.06</v>
      </c>
      <c r="H86" s="283">
        <f>+NETELG1*I86</f>
        <v>714.25</v>
      </c>
      <c r="I86" s="297">
        <v>2.9822000000000001E-2</v>
      </c>
      <c r="L86"/>
      <c r="T86" s="161">
        <f>$E$83*F86</f>
        <v>1924.06</v>
      </c>
    </row>
    <row r="87" spans="1:22" x14ac:dyDescent="0.2">
      <c r="B87" t="s">
        <v>380</v>
      </c>
      <c r="E87" s="222"/>
      <c r="F87" s="143">
        <v>3.099E-2</v>
      </c>
      <c r="G87" s="150">
        <f>$E$83*F87</f>
        <v>3961.9</v>
      </c>
      <c r="H87" s="283">
        <f>+NETELG1*I87</f>
        <v>2396.7399999999998</v>
      </c>
      <c r="I87" s="297">
        <v>0.10007099999999999</v>
      </c>
      <c r="L87"/>
      <c r="T87" s="161">
        <f>$E$83*F87</f>
        <v>3961.9</v>
      </c>
    </row>
    <row r="88" spans="1:22" ht="13.5" thickBot="1" x14ac:dyDescent="0.25">
      <c r="E88" s="222"/>
      <c r="F88" s="184">
        <f>SUM(F83:F87)</f>
        <v>1</v>
      </c>
      <c r="G88" s="164">
        <f>SUM(G83:G87)</f>
        <v>127844.51</v>
      </c>
      <c r="H88" s="307">
        <f>SUM(H83:H87)</f>
        <v>23950.42</v>
      </c>
      <c r="I88" s="184">
        <f>SUM(I83:I87)</f>
        <v>1</v>
      </c>
      <c r="L88"/>
      <c r="T88" s="191">
        <f>SUM(T82:T87)</f>
        <v>127844.51</v>
      </c>
      <c r="U88" s="164">
        <f>E83</f>
        <v>127844.51</v>
      </c>
      <c r="V88" s="164">
        <f>U88-T88</f>
        <v>0</v>
      </c>
    </row>
    <row r="89" spans="1:22" ht="14.25" thickTop="1" thickBot="1" x14ac:dyDescent="0.25">
      <c r="A89" t="s">
        <v>26</v>
      </c>
      <c r="C89" s="161">
        <f>D89+E89</f>
        <v>29858.07</v>
      </c>
      <c r="D89" s="161">
        <f>H9</f>
        <v>99.47</v>
      </c>
      <c r="E89" s="231">
        <f>IF($C$4&gt;$C$2,V40,I9)</f>
        <v>29758.6</v>
      </c>
      <c r="F89" s="187">
        <v>1</v>
      </c>
      <c r="G89" s="232">
        <f>$E$89*F89</f>
        <v>29758.6</v>
      </c>
      <c r="H89" s="305">
        <f>+NETESG1</f>
        <v>205.36</v>
      </c>
      <c r="I89" s="311">
        <v>1</v>
      </c>
      <c r="L89"/>
    </row>
    <row r="90" spans="1:22" ht="14.25" thickTop="1" thickBot="1" x14ac:dyDescent="0.25">
      <c r="A90" t="s">
        <v>27</v>
      </c>
      <c r="C90" s="161">
        <f>D90+E90</f>
        <v>38180.300000000003</v>
      </c>
      <c r="D90" s="161">
        <f>H10</f>
        <v>198.93</v>
      </c>
      <c r="E90" s="231">
        <f>IF($C$4&gt;$C$2,V41,I10)</f>
        <v>37981.370000000003</v>
      </c>
      <c r="F90" s="187">
        <v>1</v>
      </c>
      <c r="G90" s="232">
        <f>$E$90*F90</f>
        <v>37981.370000000003</v>
      </c>
      <c r="H90" s="305">
        <f>+NETEUG1</f>
        <v>865.77</v>
      </c>
      <c r="I90" s="184">
        <v>1</v>
      </c>
      <c r="L90"/>
    </row>
    <row r="91" spans="1:22" ht="13.5" thickTop="1" x14ac:dyDescent="0.2">
      <c r="A91" t="s">
        <v>28</v>
      </c>
      <c r="C91" s="161">
        <f>D91+E91</f>
        <v>77006.97</v>
      </c>
      <c r="D91" s="161">
        <f>H11</f>
        <v>261.10000000000002</v>
      </c>
      <c r="E91" s="231">
        <f>IF($C$4&gt;$C$2,V42,I11)</f>
        <v>76745.87</v>
      </c>
      <c r="F91" s="146">
        <v>0.84313000000000005</v>
      </c>
      <c r="G91" s="150">
        <f>$E$91*F91+V93</f>
        <v>64706.75</v>
      </c>
      <c r="H91" s="283">
        <f>+NETHUG1*I91</f>
        <v>5796.3</v>
      </c>
      <c r="I91" s="297">
        <v>0.55641399999999996</v>
      </c>
      <c r="L91"/>
      <c r="T91" s="161">
        <f>$E$91*F91</f>
        <v>64706.75</v>
      </c>
    </row>
    <row r="92" spans="1:22" x14ac:dyDescent="0.2">
      <c r="B92" t="s">
        <v>381</v>
      </c>
      <c r="E92" s="222"/>
      <c r="F92" s="188">
        <v>0.15687000000000001</v>
      </c>
      <c r="G92" s="150">
        <f>$E$91*F92</f>
        <v>12039.12</v>
      </c>
      <c r="H92" s="283">
        <f>+NETHUG1*I92</f>
        <v>4620.95</v>
      </c>
      <c r="I92" s="297">
        <v>0.44358599999999998</v>
      </c>
      <c r="L92"/>
      <c r="T92" s="161">
        <f>$E$91*F92</f>
        <v>12039.12</v>
      </c>
    </row>
    <row r="93" spans="1:22" ht="13.5" thickBot="1" x14ac:dyDescent="0.25">
      <c r="E93" s="222"/>
      <c r="F93" s="184">
        <f>SUM(F91:F92)</f>
        <v>1</v>
      </c>
      <c r="G93" s="164">
        <f>SUM(G91:G92)</f>
        <v>76745.87</v>
      </c>
      <c r="H93" s="307">
        <f>SUM(H91:H92)</f>
        <v>10417.25</v>
      </c>
      <c r="I93" s="184">
        <f>SUM(I91:I92)</f>
        <v>1</v>
      </c>
      <c r="L93"/>
      <c r="T93" s="191">
        <f>SUM(T91:T92)</f>
        <v>76745.87</v>
      </c>
      <c r="U93" s="164">
        <f>E91</f>
        <v>76745.87</v>
      </c>
      <c r="V93" s="164">
        <f>U93-T93</f>
        <v>0</v>
      </c>
    </row>
    <row r="94" spans="1:22" ht="14.25" thickTop="1" thickBot="1" x14ac:dyDescent="0.25">
      <c r="A94" t="s">
        <v>29</v>
      </c>
      <c r="C94" s="161">
        <f>D94+E94</f>
        <v>48802.18</v>
      </c>
      <c r="D94" s="161">
        <f>H12</f>
        <v>248.67</v>
      </c>
      <c r="E94" s="231">
        <f>IF($C$4&gt;$C$2,V44,I12)</f>
        <v>48553.51</v>
      </c>
      <c r="F94" s="187">
        <v>1</v>
      </c>
      <c r="G94" s="232">
        <f>$E$94*F94</f>
        <v>48553.51</v>
      </c>
      <c r="H94" s="308">
        <f>+NETLAG1</f>
        <v>3586.16</v>
      </c>
      <c r="I94" s="184">
        <v>1</v>
      </c>
      <c r="L94"/>
    </row>
    <row r="95" spans="1:22" ht="13.5" thickTop="1" x14ac:dyDescent="0.2">
      <c r="A95" t="s">
        <v>30</v>
      </c>
      <c r="C95" s="161">
        <f>D95+E95</f>
        <v>84974.95</v>
      </c>
      <c r="D95" s="161">
        <f>H13</f>
        <v>397.87</v>
      </c>
      <c r="E95" s="231">
        <f>IF($C$4&gt;$C$2,V45,I13)</f>
        <v>84577.08</v>
      </c>
      <c r="F95" s="143">
        <v>0.92620999999999998</v>
      </c>
      <c r="G95" s="150">
        <f>$E$95*F95+V97</f>
        <v>78309.919999999998</v>
      </c>
      <c r="H95" s="283">
        <f>+NETLIG1*I95</f>
        <v>1240.25</v>
      </c>
      <c r="I95" s="297">
        <v>0.72724900000000003</v>
      </c>
      <c r="L95"/>
      <c r="T95" s="161">
        <f>$E$95*F95</f>
        <v>78336.14</v>
      </c>
    </row>
    <row r="96" spans="1:22" x14ac:dyDescent="0.2">
      <c r="B96" t="s">
        <v>383</v>
      </c>
      <c r="E96" s="222"/>
      <c r="F96" s="143">
        <v>7.4099999999999999E-2</v>
      </c>
      <c r="G96" s="150">
        <f>$E$95*F96</f>
        <v>6267.16</v>
      </c>
      <c r="H96" s="283">
        <f>+NETLIG1*I96</f>
        <v>465.15</v>
      </c>
      <c r="I96" s="297">
        <v>0.27275100000000002</v>
      </c>
      <c r="L96"/>
      <c r="T96" s="161">
        <f>$E$95*F96</f>
        <v>6267.16</v>
      </c>
    </row>
    <row r="97" spans="1:22" ht="13.5" thickBot="1" x14ac:dyDescent="0.25">
      <c r="E97" s="222"/>
      <c r="F97" s="184">
        <f>SUM(F95:F96)</f>
        <v>1.00031</v>
      </c>
      <c r="G97" s="164">
        <f>SUM(G95:G96)</f>
        <v>84577.08</v>
      </c>
      <c r="H97" s="307">
        <f>SUM(H95:H96)</f>
        <v>1705.4</v>
      </c>
      <c r="I97" s="184">
        <f>SUM(I95:I96)</f>
        <v>1</v>
      </c>
      <c r="L97"/>
      <c r="T97" s="191">
        <f>SUM(T95:T96)</f>
        <v>84603.3</v>
      </c>
      <c r="U97" s="164">
        <f>E95</f>
        <v>84577.08</v>
      </c>
      <c r="V97" s="164">
        <f>U97-T97</f>
        <v>-26.22</v>
      </c>
    </row>
    <row r="98" spans="1:22" ht="13.5" thickTop="1" x14ac:dyDescent="0.2">
      <c r="A98" t="s">
        <v>31</v>
      </c>
      <c r="C98" s="161">
        <f>D98+E98</f>
        <v>40365.040000000001</v>
      </c>
      <c r="D98" s="161">
        <f>H14</f>
        <v>261.10000000000002</v>
      </c>
      <c r="E98" s="231">
        <f>IF($C$4&gt;$C$2,V47,I14)</f>
        <v>40103.94</v>
      </c>
      <c r="F98" s="143">
        <v>0.83233000000000001</v>
      </c>
      <c r="G98" s="150">
        <f>$E$98*F98+V101</f>
        <v>33379.71</v>
      </c>
      <c r="H98" s="283">
        <f>+NETLYG1*I98</f>
        <v>10699.3</v>
      </c>
      <c r="I98" s="297">
        <v>0.65703900000000004</v>
      </c>
      <c r="L98"/>
      <c r="T98" s="161">
        <f>$E$98*F98+0.01</f>
        <v>33379.72</v>
      </c>
    </row>
    <row r="99" spans="1:22" x14ac:dyDescent="0.2">
      <c r="B99" t="s">
        <v>385</v>
      </c>
      <c r="E99" s="146" t="s">
        <v>82</v>
      </c>
      <c r="F99" s="183">
        <v>0.13405</v>
      </c>
      <c r="G99" s="150">
        <f>$E$98*F99</f>
        <v>5375.93</v>
      </c>
      <c r="H99" s="283">
        <f>+NETLYG1*I99</f>
        <v>4384.21</v>
      </c>
      <c r="I99" s="297">
        <v>0.26923200000000003</v>
      </c>
      <c r="L99"/>
      <c r="T99" s="161">
        <f>$E$98*F99</f>
        <v>5375.93</v>
      </c>
    </row>
    <row r="100" spans="1:22" x14ac:dyDescent="0.2">
      <c r="B100" t="s">
        <v>384</v>
      </c>
      <c r="E100" s="222"/>
      <c r="F100" s="143">
        <v>3.3619999999999997E-2</v>
      </c>
      <c r="G100" s="150">
        <f>$E$98*F100</f>
        <v>1348.29</v>
      </c>
      <c r="H100" s="283">
        <f>+NETLYG1*I100</f>
        <v>1200.6099999999999</v>
      </c>
      <c r="I100" s="297">
        <v>7.3729000000000003E-2</v>
      </c>
      <c r="L100"/>
      <c r="T100" s="161">
        <f>$E$98*F100</f>
        <v>1348.29</v>
      </c>
    </row>
    <row r="101" spans="1:22" ht="13.5" thickBot="1" x14ac:dyDescent="0.25">
      <c r="E101" s="222"/>
      <c r="F101" s="184">
        <v>1</v>
      </c>
      <c r="G101" s="164">
        <f>SUM(G98:G100)</f>
        <v>40103.93</v>
      </c>
      <c r="H101" s="307">
        <f>SUM(H98:H100)</f>
        <v>16284.12</v>
      </c>
      <c r="I101" s="184">
        <f>SUM(I98:I100)</f>
        <v>1</v>
      </c>
      <c r="L101"/>
      <c r="T101" s="191">
        <f>SUM(T98:T100)</f>
        <v>40103.94</v>
      </c>
      <c r="U101" s="164">
        <f>E98</f>
        <v>40103.94</v>
      </c>
      <c r="V101" s="164">
        <f>U101-T101</f>
        <v>0</v>
      </c>
    </row>
    <row r="102" spans="1:22" ht="14.25" thickTop="1" thickBot="1" x14ac:dyDescent="0.25">
      <c r="A102" t="s">
        <v>32</v>
      </c>
      <c r="C102" s="161">
        <f>D102+E102</f>
        <v>27496.27</v>
      </c>
      <c r="D102" s="161">
        <f>H15</f>
        <v>87.03</v>
      </c>
      <c r="E102" s="231">
        <f>IF($C$4&gt;$C$2,V50,I15)</f>
        <v>27409.24</v>
      </c>
      <c r="F102" s="187">
        <v>1</v>
      </c>
      <c r="G102" s="232">
        <f>E102*F102</f>
        <v>27409.24</v>
      </c>
      <c r="H102" s="309">
        <f>+NETMIG1</f>
        <v>3006.27</v>
      </c>
      <c r="I102" s="184">
        <v>1</v>
      </c>
      <c r="L102"/>
    </row>
    <row r="103" spans="1:22" ht="14.25" thickTop="1" thickBot="1" x14ac:dyDescent="0.25">
      <c r="A103" t="s">
        <v>33</v>
      </c>
      <c r="C103" s="161">
        <f>D103+E103</f>
        <v>133090.32</v>
      </c>
      <c r="D103" s="161">
        <f>H16</f>
        <v>547.07000000000005</v>
      </c>
      <c r="E103" s="231">
        <f>IF($C$4&gt;$C$2,V51,I16)</f>
        <v>132543.25</v>
      </c>
      <c r="F103" s="187">
        <v>1</v>
      </c>
      <c r="G103" s="232">
        <f>E103*F103</f>
        <v>132543.25</v>
      </c>
      <c r="H103" s="305">
        <f>+NETNYG1</f>
        <v>18533.32</v>
      </c>
      <c r="I103" s="184">
        <v>1</v>
      </c>
      <c r="L103"/>
    </row>
    <row r="104" spans="1:22" ht="13.5" thickTop="1" x14ac:dyDescent="0.2">
      <c r="A104" t="s">
        <v>34</v>
      </c>
      <c r="C104" s="161">
        <f>D104+E104</f>
        <v>61447</v>
      </c>
      <c r="D104" s="161">
        <f>H17</f>
        <v>410.3</v>
      </c>
      <c r="E104" s="231">
        <f>IF($C$4&gt;$C$2,V52,I17)</f>
        <v>61036.7</v>
      </c>
      <c r="F104" s="143">
        <v>0.90059999999999996</v>
      </c>
      <c r="G104" s="150">
        <f>E104*F104+V104</f>
        <v>54969.65</v>
      </c>
      <c r="H104" s="283">
        <f>+NETPEG1*I104</f>
        <v>1550.12</v>
      </c>
      <c r="I104" s="297">
        <v>0.67320199999999997</v>
      </c>
      <c r="L104"/>
      <c r="T104" s="161">
        <f>$E$104*F104</f>
        <v>54969.65</v>
      </c>
    </row>
    <row r="105" spans="1:22" x14ac:dyDescent="0.2">
      <c r="B105" t="s">
        <v>389</v>
      </c>
      <c r="E105" s="222"/>
      <c r="F105" s="143">
        <v>9.9400000000000002E-2</v>
      </c>
      <c r="G105" s="150">
        <f>E104*F105</f>
        <v>6067.05</v>
      </c>
      <c r="H105" s="283">
        <f>+NETPEG1*I105</f>
        <v>752.49</v>
      </c>
      <c r="I105" s="297">
        <v>0.32679799999999998</v>
      </c>
      <c r="L105"/>
      <c r="T105" s="161">
        <f>$E$104*F105</f>
        <v>6067.05</v>
      </c>
    </row>
    <row r="106" spans="1:22" ht="13.5" thickBot="1" x14ac:dyDescent="0.25">
      <c r="E106" s="222"/>
      <c r="F106" s="184">
        <f>SUM(F104:F105)</f>
        <v>1</v>
      </c>
      <c r="G106" s="164">
        <f>SUM(G104:G105)</f>
        <v>61036.7</v>
      </c>
      <c r="H106" s="307">
        <f>SUM(H104:H105)</f>
        <v>2302.61</v>
      </c>
      <c r="I106" s="184">
        <f>SUM(I104:I105)</f>
        <v>1</v>
      </c>
      <c r="L106"/>
      <c r="T106" s="191">
        <f>SUM(T104:T105)</f>
        <v>61036.7</v>
      </c>
      <c r="U106" s="164">
        <f>E104</f>
        <v>61036.7</v>
      </c>
      <c r="V106" s="164">
        <f>U106-T106</f>
        <v>0</v>
      </c>
    </row>
    <row r="107" spans="1:22" ht="14.25" thickTop="1" thickBot="1" x14ac:dyDescent="0.25">
      <c r="A107" t="s">
        <v>35</v>
      </c>
      <c r="C107" s="161">
        <f>D107+E107</f>
        <v>4332.04</v>
      </c>
      <c r="D107" s="161">
        <f>H18</f>
        <v>24.87</v>
      </c>
      <c r="E107" s="231">
        <f>IF($C$4&gt;$C$2,V54,I18)</f>
        <v>4307.17</v>
      </c>
      <c r="F107" s="187">
        <v>1</v>
      </c>
      <c r="G107" s="232">
        <f>$E$107*F107</f>
        <v>4307.17</v>
      </c>
      <c r="H107" s="308">
        <f>+NETSTG1</f>
        <v>251.36</v>
      </c>
      <c r="I107" s="184">
        <v>1</v>
      </c>
      <c r="L107"/>
    </row>
    <row r="108" spans="1:22" ht="13.5" thickTop="1" x14ac:dyDescent="0.2">
      <c r="A108" t="s">
        <v>36</v>
      </c>
      <c r="C108" s="161">
        <f>D108+E108</f>
        <v>262543.53999999998</v>
      </c>
      <c r="D108" s="161">
        <f>H19</f>
        <v>1715.81</v>
      </c>
      <c r="E108" s="231">
        <f>IF($C$4&gt;$C$2,V55,I19)-0.01</f>
        <v>260827.73</v>
      </c>
      <c r="F108" s="143">
        <v>0.57206999999999997</v>
      </c>
      <c r="G108" s="150">
        <f>$E$108*F108+V111+0.01</f>
        <v>149211.73000000001</v>
      </c>
      <c r="H108" s="283">
        <f>+NETWAG1*I108</f>
        <v>41179.160000000003</v>
      </c>
      <c r="I108" s="297">
        <v>0.26802399999999998</v>
      </c>
      <c r="L108"/>
      <c r="T108" s="161">
        <f>$E$108*F108</f>
        <v>149211.72</v>
      </c>
    </row>
    <row r="109" spans="1:22" x14ac:dyDescent="0.2">
      <c r="B109" t="s">
        <v>390</v>
      </c>
      <c r="E109" s="222"/>
      <c r="F109" s="143">
        <v>0.30831999999999998</v>
      </c>
      <c r="G109" s="150">
        <f>$E$108*F109</f>
        <v>80418.41</v>
      </c>
      <c r="H109" s="283">
        <f>+NETWAG1*I109</f>
        <v>80292.03</v>
      </c>
      <c r="I109" s="297">
        <v>0.52259900000000004</v>
      </c>
      <c r="L109"/>
      <c r="T109" s="161">
        <f>$E$108*F109</f>
        <v>80418.41</v>
      </c>
    </row>
    <row r="110" spans="1:22" x14ac:dyDescent="0.2">
      <c r="B110" t="s">
        <v>391</v>
      </c>
      <c r="E110" s="222"/>
      <c r="F110" s="183">
        <v>0.11960999999999999</v>
      </c>
      <c r="G110" s="150">
        <f>$E$108*F110</f>
        <v>31197.599999999999</v>
      </c>
      <c r="H110" s="283">
        <f>+NETWAG1*I110</f>
        <v>32168.65</v>
      </c>
      <c r="I110" s="297">
        <v>0.20937700000000001</v>
      </c>
      <c r="L110"/>
      <c r="T110" s="161">
        <f>$E$108*F110</f>
        <v>31197.599999999999</v>
      </c>
    </row>
    <row r="111" spans="1:22" ht="13.5" thickBot="1" x14ac:dyDescent="0.25">
      <c r="E111" s="222"/>
      <c r="F111" s="184">
        <f>SUM(F108:F110)</f>
        <v>1</v>
      </c>
      <c r="G111" s="164">
        <f>SUM(G108:G110)</f>
        <v>260827.74</v>
      </c>
      <c r="H111" s="307">
        <f>SUM(H108:H110)</f>
        <v>153639.84</v>
      </c>
      <c r="I111" s="184">
        <f>SUM(I108:I110)</f>
        <v>1</v>
      </c>
      <c r="L111"/>
      <c r="T111" s="191">
        <f>SUM(T108:T110)</f>
        <v>260827.73</v>
      </c>
      <c r="U111" s="164">
        <f>E108</f>
        <v>260827.73</v>
      </c>
      <c r="V111" s="164">
        <f>U111-T111</f>
        <v>0</v>
      </c>
    </row>
    <row r="112" spans="1:22" ht="13.5" thickTop="1" x14ac:dyDescent="0.2">
      <c r="A112" t="s">
        <v>37</v>
      </c>
      <c r="C112" s="161">
        <f>D112+E112</f>
        <v>79160.55</v>
      </c>
      <c r="D112" s="161">
        <f>H20</f>
        <v>261.10000000000002</v>
      </c>
      <c r="E112" s="231">
        <f>IF($C$4&gt;$C$2,V58,I20)</f>
        <v>78899.45</v>
      </c>
      <c r="F112" s="143">
        <v>0.87383999999999995</v>
      </c>
      <c r="G112" s="150">
        <f>$E$112*F112+V114</f>
        <v>68945.5</v>
      </c>
      <c r="H112" s="283">
        <f>+NETWHG1*I112</f>
        <v>2665.98</v>
      </c>
      <c r="I112" s="297">
        <v>0.56154800000000005</v>
      </c>
      <c r="L112"/>
      <c r="T112" s="161">
        <f>$E$112*F112</f>
        <v>68945.5</v>
      </c>
    </row>
    <row r="113" spans="1:22" x14ac:dyDescent="0.2">
      <c r="B113" t="s">
        <v>392</v>
      </c>
      <c r="E113" s="222"/>
      <c r="F113" s="143">
        <v>0.12615999999999999</v>
      </c>
      <c r="G113" s="150">
        <f>$E$112*F113</f>
        <v>9953.9500000000007</v>
      </c>
      <c r="H113" s="283">
        <f>+NETWHG1*I113</f>
        <v>2081.58</v>
      </c>
      <c r="I113" s="297">
        <v>0.43845200000000001</v>
      </c>
      <c r="L113"/>
      <c r="T113" s="161">
        <f>$E$112*F113</f>
        <v>9953.9500000000007</v>
      </c>
    </row>
    <row r="114" spans="1:22" ht="13.5" thickBot="1" x14ac:dyDescent="0.25">
      <c r="E114" s="222"/>
      <c r="F114" s="184">
        <f>+F112+F113</f>
        <v>1</v>
      </c>
      <c r="I114" s="184">
        <f>SUM(I112:I113)</f>
        <v>1</v>
      </c>
      <c r="L114"/>
      <c r="T114" s="191">
        <f>SUM(T112:T113)</f>
        <v>78899.45</v>
      </c>
      <c r="U114" s="164">
        <f>E112</f>
        <v>78899.45</v>
      </c>
      <c r="V114" s="164">
        <f>U114-T114</f>
        <v>0</v>
      </c>
    </row>
    <row r="115" spans="1:22" ht="14.25" thickTop="1" thickBot="1" x14ac:dyDescent="0.25">
      <c r="A115" s="237" t="s">
        <v>245</v>
      </c>
      <c r="B115" s="237"/>
      <c r="C115" s="175">
        <f>SUM(C71:C114)</f>
        <v>2120174.23</v>
      </c>
      <c r="D115" s="175">
        <f>SUM(D71:D114)</f>
        <v>12433.42</v>
      </c>
      <c r="E115" s="175">
        <f>SUM(E71:E114)</f>
        <v>2107740.81</v>
      </c>
      <c r="F115" s="310" t="s">
        <v>82</v>
      </c>
      <c r="G115" s="164">
        <f>SUM(G112:G113)</f>
        <v>78899.45</v>
      </c>
      <c r="H115" s="307">
        <f>SUM(H112:H113)</f>
        <v>4747.5600000000004</v>
      </c>
      <c r="I115" s="310" t="s">
        <v>82</v>
      </c>
      <c r="L115"/>
    </row>
    <row r="116" spans="1:22" ht="13.5" hidden="1" thickTop="1" x14ac:dyDescent="0.2">
      <c r="C116" s="11">
        <f>'s3,s3b,s3d'!I9</f>
        <v>2120174.2400000002</v>
      </c>
      <c r="G116" s="161">
        <f>G115+G111+G107+G106+G103+G102+G101+G97+G94+G93+G90+G89+G88+G82+G81+G74+G71</f>
        <v>2107740.81</v>
      </c>
      <c r="H116" s="161">
        <f>H115+H111+H107+H106+H103+H102+H101+H97+H94+H93+H90+H89+H88+H82+H81+H74+H71</f>
        <v>911631.11</v>
      </c>
      <c r="L116"/>
    </row>
    <row r="117" spans="1:22" ht="13.5" thickTop="1" x14ac:dyDescent="0.2">
      <c r="H117" s="150"/>
      <c r="L117"/>
    </row>
    <row r="118" spans="1:22" x14ac:dyDescent="0.2">
      <c r="H118" s="150"/>
      <c r="L118"/>
    </row>
    <row r="119" spans="1:22" x14ac:dyDescent="0.2">
      <c r="H119" s="150"/>
      <c r="L119"/>
    </row>
    <row r="120" spans="1:22" x14ac:dyDescent="0.2">
      <c r="H120" s="150"/>
      <c r="L120"/>
    </row>
    <row r="121" spans="1:22" x14ac:dyDescent="0.2">
      <c r="H121" s="150"/>
      <c r="L121"/>
    </row>
    <row r="122" spans="1:22" x14ac:dyDescent="0.2">
      <c r="H122" s="150"/>
      <c r="L122"/>
    </row>
    <row r="123" spans="1:22" x14ac:dyDescent="0.2">
      <c r="H123" s="150"/>
      <c r="L123"/>
    </row>
    <row r="124" spans="1:22" x14ac:dyDescent="0.2">
      <c r="H124" s="150"/>
      <c r="L124"/>
    </row>
    <row r="125" spans="1:22" x14ac:dyDescent="0.2">
      <c r="H125" s="150"/>
      <c r="L125"/>
    </row>
    <row r="126" spans="1:22" x14ac:dyDescent="0.2">
      <c r="H126" s="150"/>
      <c r="L126"/>
    </row>
    <row r="127" spans="1:22" x14ac:dyDescent="0.2">
      <c r="H127" s="150"/>
      <c r="L127"/>
    </row>
    <row r="128" spans="1:22" x14ac:dyDescent="0.2">
      <c r="H128" s="150"/>
      <c r="L128"/>
    </row>
    <row r="129" spans="8:12" x14ac:dyDescent="0.2">
      <c r="H129" s="150"/>
      <c r="L129"/>
    </row>
    <row r="130" spans="8:12" x14ac:dyDescent="0.2">
      <c r="H130" s="150"/>
      <c r="L130"/>
    </row>
    <row r="131" spans="8:12" x14ac:dyDescent="0.2">
      <c r="L131"/>
    </row>
    <row r="132" spans="8:12" x14ac:dyDescent="0.2">
      <c r="L132"/>
    </row>
    <row r="133" spans="8:12" x14ac:dyDescent="0.2">
      <c r="L133"/>
    </row>
    <row r="134" spans="8:12" x14ac:dyDescent="0.2">
      <c r="L134"/>
    </row>
    <row r="135" spans="8:12" x14ac:dyDescent="0.2">
      <c r="L135"/>
    </row>
    <row r="136" spans="8:12" x14ac:dyDescent="0.2">
      <c r="L136"/>
    </row>
    <row r="137" spans="8:12" x14ac:dyDescent="0.2">
      <c r="L137"/>
    </row>
    <row r="138" spans="8:12" x14ac:dyDescent="0.2">
      <c r="L138"/>
    </row>
    <row r="139" spans="8:12" x14ac:dyDescent="0.2">
      <c r="L139"/>
    </row>
    <row r="140" spans="8:12" x14ac:dyDescent="0.2">
      <c r="L140"/>
    </row>
    <row r="141" spans="8:12" x14ac:dyDescent="0.2">
      <c r="L141"/>
    </row>
    <row r="142" spans="8:12" x14ac:dyDescent="0.2">
      <c r="L142"/>
    </row>
    <row r="143" spans="8:12" x14ac:dyDescent="0.2">
      <c r="L143"/>
    </row>
    <row r="144" spans="8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</sheetData>
  <mergeCells count="5">
    <mergeCell ref="N23:Q23"/>
    <mergeCell ref="A22:E22"/>
    <mergeCell ref="A23:B23"/>
    <mergeCell ref="A67:G67"/>
    <mergeCell ref="H67:I68"/>
  </mergeCells>
  <phoneticPr fontId="0" type="noConversion"/>
  <printOptions horizontalCentered="1" verticalCentered="1"/>
  <pageMargins left="0.75" right="0.33" top="0.25" bottom="0.25" header="0.5" footer="0.5"/>
  <pageSetup scale="80" fitToHeight="32" orientation="landscape" r:id="rId1"/>
  <headerFooter alignWithMargins="0"/>
  <rowBreaks count="1" manualBreakCount="1">
    <brk id="62" max="16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58"/>
  <sheetViews>
    <sheetView topLeftCell="A6" workbookViewId="0">
      <selection activeCell="D8" sqref="D8:D10"/>
    </sheetView>
  </sheetViews>
  <sheetFormatPr defaultRowHeight="12.75" x14ac:dyDescent="0.2"/>
  <cols>
    <col min="1" max="1" width="24.140625" customWidth="1"/>
    <col min="2" max="3" width="16.140625" customWidth="1"/>
    <col min="4" max="4" width="16.140625" style="295" customWidth="1"/>
    <col min="5" max="6" width="16.140625" customWidth="1"/>
    <col min="7" max="7" width="18.7109375" customWidth="1"/>
  </cols>
  <sheetData>
    <row r="1" spans="1:7" ht="15.75" x14ac:dyDescent="0.25">
      <c r="A1" s="63" t="s">
        <v>156</v>
      </c>
      <c r="B1" s="63"/>
      <c r="D1" s="292"/>
      <c r="E1" s="1"/>
      <c r="F1" s="1"/>
      <c r="G1" s="1"/>
    </row>
    <row r="2" spans="1:7" ht="15.75" x14ac:dyDescent="0.25">
      <c r="A2" s="115" t="str">
        <f>ReportMonth</f>
        <v>MAY 2004</v>
      </c>
      <c r="B2" s="63"/>
      <c r="C2" s="63"/>
      <c r="D2" s="292"/>
      <c r="E2" s="1"/>
      <c r="F2" s="1"/>
      <c r="G2" s="1"/>
    </row>
    <row r="3" spans="1:7" ht="15.75" x14ac:dyDescent="0.25">
      <c r="A3" s="66" t="s">
        <v>157</v>
      </c>
      <c r="B3" s="66"/>
      <c r="C3" s="66"/>
      <c r="D3" s="293"/>
      <c r="E3" s="42"/>
      <c r="F3" s="42"/>
      <c r="G3" s="42"/>
    </row>
    <row r="4" spans="1:7" ht="19.5" customHeight="1" x14ac:dyDescent="0.25">
      <c r="A4" s="64"/>
      <c r="B4" s="63"/>
      <c r="C4" s="63"/>
      <c r="D4" s="292"/>
      <c r="E4" s="1"/>
      <c r="F4" s="1"/>
      <c r="G4" s="1"/>
    </row>
    <row r="5" spans="1:7" ht="13.5" customHeight="1" x14ac:dyDescent="0.25">
      <c r="A5" s="64"/>
      <c r="B5" s="63"/>
      <c r="C5" s="63"/>
      <c r="D5" s="292"/>
      <c r="E5" s="1"/>
      <c r="F5" s="1"/>
      <c r="G5" s="1"/>
    </row>
    <row r="6" spans="1:7" x14ac:dyDescent="0.2">
      <c r="A6" s="1"/>
      <c r="B6" s="1"/>
      <c r="C6" s="118" t="s">
        <v>158</v>
      </c>
      <c r="D6" s="265" t="s">
        <v>115</v>
      </c>
      <c r="E6" s="118" t="s">
        <v>159</v>
      </c>
      <c r="F6" s="118" t="s">
        <v>115</v>
      </c>
      <c r="G6" s="1"/>
    </row>
    <row r="7" spans="1:7" x14ac:dyDescent="0.2">
      <c r="A7" s="1"/>
      <c r="B7" s="96" t="s">
        <v>160</v>
      </c>
      <c r="C7" s="96" t="s">
        <v>161</v>
      </c>
      <c r="D7" s="266" t="s">
        <v>162</v>
      </c>
      <c r="E7" s="96" t="s">
        <v>163</v>
      </c>
      <c r="F7" s="96" t="s">
        <v>164</v>
      </c>
      <c r="G7" s="96" t="s">
        <v>165</v>
      </c>
    </row>
    <row r="8" spans="1:7" ht="26.25" customHeight="1" x14ac:dyDescent="0.2">
      <c r="A8" s="1" t="s">
        <v>166</v>
      </c>
      <c r="B8" s="2">
        <f>ST12.65</f>
        <v>11606582.17</v>
      </c>
      <c r="C8" s="2">
        <v>142246.49</v>
      </c>
      <c r="D8" s="267">
        <v>66928.89</v>
      </c>
      <c r="E8" s="1"/>
      <c r="F8" s="1"/>
      <c r="G8" s="9">
        <f>B8-C8-D8-E8-F8</f>
        <v>11397406.789999999</v>
      </c>
    </row>
    <row r="9" spans="1:7" x14ac:dyDescent="0.2">
      <c r="A9" s="1" t="s">
        <v>167</v>
      </c>
      <c r="B9" s="2">
        <f>_ST5</f>
        <v>4584584.2300000004</v>
      </c>
      <c r="C9" s="2">
        <v>56210.23</v>
      </c>
      <c r="D9" s="267">
        <v>26454.15</v>
      </c>
      <c r="E9" s="1"/>
      <c r="F9" s="1"/>
      <c r="G9" s="9">
        <f>B9-C9-D9-E9-F9</f>
        <v>4501919.8499999996</v>
      </c>
    </row>
    <row r="10" spans="1:7" x14ac:dyDescent="0.2">
      <c r="A10" s="1" t="s">
        <v>168</v>
      </c>
      <c r="B10" s="2">
        <f>ST5.35</f>
        <v>4902699.91</v>
      </c>
      <c r="C10" s="2">
        <v>60110.720000000001</v>
      </c>
      <c r="D10" s="267">
        <v>28305.95</v>
      </c>
      <c r="E10" s="1"/>
      <c r="F10" s="2">
        <v>15805.83</v>
      </c>
      <c r="G10" s="9">
        <f t="shared" ref="G10:G52" si="0">B10-C10-D10-E10-F10</f>
        <v>4798477.41</v>
      </c>
    </row>
    <row r="11" spans="1:7" x14ac:dyDescent="0.2">
      <c r="A11" s="3" t="s">
        <v>336</v>
      </c>
      <c r="B11" s="2">
        <f>AVGAS10.5</f>
        <v>4284.99</v>
      </c>
      <c r="C11" s="2"/>
      <c r="D11" s="267"/>
      <c r="E11" s="2">
        <f>AVGAS10.5</f>
        <v>4284.99</v>
      </c>
      <c r="F11" s="1"/>
      <c r="G11" s="9">
        <f t="shared" si="0"/>
        <v>0</v>
      </c>
    </row>
    <row r="12" spans="1:7" x14ac:dyDescent="0.2">
      <c r="A12" s="3" t="s">
        <v>337</v>
      </c>
      <c r="B12" s="2">
        <f>AV_OPT</f>
        <v>3831.68</v>
      </c>
      <c r="C12" s="2"/>
      <c r="D12" s="267"/>
      <c r="E12" s="2"/>
      <c r="F12" s="1"/>
      <c r="G12" s="9">
        <f t="shared" si="0"/>
        <v>3831.68</v>
      </c>
    </row>
    <row r="13" spans="1:7" x14ac:dyDescent="0.2">
      <c r="A13" s="1" t="s">
        <v>169</v>
      </c>
      <c r="B13" s="2">
        <f>_JET1</f>
        <v>413722.43</v>
      </c>
      <c r="C13" s="2"/>
      <c r="D13" s="267"/>
      <c r="E13" s="1"/>
      <c r="F13" s="1"/>
      <c r="G13" s="9">
        <f t="shared" si="0"/>
        <v>413722.43</v>
      </c>
    </row>
    <row r="14" spans="1:7" x14ac:dyDescent="0.2">
      <c r="A14" s="1" t="s">
        <v>170</v>
      </c>
      <c r="B14" s="2">
        <f>_JET2</f>
        <v>778706.23</v>
      </c>
      <c r="C14" s="2"/>
      <c r="D14" s="267"/>
      <c r="E14" s="1"/>
      <c r="F14" s="1"/>
      <c r="G14" s="9">
        <f t="shared" si="0"/>
        <v>778706.23</v>
      </c>
    </row>
    <row r="15" spans="1:7" x14ac:dyDescent="0.2">
      <c r="A15" s="1" t="s">
        <v>171</v>
      </c>
      <c r="B15" s="2">
        <f>CAG</f>
        <v>276243.02</v>
      </c>
      <c r="C15" s="2"/>
      <c r="D15" s="267">
        <v>224.11</v>
      </c>
      <c r="E15" s="1"/>
      <c r="F15" s="2">
        <f>B15*0.005</f>
        <v>1381.22</v>
      </c>
      <c r="G15" s="9">
        <f t="shared" si="0"/>
        <v>274637.69</v>
      </c>
    </row>
    <row r="16" spans="1:7" x14ac:dyDescent="0.2">
      <c r="A16" s="1" t="s">
        <v>172</v>
      </c>
      <c r="B16" s="2">
        <f>_CAG1</f>
        <v>30693.67</v>
      </c>
      <c r="C16" s="2"/>
      <c r="D16" s="267">
        <v>24.9</v>
      </c>
      <c r="E16" s="1"/>
      <c r="F16" s="2">
        <v>0</v>
      </c>
      <c r="G16" s="9">
        <f t="shared" si="0"/>
        <v>30668.77</v>
      </c>
    </row>
    <row r="17" spans="1:7" x14ac:dyDescent="0.2">
      <c r="A17" s="1" t="s">
        <v>359</v>
      </c>
      <c r="B17" s="2">
        <f>CHG</f>
        <v>32200.15</v>
      </c>
      <c r="C17" s="2"/>
      <c r="D17" s="267">
        <v>421.51</v>
      </c>
      <c r="E17" s="1"/>
      <c r="F17" s="2">
        <f>B17*0.005</f>
        <v>161</v>
      </c>
      <c r="G17" s="9">
        <f t="shared" si="0"/>
        <v>31617.64</v>
      </c>
    </row>
    <row r="18" spans="1:7" x14ac:dyDescent="0.2">
      <c r="A18" s="1" t="s">
        <v>173</v>
      </c>
      <c r="B18" s="11">
        <f>_CHG1</f>
        <v>3577.79</v>
      </c>
      <c r="C18" s="2"/>
      <c r="D18" s="267">
        <v>46.84</v>
      </c>
      <c r="E18" s="1"/>
      <c r="F18" s="2">
        <v>0</v>
      </c>
      <c r="G18" s="9">
        <f t="shared" si="0"/>
        <v>3530.95</v>
      </c>
    </row>
    <row r="19" spans="1:7" x14ac:dyDescent="0.2">
      <c r="A19" s="1" t="s">
        <v>174</v>
      </c>
      <c r="B19" s="2">
        <f>CLG</f>
        <v>5556864.8099999996</v>
      </c>
      <c r="C19" s="2"/>
      <c r="D19" s="267">
        <v>3835.56</v>
      </c>
      <c r="E19" s="1"/>
      <c r="F19" s="2">
        <f>B19*0.005</f>
        <v>27784.32</v>
      </c>
      <c r="G19" s="9">
        <f t="shared" si="0"/>
        <v>5525244.9299999997</v>
      </c>
    </row>
    <row r="20" spans="1:7" x14ac:dyDescent="0.2">
      <c r="A20" s="1" t="s">
        <v>175</v>
      </c>
      <c r="B20" s="11">
        <f>_CLG1</f>
        <v>617429.43999999994</v>
      </c>
      <c r="C20" s="2"/>
      <c r="D20" s="267">
        <v>426.18</v>
      </c>
      <c r="E20" s="1"/>
      <c r="F20" s="2">
        <v>0</v>
      </c>
      <c r="G20" s="9">
        <f t="shared" si="0"/>
        <v>617003.26</v>
      </c>
    </row>
    <row r="21" spans="1:7" x14ac:dyDescent="0.2">
      <c r="A21" s="1" t="s">
        <v>176</v>
      </c>
      <c r="B21" s="2">
        <f>DOG</f>
        <v>83810.23</v>
      </c>
      <c r="C21" s="2"/>
      <c r="D21" s="267">
        <v>79.459999999999994</v>
      </c>
      <c r="E21" s="1"/>
      <c r="F21" s="2">
        <f>B21*0.005</f>
        <v>419.05</v>
      </c>
      <c r="G21" s="9">
        <f t="shared" si="0"/>
        <v>83311.72</v>
      </c>
    </row>
    <row r="22" spans="1:7" x14ac:dyDescent="0.2">
      <c r="A22" s="1" t="s">
        <v>177</v>
      </c>
      <c r="B22" s="11">
        <f>_DOG1</f>
        <v>20952.560000000001</v>
      </c>
      <c r="C22" s="2"/>
      <c r="D22" s="267">
        <v>19.87</v>
      </c>
      <c r="E22" s="1"/>
      <c r="F22" s="2">
        <v>0</v>
      </c>
      <c r="G22" s="9">
        <f t="shared" si="0"/>
        <v>20932.689999999999</v>
      </c>
    </row>
    <row r="23" spans="1:7" x14ac:dyDescent="0.2">
      <c r="A23" s="1" t="s">
        <v>178</v>
      </c>
      <c r="B23" s="2">
        <f>ELG</f>
        <v>96269.41</v>
      </c>
      <c r="C23" s="2"/>
      <c r="D23" s="267">
        <v>467.62</v>
      </c>
      <c r="E23" s="1"/>
      <c r="F23" s="2">
        <f>B23*0.005</f>
        <v>481.35</v>
      </c>
      <c r="G23" s="9">
        <f t="shared" si="0"/>
        <v>95320.44</v>
      </c>
    </row>
    <row r="24" spans="1:7" x14ac:dyDescent="0.2">
      <c r="A24" s="1" t="s">
        <v>179</v>
      </c>
      <c r="B24" s="11">
        <f>_ELG1</f>
        <v>24067.33</v>
      </c>
      <c r="C24" s="2"/>
      <c r="D24" s="267">
        <v>116.9</v>
      </c>
      <c r="E24" s="1"/>
      <c r="F24" s="2">
        <v>0</v>
      </c>
      <c r="G24" s="9">
        <f t="shared" si="0"/>
        <v>23950.43</v>
      </c>
    </row>
    <row r="25" spans="1:7" x14ac:dyDescent="0.2">
      <c r="A25" s="1" t="s">
        <v>180</v>
      </c>
      <c r="B25" s="2">
        <f>ESG</f>
        <v>821.43</v>
      </c>
      <c r="C25" s="2"/>
      <c r="D25" s="267">
        <v>0</v>
      </c>
      <c r="E25" s="1"/>
      <c r="F25" s="2">
        <f>B25*0.005</f>
        <v>4.1100000000000003</v>
      </c>
      <c r="G25" s="9">
        <f t="shared" si="0"/>
        <v>817.32</v>
      </c>
    </row>
    <row r="26" spans="1:7" x14ac:dyDescent="0.2">
      <c r="A26" s="1" t="s">
        <v>181</v>
      </c>
      <c r="B26" s="11">
        <f>_ESG1</f>
        <v>205.36</v>
      </c>
      <c r="C26" s="2"/>
      <c r="D26" s="267">
        <v>0</v>
      </c>
      <c r="E26" s="1"/>
      <c r="F26" s="2">
        <v>0</v>
      </c>
      <c r="G26" s="9">
        <f t="shared" si="0"/>
        <v>205.36</v>
      </c>
    </row>
    <row r="27" spans="1:7" x14ac:dyDescent="0.2">
      <c r="A27" s="1" t="s">
        <v>182</v>
      </c>
      <c r="B27" s="2">
        <f>EUG</f>
        <v>3602.44</v>
      </c>
      <c r="C27" s="2"/>
      <c r="D27" s="267">
        <v>139.4</v>
      </c>
      <c r="E27" s="1"/>
      <c r="F27" s="2">
        <f>B27*0.005</f>
        <v>18.010000000000002</v>
      </c>
      <c r="G27" s="9">
        <f t="shared" si="0"/>
        <v>3445.03</v>
      </c>
    </row>
    <row r="28" spans="1:7" x14ac:dyDescent="0.2">
      <c r="A28" s="1" t="s">
        <v>183</v>
      </c>
      <c r="B28" s="11">
        <f>_EUG1</f>
        <v>900.62</v>
      </c>
      <c r="C28" s="2"/>
      <c r="D28" s="267">
        <v>34.85</v>
      </c>
      <c r="E28" s="1"/>
      <c r="F28" s="2">
        <v>0</v>
      </c>
      <c r="G28" s="9">
        <f t="shared" si="0"/>
        <v>865.77</v>
      </c>
    </row>
    <row r="29" spans="1:7" x14ac:dyDescent="0.2">
      <c r="A29" s="1" t="s">
        <v>360</v>
      </c>
      <c r="B29" s="2">
        <f>HUG</f>
        <v>95007.8</v>
      </c>
      <c r="C29" s="2"/>
      <c r="D29" s="267">
        <v>1252.72</v>
      </c>
      <c r="E29" s="1"/>
      <c r="F29" s="2">
        <f>B29*0.005</f>
        <v>475.04</v>
      </c>
      <c r="G29" s="9">
        <f t="shared" si="0"/>
        <v>93280.04</v>
      </c>
    </row>
    <row r="30" spans="1:7" x14ac:dyDescent="0.2">
      <c r="A30" s="1" t="s">
        <v>184</v>
      </c>
      <c r="B30" s="11">
        <f>_HUG1</f>
        <v>10556.43</v>
      </c>
      <c r="C30" s="2"/>
      <c r="D30" s="267">
        <v>139.18</v>
      </c>
      <c r="E30" s="1"/>
      <c r="F30" s="2">
        <v>0</v>
      </c>
      <c r="G30" s="9">
        <f t="shared" si="0"/>
        <v>10417.25</v>
      </c>
    </row>
    <row r="31" spans="1:7" x14ac:dyDescent="0.2">
      <c r="A31" s="1" t="s">
        <v>185</v>
      </c>
      <c r="B31" s="2">
        <f>LAG</f>
        <v>30850.67</v>
      </c>
      <c r="C31" s="2"/>
      <c r="D31" s="267">
        <v>77.89</v>
      </c>
      <c r="E31" s="1"/>
      <c r="F31" s="2">
        <f>B31*0.005</f>
        <v>154.25</v>
      </c>
      <c r="G31" s="9">
        <f t="shared" si="0"/>
        <v>30618.53</v>
      </c>
    </row>
    <row r="32" spans="1:7" x14ac:dyDescent="0.2">
      <c r="A32" s="1" t="s">
        <v>186</v>
      </c>
      <c r="B32" s="11">
        <f>_LAG1</f>
        <v>3605.63</v>
      </c>
      <c r="C32" s="2"/>
      <c r="D32" s="267">
        <v>19.47</v>
      </c>
      <c r="E32" s="1"/>
      <c r="F32" s="2">
        <v>0</v>
      </c>
      <c r="G32" s="9">
        <f t="shared" si="0"/>
        <v>3586.16</v>
      </c>
    </row>
    <row r="33" spans="1:7" x14ac:dyDescent="0.2">
      <c r="A33" s="1" t="s">
        <v>187</v>
      </c>
      <c r="B33" s="2">
        <f>LIG</f>
        <v>6873.57</v>
      </c>
      <c r="C33" s="2"/>
      <c r="D33" s="267">
        <v>51.98</v>
      </c>
      <c r="E33" s="1"/>
      <c r="F33" s="2">
        <f>B33*0.005</f>
        <v>34.369999999999997</v>
      </c>
      <c r="G33" s="9">
        <f t="shared" si="0"/>
        <v>6787.22</v>
      </c>
    </row>
    <row r="34" spans="1:7" x14ac:dyDescent="0.2">
      <c r="A34" s="1" t="s">
        <v>188</v>
      </c>
      <c r="B34" s="11">
        <f>_LIG1</f>
        <v>1718.39</v>
      </c>
      <c r="C34" s="2"/>
      <c r="D34" s="267">
        <v>12.99</v>
      </c>
      <c r="E34" s="1"/>
      <c r="F34" s="2">
        <v>0</v>
      </c>
      <c r="G34" s="9">
        <f t="shared" si="0"/>
        <v>1705.4</v>
      </c>
    </row>
    <row r="35" spans="1:7" x14ac:dyDescent="0.2">
      <c r="A35" s="1" t="s">
        <v>189</v>
      </c>
      <c r="B35" s="2">
        <f>LYG</f>
        <v>146980.97</v>
      </c>
      <c r="C35" s="2"/>
      <c r="D35" s="267">
        <v>423.97</v>
      </c>
      <c r="E35" s="1"/>
      <c r="F35" s="2">
        <f>B35*0.005</f>
        <v>734.9</v>
      </c>
      <c r="G35" s="9">
        <f t="shared" si="0"/>
        <v>145822.1</v>
      </c>
    </row>
    <row r="36" spans="1:7" x14ac:dyDescent="0.2">
      <c r="A36" s="1" t="s">
        <v>190</v>
      </c>
      <c r="B36" s="11">
        <f>_LYG1</f>
        <v>16331.23</v>
      </c>
      <c r="C36" s="2"/>
      <c r="D36" s="267">
        <v>47.11</v>
      </c>
      <c r="E36" s="1"/>
      <c r="F36" s="2">
        <v>0</v>
      </c>
      <c r="G36" s="9">
        <f t="shared" si="0"/>
        <v>16284.12</v>
      </c>
    </row>
    <row r="37" spans="1:7" x14ac:dyDescent="0.2">
      <c r="A37" s="1" t="s">
        <v>191</v>
      </c>
      <c r="B37" s="2">
        <f>MIG</f>
        <v>27472.81</v>
      </c>
      <c r="C37" s="2"/>
      <c r="D37" s="267">
        <v>416.56</v>
      </c>
      <c r="E37" s="1"/>
      <c r="F37" s="2">
        <f>B37*0.005</f>
        <v>137.36000000000001</v>
      </c>
      <c r="G37" s="9">
        <f t="shared" si="0"/>
        <v>26918.89</v>
      </c>
    </row>
    <row r="38" spans="1:7" x14ac:dyDescent="0.2">
      <c r="A38" s="1" t="s">
        <v>192</v>
      </c>
      <c r="B38" s="11">
        <f>_MIG1</f>
        <v>3052.55</v>
      </c>
      <c r="C38" s="2"/>
      <c r="D38" s="267">
        <v>46.28</v>
      </c>
      <c r="E38" s="1"/>
      <c r="F38" s="2">
        <v>0</v>
      </c>
      <c r="G38" s="9">
        <f t="shared" si="0"/>
        <v>3006.27</v>
      </c>
    </row>
    <row r="39" spans="1:7" x14ac:dyDescent="0.2">
      <c r="A39" s="1" t="s">
        <v>193</v>
      </c>
      <c r="B39" s="2">
        <f>NYG</f>
        <v>80402.5</v>
      </c>
      <c r="C39" s="2"/>
      <c r="D39" s="267">
        <v>6269.21</v>
      </c>
      <c r="E39" s="1"/>
      <c r="F39" s="2">
        <f>B39*0.005</f>
        <v>402.01</v>
      </c>
      <c r="G39" s="9">
        <f t="shared" si="0"/>
        <v>73731.28</v>
      </c>
    </row>
    <row r="40" spans="1:7" x14ac:dyDescent="0.2">
      <c r="A40" s="1" t="s">
        <v>194</v>
      </c>
      <c r="B40" s="11">
        <f>_NYG1</f>
        <v>20100.61</v>
      </c>
      <c r="C40" s="2"/>
      <c r="D40" s="267">
        <v>1567.29</v>
      </c>
      <c r="E40" s="1"/>
      <c r="F40" s="2">
        <v>0</v>
      </c>
      <c r="G40" s="9">
        <f t="shared" si="0"/>
        <v>18533.32</v>
      </c>
    </row>
    <row r="41" spans="1:7" x14ac:dyDescent="0.2">
      <c r="A41" s="1" t="s">
        <v>195</v>
      </c>
      <c r="B41" s="2">
        <f>PEG</f>
        <v>20984.639999999999</v>
      </c>
      <c r="C41" s="2"/>
      <c r="D41" s="267">
        <v>261.16000000000003</v>
      </c>
      <c r="E41" s="1"/>
      <c r="F41" s="2">
        <f>B41*0.005</f>
        <v>104.92</v>
      </c>
      <c r="G41" s="9">
        <f t="shared" si="0"/>
        <v>20618.560000000001</v>
      </c>
    </row>
    <row r="42" spans="1:7" x14ac:dyDescent="0.2">
      <c r="A42" s="1" t="s">
        <v>196</v>
      </c>
      <c r="B42" s="11">
        <f>_PEG1</f>
        <v>2331.63</v>
      </c>
      <c r="C42" s="2"/>
      <c r="D42" s="267">
        <v>29.02</v>
      </c>
      <c r="E42" s="1"/>
      <c r="F42" s="2">
        <v>0</v>
      </c>
      <c r="G42" s="9">
        <f t="shared" si="0"/>
        <v>2302.61</v>
      </c>
    </row>
    <row r="43" spans="1:7" x14ac:dyDescent="0.2">
      <c r="A43" s="1" t="s">
        <v>197</v>
      </c>
      <c r="B43" s="2">
        <f>STG</f>
        <v>1005.45</v>
      </c>
      <c r="C43" s="2"/>
      <c r="D43" s="267">
        <v>0</v>
      </c>
      <c r="E43" s="1"/>
      <c r="F43" s="2">
        <f>B43*0.005</f>
        <v>5.03</v>
      </c>
      <c r="G43" s="9">
        <f t="shared" si="0"/>
        <v>1000.42</v>
      </c>
    </row>
    <row r="44" spans="1:7" x14ac:dyDescent="0.2">
      <c r="A44" s="1" t="s">
        <v>198</v>
      </c>
      <c r="B44" s="11">
        <f>_STG1</f>
        <v>251.36</v>
      </c>
      <c r="C44" s="2"/>
      <c r="D44" s="267">
        <v>0</v>
      </c>
      <c r="E44" s="1"/>
      <c r="F44" s="2">
        <v>0</v>
      </c>
      <c r="G44" s="9">
        <f t="shared" si="0"/>
        <v>251.36</v>
      </c>
    </row>
    <row r="45" spans="1:7" x14ac:dyDescent="0.2">
      <c r="A45" s="1" t="s">
        <v>199</v>
      </c>
      <c r="B45" s="2">
        <f>WAG</f>
        <v>1406550.93</v>
      </c>
      <c r="C45" s="2"/>
      <c r="D45" s="267">
        <v>23792.28</v>
      </c>
      <c r="E45" s="1"/>
      <c r="F45" s="2">
        <f>B45*0.005</f>
        <v>7032.75</v>
      </c>
      <c r="G45" s="9">
        <f t="shared" si="0"/>
        <v>1375725.9</v>
      </c>
    </row>
    <row r="46" spans="1:7" x14ac:dyDescent="0.2">
      <c r="A46" s="1" t="s">
        <v>200</v>
      </c>
      <c r="B46" s="11">
        <f>_WAG1</f>
        <v>156283.43</v>
      </c>
      <c r="C46" s="2"/>
      <c r="D46" s="267">
        <v>2643.59</v>
      </c>
      <c r="E46" s="1"/>
      <c r="F46" s="2">
        <v>0</v>
      </c>
      <c r="G46" s="9">
        <f t="shared" si="0"/>
        <v>153639.84</v>
      </c>
    </row>
    <row r="47" spans="1:7" x14ac:dyDescent="0.2">
      <c r="A47" s="1" t="s">
        <v>635</v>
      </c>
      <c r="B47" s="2">
        <f>WHG</f>
        <v>43774.99</v>
      </c>
      <c r="C47" s="2"/>
      <c r="D47" s="267">
        <v>1017.27</v>
      </c>
      <c r="E47" s="1"/>
      <c r="F47" s="2">
        <f>B47*0.005</f>
        <v>218.87</v>
      </c>
      <c r="G47" s="9">
        <f t="shared" si="0"/>
        <v>42538.85</v>
      </c>
    </row>
    <row r="48" spans="1:7" x14ac:dyDescent="0.2">
      <c r="A48" s="1" t="s">
        <v>201</v>
      </c>
      <c r="B48" s="11">
        <f>_WHG1</f>
        <v>4863.8999999999996</v>
      </c>
      <c r="C48" s="2"/>
      <c r="D48" s="267">
        <v>116.34</v>
      </c>
      <c r="E48" s="1"/>
      <c r="F48" s="2">
        <v>0</v>
      </c>
      <c r="G48" s="9">
        <f t="shared" si="0"/>
        <v>4747.5600000000004</v>
      </c>
    </row>
    <row r="49" spans="1:7" x14ac:dyDescent="0.2">
      <c r="A49" s="1" t="s">
        <v>666</v>
      </c>
      <c r="B49" s="11"/>
      <c r="C49" s="2"/>
      <c r="D49" s="267">
        <f>SUM(D8:D48)</f>
        <v>165710.5</v>
      </c>
      <c r="E49" s="1"/>
      <c r="F49" s="2"/>
      <c r="G49" s="9"/>
    </row>
    <row r="50" spans="1:7" ht="21" customHeight="1" x14ac:dyDescent="0.2">
      <c r="A50" s="1" t="s">
        <v>202</v>
      </c>
      <c r="B50" s="2">
        <f>CUFEE</f>
        <v>1103028.81</v>
      </c>
      <c r="C50" s="2"/>
      <c r="D50" s="267"/>
      <c r="E50" s="1"/>
      <c r="F50" s="2"/>
      <c r="G50" s="9">
        <f t="shared" si="0"/>
        <v>1103028.81</v>
      </c>
    </row>
    <row r="51" spans="1:7" x14ac:dyDescent="0.2">
      <c r="A51" s="1" t="s">
        <v>203</v>
      </c>
      <c r="B51" s="2">
        <f>INSFEE</f>
        <v>59806.31</v>
      </c>
      <c r="C51" s="2"/>
      <c r="D51" s="267"/>
      <c r="E51" s="1"/>
      <c r="F51" s="2"/>
      <c r="G51" s="9">
        <f t="shared" si="0"/>
        <v>59806.31</v>
      </c>
    </row>
    <row r="52" spans="1:7" x14ac:dyDescent="0.2">
      <c r="A52" s="1" t="s">
        <v>667</v>
      </c>
      <c r="B52" s="2">
        <f>'s1'!I126</f>
        <v>65678.12</v>
      </c>
      <c r="C52" s="2"/>
      <c r="D52" s="267"/>
      <c r="E52" s="1"/>
      <c r="F52" s="2"/>
      <c r="G52" s="9">
        <f t="shared" si="0"/>
        <v>65678.12</v>
      </c>
    </row>
    <row r="53" spans="1:7" ht="25.5" customHeight="1" thickBot="1" x14ac:dyDescent="0.25">
      <c r="A53" s="92" t="s">
        <v>12</v>
      </c>
      <c r="B53" s="131">
        <f t="shared" ref="B53:G53" si="1">SUM(B8:B52)</f>
        <v>32349562.629999999</v>
      </c>
      <c r="C53" s="131">
        <f t="shared" si="1"/>
        <v>258567.44</v>
      </c>
      <c r="D53" s="268">
        <f>+D49+D50+D51+D52</f>
        <v>165710.5</v>
      </c>
      <c r="E53" s="131">
        <f t="shared" si="1"/>
        <v>4284.99</v>
      </c>
      <c r="F53" s="131">
        <f t="shared" si="1"/>
        <v>55354.39</v>
      </c>
      <c r="G53" s="131">
        <f t="shared" si="1"/>
        <v>31865645.309999999</v>
      </c>
    </row>
    <row r="54" spans="1:7" x14ac:dyDescent="0.2">
      <c r="A54" s="1"/>
      <c r="B54" s="1"/>
      <c r="C54" s="1"/>
      <c r="D54" s="292"/>
      <c r="E54" s="1"/>
      <c r="F54" s="1"/>
      <c r="G54" s="1"/>
    </row>
    <row r="55" spans="1:7" x14ac:dyDescent="0.2">
      <c r="A55" s="1"/>
      <c r="B55" s="2"/>
      <c r="C55" s="1"/>
      <c r="D55" s="294"/>
      <c r="E55" s="1"/>
      <c r="F55" s="1"/>
      <c r="G55" s="2"/>
    </row>
    <row r="56" spans="1:7" x14ac:dyDescent="0.2">
      <c r="A56" s="1"/>
      <c r="B56" s="1"/>
      <c r="C56" s="1"/>
      <c r="D56" s="292"/>
      <c r="E56" s="1"/>
      <c r="F56" s="1"/>
      <c r="G56" s="1"/>
    </row>
    <row r="57" spans="1:7" x14ac:dyDescent="0.2">
      <c r="A57" s="1"/>
      <c r="B57" s="2"/>
      <c r="C57" s="1"/>
      <c r="D57" s="292"/>
      <c r="E57" s="1"/>
      <c r="F57" s="1"/>
      <c r="G57" s="1"/>
    </row>
    <row r="58" spans="1:7" x14ac:dyDescent="0.2">
      <c r="A58" s="1"/>
      <c r="B58" s="2"/>
      <c r="C58" s="1"/>
      <c r="D58" s="292"/>
      <c r="E58" s="1"/>
      <c r="F58" s="1"/>
      <c r="G58" s="1"/>
    </row>
  </sheetData>
  <phoneticPr fontId="0" type="noConversion"/>
  <printOptions horizontalCentered="1"/>
  <pageMargins left="0.5" right="0.5" top="0.68" bottom="0.45" header="0.57999999999999996" footer="0.4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226</vt:i4>
      </vt:variant>
    </vt:vector>
  </HeadingPairs>
  <TitlesOfParts>
    <vt:vector size="243" baseType="lpstr">
      <vt:lpstr>s1</vt:lpstr>
      <vt:lpstr>zerortn</vt:lpstr>
      <vt:lpstr>s2</vt:lpstr>
      <vt:lpstr>s2a</vt:lpstr>
      <vt:lpstr>s3,s3b,s3d</vt:lpstr>
      <vt:lpstr>s3a</vt:lpstr>
      <vt:lpstr>s3b</vt:lpstr>
      <vt:lpstr>s3c</vt:lpstr>
      <vt:lpstr>s4</vt:lpstr>
      <vt:lpstr>s5</vt:lpstr>
      <vt:lpstr>s5a</vt:lpstr>
      <vt:lpstr>s6</vt:lpstr>
      <vt:lpstr>s7</vt:lpstr>
      <vt:lpstr>col</vt:lpstr>
      <vt:lpstr>dis</vt:lpstr>
      <vt:lpstr>sf gal $</vt:lpstr>
      <vt:lpstr>Journal</vt:lpstr>
      <vt:lpstr>ActivityMonth</vt:lpstr>
      <vt:lpstr>ADMINFEES</vt:lpstr>
      <vt:lpstr>AmtData</vt:lpstr>
      <vt:lpstr>AmtHdng</vt:lpstr>
      <vt:lpstr>AV_OPT</vt:lpstr>
      <vt:lpstr>AvCaBase</vt:lpstr>
      <vt:lpstr>AvCaDed</vt:lpstr>
      <vt:lpstr>AvCaGals</vt:lpstr>
      <vt:lpstr>AvCaPer</vt:lpstr>
      <vt:lpstr>AvChBase</vt:lpstr>
      <vt:lpstr>AvChDed</vt:lpstr>
      <vt:lpstr>AvChGals</vt:lpstr>
      <vt:lpstr>AvChPer</vt:lpstr>
      <vt:lpstr>AvClBase</vt:lpstr>
      <vt:lpstr>AvClDed</vt:lpstr>
      <vt:lpstr>AvClGals</vt:lpstr>
      <vt:lpstr>AvClPer</vt:lpstr>
      <vt:lpstr>AvDeduct</vt:lpstr>
      <vt:lpstr>AvDoBase</vt:lpstr>
      <vt:lpstr>AvDoDed</vt:lpstr>
      <vt:lpstr>AvDoGals</vt:lpstr>
      <vt:lpstr>AvDoPer</vt:lpstr>
      <vt:lpstr>AvElBase</vt:lpstr>
      <vt:lpstr>AvElDed</vt:lpstr>
      <vt:lpstr>AvElGals</vt:lpstr>
      <vt:lpstr>AvElPer</vt:lpstr>
      <vt:lpstr>AvEsBase</vt:lpstr>
      <vt:lpstr>AvEsDed</vt:lpstr>
      <vt:lpstr>AvEsGals</vt:lpstr>
      <vt:lpstr>AvEsPer</vt:lpstr>
      <vt:lpstr>AvEuBase</vt:lpstr>
      <vt:lpstr>AvEuDed</vt:lpstr>
      <vt:lpstr>AvEuGals</vt:lpstr>
      <vt:lpstr>AvEuPer</vt:lpstr>
      <vt:lpstr>AVGAS10.5</vt:lpstr>
      <vt:lpstr>AvHuBase</vt:lpstr>
      <vt:lpstr>AvHuDed</vt:lpstr>
      <vt:lpstr>AvHuGals</vt:lpstr>
      <vt:lpstr>AvHuPer</vt:lpstr>
      <vt:lpstr>AvLaBase</vt:lpstr>
      <vt:lpstr>AvLaDed</vt:lpstr>
      <vt:lpstr>AvLaGals</vt:lpstr>
      <vt:lpstr>AvLaPer</vt:lpstr>
      <vt:lpstr>AvLiBase</vt:lpstr>
      <vt:lpstr>AvLiDed</vt:lpstr>
      <vt:lpstr>AvLiGals</vt:lpstr>
      <vt:lpstr>AvLiPer</vt:lpstr>
      <vt:lpstr>AvLyBase</vt:lpstr>
      <vt:lpstr>AvLyDed</vt:lpstr>
      <vt:lpstr>AvLyGals</vt:lpstr>
      <vt:lpstr>AvLyPer</vt:lpstr>
      <vt:lpstr>AvMiBase</vt:lpstr>
      <vt:lpstr>AvMiDed</vt:lpstr>
      <vt:lpstr>AvMiGals</vt:lpstr>
      <vt:lpstr>AvMiPer</vt:lpstr>
      <vt:lpstr>AvNyBase</vt:lpstr>
      <vt:lpstr>AvNyDed</vt:lpstr>
      <vt:lpstr>AvNyGals</vt:lpstr>
      <vt:lpstr>AvNyPer</vt:lpstr>
      <vt:lpstr>AvPeBase</vt:lpstr>
      <vt:lpstr>AvPeDed</vt:lpstr>
      <vt:lpstr>AvPeGals</vt:lpstr>
      <vt:lpstr>AvPePer</vt:lpstr>
      <vt:lpstr>AvStBase</vt:lpstr>
      <vt:lpstr>AvStDed</vt:lpstr>
      <vt:lpstr>AvStGals</vt:lpstr>
      <vt:lpstr>AvStPer</vt:lpstr>
      <vt:lpstr>AvWaBase</vt:lpstr>
      <vt:lpstr>AvWaDed</vt:lpstr>
      <vt:lpstr>AvWaGals</vt:lpstr>
      <vt:lpstr>AvWaPer</vt:lpstr>
      <vt:lpstr>AvWhBase</vt:lpstr>
      <vt:lpstr>AvWhDed</vt:lpstr>
      <vt:lpstr>AvWhGals</vt:lpstr>
      <vt:lpstr>AvWhPer</vt:lpstr>
      <vt:lpstr>CA</vt:lpstr>
      <vt:lpstr>CAG</vt:lpstr>
      <vt:lpstr>CAG1</vt:lpstr>
      <vt:lpstr>CAP</vt:lpstr>
      <vt:lpstr>CH</vt:lpstr>
      <vt:lpstr>CHG</vt:lpstr>
      <vt:lpstr>CHG1</vt:lpstr>
      <vt:lpstr>CIVILA</vt:lpstr>
      <vt:lpstr>CL</vt:lpstr>
      <vt:lpstr>CLG</vt:lpstr>
      <vt:lpstr>CLG1</vt:lpstr>
      <vt:lpstr>color</vt:lpstr>
      <vt:lpstr>COUNTY1</vt:lpstr>
      <vt:lpstr>COUNTYOPTION</vt:lpstr>
      <vt:lpstr>COUNTYTOTAL</vt:lpstr>
      <vt:lpstr>CUFEE</vt:lpstr>
      <vt:lpstr>DEALERS</vt:lpstr>
      <vt:lpstr>Diff</vt:lpstr>
      <vt:lpstr>Dist_1</vt:lpstr>
      <vt:lpstr>Dist_2</vt:lpstr>
      <vt:lpstr>Dist_3</vt:lpstr>
      <vt:lpstr>DO</vt:lpstr>
      <vt:lpstr>DOG</vt:lpstr>
      <vt:lpstr>DOG1</vt:lpstr>
      <vt:lpstr>EL</vt:lpstr>
      <vt:lpstr>ELG</vt:lpstr>
      <vt:lpstr>ELG1</vt:lpstr>
      <vt:lpstr>ES</vt:lpstr>
      <vt:lpstr>ESG</vt:lpstr>
      <vt:lpstr>ESG1</vt:lpstr>
      <vt:lpstr>EU</vt:lpstr>
      <vt:lpstr>EUG</vt:lpstr>
      <vt:lpstr>EUG1</vt:lpstr>
      <vt:lpstr>HU</vt:lpstr>
      <vt:lpstr>HUG</vt:lpstr>
      <vt:lpstr>HUG1</vt:lpstr>
      <vt:lpstr>INSFEE</vt:lpstr>
      <vt:lpstr>JET1</vt:lpstr>
      <vt:lpstr>JET2</vt:lpstr>
      <vt:lpstr>JETTOTAL</vt:lpstr>
      <vt:lpstr>LA</vt:lpstr>
      <vt:lpstr>LAG</vt:lpstr>
      <vt:lpstr>LAG1</vt:lpstr>
      <vt:lpstr>LessAF535</vt:lpstr>
      <vt:lpstr>LessWP535</vt:lpstr>
      <vt:lpstr>LI</vt:lpstr>
      <vt:lpstr>LICFEE</vt:lpstr>
      <vt:lpstr>LIG</vt:lpstr>
      <vt:lpstr>LIG1</vt:lpstr>
      <vt:lpstr>LY</vt:lpstr>
      <vt:lpstr>LYG</vt:lpstr>
      <vt:lpstr>LYG1</vt:lpstr>
      <vt:lpstr>MI</vt:lpstr>
      <vt:lpstr>MIG</vt:lpstr>
      <vt:lpstr>MIG1</vt:lpstr>
      <vt:lpstr>MthDist</vt:lpstr>
      <vt:lpstr>NET12.65</vt:lpstr>
      <vt:lpstr>NET5</vt:lpstr>
      <vt:lpstr>NET5.35</vt:lpstr>
      <vt:lpstr>NETCAG</vt:lpstr>
      <vt:lpstr>NETCAG1</vt:lpstr>
      <vt:lpstr>NETCHG</vt:lpstr>
      <vt:lpstr>NETCHG1</vt:lpstr>
      <vt:lpstr>NETCLG</vt:lpstr>
      <vt:lpstr>NETCLG1</vt:lpstr>
      <vt:lpstr>NETDOG</vt:lpstr>
      <vt:lpstr>NETDOG1</vt:lpstr>
      <vt:lpstr>NETELG</vt:lpstr>
      <vt:lpstr>NETELG1</vt:lpstr>
      <vt:lpstr>NETESG</vt:lpstr>
      <vt:lpstr>NETESG1</vt:lpstr>
      <vt:lpstr>NETEUG</vt:lpstr>
      <vt:lpstr>NETEUG1</vt:lpstr>
      <vt:lpstr>NETHUG</vt:lpstr>
      <vt:lpstr>NETHUG1</vt:lpstr>
      <vt:lpstr>NETLAG</vt:lpstr>
      <vt:lpstr>NETLAG1</vt:lpstr>
      <vt:lpstr>NETLIG</vt:lpstr>
      <vt:lpstr>NETLIG1</vt:lpstr>
      <vt:lpstr>NETLYG</vt:lpstr>
      <vt:lpstr>NETLYG1</vt:lpstr>
      <vt:lpstr>NETMIG</vt:lpstr>
      <vt:lpstr>NETMIG1</vt:lpstr>
      <vt:lpstr>NETNYG</vt:lpstr>
      <vt:lpstr>NETNYG1</vt:lpstr>
      <vt:lpstr>NETPEG</vt:lpstr>
      <vt:lpstr>NETPEG1</vt:lpstr>
      <vt:lpstr>NETSTG</vt:lpstr>
      <vt:lpstr>NETSTG1</vt:lpstr>
      <vt:lpstr>NETWAG</vt:lpstr>
      <vt:lpstr>NETWAG1</vt:lpstr>
      <vt:lpstr>NETWHG</vt:lpstr>
      <vt:lpstr>NETWHG1</vt:lpstr>
      <vt:lpstr>NY</vt:lpstr>
      <vt:lpstr>NYG</vt:lpstr>
      <vt:lpstr>NYG1</vt:lpstr>
      <vt:lpstr>PARKWILD</vt:lpstr>
      <vt:lpstr>PE</vt:lpstr>
      <vt:lpstr>PEG</vt:lpstr>
      <vt:lpstr>PEG1</vt:lpstr>
      <vt:lpstr>Journal!Print_Area</vt:lpstr>
      <vt:lpstr>'s1'!Print_Area</vt:lpstr>
      <vt:lpstr>'s2'!Print_Area</vt:lpstr>
      <vt:lpstr>s2a!Print_Area</vt:lpstr>
      <vt:lpstr>s3a!Print_Area</vt:lpstr>
      <vt:lpstr>s3b!Print_Area</vt:lpstr>
      <vt:lpstr>s3c!Print_Area</vt:lpstr>
      <vt:lpstr>'s1'!Print_Titles</vt:lpstr>
      <vt:lpstr>'s2'!Print_Titles</vt:lpstr>
      <vt:lpstr>s2a!Print_Titles</vt:lpstr>
      <vt:lpstr>'s3,s3b,s3d'!Print_Titles</vt:lpstr>
      <vt:lpstr>s3a!Print_Titles</vt:lpstr>
      <vt:lpstr>'s4'!Print_Titles</vt:lpstr>
      <vt:lpstr>'s5'!Print_Titles</vt:lpstr>
      <vt:lpstr>s5a!Print_Titles</vt:lpstr>
      <vt:lpstr>'s7'!Print_Titles</vt:lpstr>
      <vt:lpstr>zerortn!Print_Titles</vt:lpstr>
      <vt:lpstr>REFUNDS</vt:lpstr>
      <vt:lpstr>ReportMonth</vt:lpstr>
      <vt:lpstr>S1_GALS</vt:lpstr>
      <vt:lpstr>S1_MONEY</vt:lpstr>
      <vt:lpstr>S1Z_PR</vt:lpstr>
      <vt:lpstr>S2_MONEY</vt:lpstr>
      <vt:lpstr>S2A_MONEY</vt:lpstr>
      <vt:lpstr>S4_PR</vt:lpstr>
      <vt:lpstr>S5_PR</vt:lpstr>
      <vt:lpstr>S5A_PR</vt:lpstr>
      <vt:lpstr>S6_PR</vt:lpstr>
      <vt:lpstr>S6A_PR</vt:lpstr>
      <vt:lpstr>S7_PR</vt:lpstr>
      <vt:lpstr>ST</vt:lpstr>
      <vt:lpstr>ST12.65</vt:lpstr>
      <vt:lpstr>ST5</vt:lpstr>
      <vt:lpstr>ST5.35</vt:lpstr>
      <vt:lpstr>STG</vt:lpstr>
      <vt:lpstr>STG1</vt:lpstr>
      <vt:lpstr>TapeCF</vt:lpstr>
      <vt:lpstr>TapeGas</vt:lpstr>
      <vt:lpstr>TapeIF</vt:lpstr>
      <vt:lpstr>TapeJet</vt:lpstr>
      <vt:lpstr>TotalCOL</vt:lpstr>
      <vt:lpstr>TotalDIS</vt:lpstr>
      <vt:lpstr>TOTALREF</vt:lpstr>
      <vt:lpstr>TOTGAL</vt:lpstr>
      <vt:lpstr>WA</vt:lpstr>
      <vt:lpstr>WAG</vt:lpstr>
      <vt:lpstr>WAG1</vt:lpstr>
      <vt:lpstr>WH</vt:lpstr>
      <vt:lpstr>WHG</vt:lpstr>
      <vt:lpstr>WHG1</vt:lpstr>
      <vt:lpstr>WILDPARK</vt:lpstr>
    </vt:vector>
  </TitlesOfParts>
  <Company>DEPARTMENT OF TAXATION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Administrator</dc:creator>
  <cp:lastModifiedBy>louis</cp:lastModifiedBy>
  <cp:lastPrinted>2004-07-20T18:45:20Z</cp:lastPrinted>
  <dcterms:created xsi:type="dcterms:W3CDTF">1995-12-21T16:04:23Z</dcterms:created>
  <dcterms:modified xsi:type="dcterms:W3CDTF">2013-09-13T23:05:10Z</dcterms:modified>
</cp:coreProperties>
</file>