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-60" windowWidth="11880" windowHeight="6465" activeTab="8"/>
  </bookViews>
  <sheets>
    <sheet name="s1" sheetId="1" r:id="rId1"/>
    <sheet name="zerortn" sheetId="2" r:id="rId2"/>
    <sheet name="s2" sheetId="3" r:id="rId3"/>
    <sheet name="s2a" sheetId="4" r:id="rId4"/>
    <sheet name="s3, s3b, 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" sheetId="9" r:id="rId12"/>
    <sheet name="s7" sheetId="10" r:id="rId13"/>
    <sheet name="col" sheetId="11" state="hidden" r:id="rId14"/>
    <sheet name="dis" sheetId="12" state="hidden" r:id="rId15"/>
    <sheet name="s8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's6'!$R$8:$R$24</definedName>
    <definedName name="AmtHdng">'s6'!$R$6:$R$7</definedName>
    <definedName name="AV_OPT">'s6'!$T$25</definedName>
    <definedName name="AvCaBase">'s6'!$O$8</definedName>
    <definedName name="AvCaDed">'s6'!$R$8</definedName>
    <definedName name="AvCaGals">'s6'!$L$8</definedName>
    <definedName name="AvCaPer">'s6'!$Q$8</definedName>
    <definedName name="AvChBase">'s6'!$O$9</definedName>
    <definedName name="AvChDed">'s6'!$R$9</definedName>
    <definedName name="AvChGals">'s6'!$L$9</definedName>
    <definedName name="AvChPer">'s6'!$Q$9</definedName>
    <definedName name="AvClBase">'s6'!$O$10</definedName>
    <definedName name="AvClDed">'s6'!$R$10</definedName>
    <definedName name="AvClGals">'s6'!$L$10</definedName>
    <definedName name="AvClPer">'s6'!$Q$10</definedName>
    <definedName name="AvDeduct">'s6'!$R$25</definedName>
    <definedName name="AvDoBase">'s6'!$O$11</definedName>
    <definedName name="AvDoDed">'s6'!$R$11</definedName>
    <definedName name="AvDoGals">'s6'!$L$11</definedName>
    <definedName name="AvDoPer">'s6'!$Q$11</definedName>
    <definedName name="AvElBase">'s6'!$O$12</definedName>
    <definedName name="AvElDed">'s6'!$R$12</definedName>
    <definedName name="AvElGals">'s6'!$L$12</definedName>
    <definedName name="AvElPer">'s6'!$Q$12</definedName>
    <definedName name="AvEsBase">'s6'!$O$13</definedName>
    <definedName name="AvEsDed">'s6'!$R$13</definedName>
    <definedName name="AvEsGals">'s6'!$L$13</definedName>
    <definedName name="AvEsPer">'s6'!$Q$13</definedName>
    <definedName name="AvEuBase">'s6'!$O$14</definedName>
    <definedName name="AvEuDed">'s6'!$R$14</definedName>
    <definedName name="AvEuGals">'s6'!$L$14</definedName>
    <definedName name="AvEuPer">'s6'!$Q$14</definedName>
    <definedName name="AVGAS10.5">'s6'!$O$25</definedName>
    <definedName name="AvHuBase">'s6'!$O$15</definedName>
    <definedName name="AvHuDed">'s6'!$R$15</definedName>
    <definedName name="AvHuGals">'s6'!$L$15</definedName>
    <definedName name="AvHuPer">'s6'!$Q$15</definedName>
    <definedName name="AvLaBase">'s6'!$O$16</definedName>
    <definedName name="AvLaDed">'s6'!$R$16</definedName>
    <definedName name="AvLaGals">'s6'!$L$16</definedName>
    <definedName name="AvLaPer">'s6'!$Q$16</definedName>
    <definedName name="AvLiBase">'s6'!$O$17</definedName>
    <definedName name="AvLiDed">'s6'!$R$17</definedName>
    <definedName name="AvLiGals">'s6'!$L$17</definedName>
    <definedName name="AvLiPer">'s6'!$Q$17</definedName>
    <definedName name="AvLyBase">'s6'!$O$18</definedName>
    <definedName name="AvLyDed">'s6'!$R$18</definedName>
    <definedName name="AvLyGals">'s6'!$L$18</definedName>
    <definedName name="AvLyPer">'s6'!$Q$18</definedName>
    <definedName name="AvMiBase">'s6'!$O$19</definedName>
    <definedName name="AvMiDed">'s6'!$R$19</definedName>
    <definedName name="AvMiGals">'s6'!$L$19</definedName>
    <definedName name="AvMiPer">'s6'!$Q$19</definedName>
    <definedName name="AvNyBase">'s6'!$O$20</definedName>
    <definedName name="AvNyDed">'s6'!$R$20</definedName>
    <definedName name="AvNyGals">'s6'!$L$20</definedName>
    <definedName name="AvNyPer">'s6'!$Q$20</definedName>
    <definedName name="AvPeBase">'s6'!$O$21</definedName>
    <definedName name="AvPeDed">'s6'!$R$21</definedName>
    <definedName name="AvPeGals">'s6'!$L$21</definedName>
    <definedName name="AvPePer">'s6'!$Q$21</definedName>
    <definedName name="AvStBase">'s6'!$O$22</definedName>
    <definedName name="AvStDed">'s6'!$R$22</definedName>
    <definedName name="AvStGals">'s6'!$L$22</definedName>
    <definedName name="AvStPer">'s6'!$Q$22</definedName>
    <definedName name="AvWaBase">'s6'!$O$23</definedName>
    <definedName name="AvWaDed">'s6'!$R$23</definedName>
    <definedName name="AvWaGals">'s6'!$L$23</definedName>
    <definedName name="AvWaPer">'s6'!$Q$23</definedName>
    <definedName name="AvWhBase">'s6'!$O$24</definedName>
    <definedName name="AvWhDed">'s6'!$R$24</definedName>
    <definedName name="AvWhGals">'s6'!$L$24</definedName>
    <definedName name="AvWhPer">'s6'!$Q$24</definedName>
    <definedName name="CA">'s1'!$M$113</definedName>
    <definedName name="CAG">'s2'!$B$111</definedName>
    <definedName name="_CAG1">s2a!$B$112</definedName>
    <definedName name="CAP">'s6'!$P$25</definedName>
    <definedName name="CH">'s1'!$N$113</definedName>
    <definedName name="CHG">'s2'!$C$111</definedName>
    <definedName name="_CHG1">s2a!$C$112</definedName>
    <definedName name="CIVILA">'s4'!$E$53</definedName>
    <definedName name="CL">'s1'!$O$113</definedName>
    <definedName name="CLG">'s2'!$D$111</definedName>
    <definedName name="_CLG1">s2a!$D$112</definedName>
    <definedName name="color" localSheetId="16">[1]s1!$A$104:$A$106,[1]s1!$A$7</definedName>
    <definedName name="color">'s1'!$A$113:$A$115,'s1'!$A$7</definedName>
    <definedName name="COUNTY1">s2a!$S$112</definedName>
    <definedName name="COUNTYOPTION">'s2'!$S$111</definedName>
    <definedName name="COUNTYTOTAL">'s3, s3b, s3d'!$H$172</definedName>
    <definedName name="CUFEE">'s7'!$B$91</definedName>
    <definedName name="DEALERS">zerortn!$B$9:$B$28</definedName>
    <definedName name="Diff">'s6'!$R$29</definedName>
    <definedName name="Dist_1">'s6'!$AE$8:$AE$24</definedName>
    <definedName name="Dist_2">'s6'!$AF$8:$AF$24</definedName>
    <definedName name="Dist_3">'s6'!$AG$8:$AG$24</definedName>
    <definedName name="DISTSTUDY" localSheetId="16">[1]s4!#REF!</definedName>
    <definedName name="DISTSTUDY">'s4'!#REF!</definedName>
    <definedName name="DO">'s1'!$P$113</definedName>
    <definedName name="DOG">'s2'!$E$111</definedName>
    <definedName name="_DOG1">s2a!$E$112</definedName>
    <definedName name="EL">'s1'!$Q$113</definedName>
    <definedName name="ELG">'s2'!$F$111</definedName>
    <definedName name="_ELG1">s2a!$F$112</definedName>
    <definedName name="ES">'s1'!$R$113</definedName>
    <definedName name="ESG">'s2'!$G$111</definedName>
    <definedName name="_ESG1">s2a!$G$112</definedName>
    <definedName name="EU">'s1'!$S$113</definedName>
    <definedName name="EUG">'s2'!$H$111</definedName>
    <definedName name="_EUG1">s2a!$H$112</definedName>
    <definedName name="HU">'s1'!$T$113</definedName>
    <definedName name="HUG">'s2'!$I$111</definedName>
    <definedName name="_HUG1">s2a!$I$112</definedName>
    <definedName name="INSFEE">'s7'!$C$91</definedName>
    <definedName name="Jan96_M_F_Stat_s6_List">#REF!</definedName>
    <definedName name="_JET1">'s5'!$C$34</definedName>
    <definedName name="_JET2">'s5'!$E$34</definedName>
    <definedName name="JETTOTAL">'s5'!$B$35</definedName>
    <definedName name="LA">'s1'!$U$113</definedName>
    <definedName name="LAG">'s2'!$J$111</definedName>
    <definedName name="_LAG1">s2a!$J$112</definedName>
    <definedName name="LessAF535">'s4'!$F$10</definedName>
    <definedName name="LessWP535">'s4'!$C$10</definedName>
    <definedName name="LI">'s1'!$V$113</definedName>
    <definedName name="LICFEE">'s4'!$B$52</definedName>
    <definedName name="LIG">'s2'!$K$111</definedName>
    <definedName name="_LIG1">s2a!$K$112</definedName>
    <definedName name="LY">'s1'!$W$113</definedName>
    <definedName name="LYG">'s2'!$L$111</definedName>
    <definedName name="_LYG1">s2a!$L$112</definedName>
    <definedName name="MI">'s1'!$X$113</definedName>
    <definedName name="MIG">'s2'!$M$111</definedName>
    <definedName name="_MIG1">s2a!$M$112</definedName>
    <definedName name="MthDist">'s6'!$S$8:$S$24</definedName>
    <definedName name="NET12.65">'s4'!$G$8</definedName>
    <definedName name="_NET5">'s4'!$G$9</definedName>
    <definedName name="NET5.35">'s4'!$G$10</definedName>
    <definedName name="NETAV">'s6'!$W$25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's1'!$Y$113</definedName>
    <definedName name="NYG">'s2'!$N$111</definedName>
    <definedName name="_NYG1">s2a!$N$112</definedName>
    <definedName name="OldClkFig">2701.14</definedName>
    <definedName name="PARKWILD" localSheetId="16">[1]s4!$C$52</definedName>
    <definedName name="PARKWILD">'s4'!$C$53</definedName>
    <definedName name="PE">'s1'!$Z$113</definedName>
    <definedName name="PEG">'s2'!$O$111</definedName>
    <definedName name="_PEG1">s2a!$O$112</definedName>
    <definedName name="_xlnm.Print_Area" localSheetId="16">Journal!$A$1:$G$55</definedName>
    <definedName name="_xlnm.Print_Area" localSheetId="0">'s1'!$A$1:$J$121</definedName>
    <definedName name="_xlnm.Print_Area" localSheetId="2">'s2'!$B$13:$S$111</definedName>
    <definedName name="_xlnm.Print_Area" localSheetId="3">s2a!$B$14:$S$112</definedName>
    <definedName name="_xlnm.Print_Area" localSheetId="5">s3a!$A$1:$K$58</definedName>
    <definedName name="_xlnm.Print_Area" localSheetId="6">s3b!$A$1:$O$42</definedName>
    <definedName name="_xlnm.Print_Area" localSheetId="7">s3c!$A$68:$I$120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4">'s3, s3b, s3d'!$31:$35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's1'!$L$12:$AD$116</definedName>
    <definedName name="S1_MONEY">'s1'!$B$12:$J$115</definedName>
    <definedName name="S1Z_PR">zerortn!$A$1:$G$47</definedName>
    <definedName name="S2_MONEY">'s2'!$B$11:$S$111</definedName>
    <definedName name="S2A_MONEY">s2a!$B$14:$S$112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's5'!$A$1:$F$34</definedName>
    <definedName name="S5A_PR">s5a!$A$1:$W$28</definedName>
    <definedName name="S6_PR">'s6'!$A$1:$L$25</definedName>
    <definedName name="S6A_PR">'s6'!$N$1:$V$25</definedName>
    <definedName name="S7_PR">'s7'!$A$12:$S$91</definedName>
    <definedName name="ST">'s1'!$AA$113</definedName>
    <definedName name="ST12.65">'s1'!$D$115</definedName>
    <definedName name="_ST5">'s1'!$E$115</definedName>
    <definedName name="ST5.35">'s1'!$F$115</definedName>
    <definedName name="STG">'s2'!$P$111</definedName>
    <definedName name="_STG1">s2a!$P$112</definedName>
    <definedName name="TapeCF">'s7'!$B$94</definedName>
    <definedName name="TapeGas">'s1'!$J$119</definedName>
    <definedName name="TapeIF">'s7'!$C$94</definedName>
    <definedName name="TapeJet">'s5'!$B$36</definedName>
    <definedName name="TotalCOL">col!$A$1:$C$17</definedName>
    <definedName name="TotalDIS">dis!$A$1:$C$19</definedName>
    <definedName name="TOTALREF">'s4'!$D$53</definedName>
    <definedName name="TOTGAL">'s1'!$B$115</definedName>
    <definedName name="WA">'s1'!$AB$113</definedName>
    <definedName name="WAG">'s2'!$Q$111</definedName>
    <definedName name="_WAG1">s2a!$Q$112</definedName>
    <definedName name="WH">'s1'!$AC$113</definedName>
    <definedName name="WHG">'s2'!$R$111</definedName>
    <definedName name="_WHG1">s2a!$R$112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C24" i="11" l="1"/>
  <c r="C27" i="11"/>
  <c r="B43" i="11"/>
  <c r="E24" i="11"/>
  <c r="A3" i="1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13" i="1" s="1"/>
  <c r="E115" i="1" s="1"/>
  <c r="E50" i="1"/>
  <c r="E51" i="1"/>
  <c r="E52" i="1"/>
  <c r="E53" i="1"/>
  <c r="E54" i="1"/>
  <c r="E55" i="1"/>
  <c r="E56" i="1"/>
  <c r="E57" i="1"/>
  <c r="E58" i="1"/>
  <c r="E59" i="1"/>
  <c r="E60" i="1"/>
  <c r="J60" i="1" s="1"/>
  <c r="E61" i="1"/>
  <c r="J61" i="1" s="1"/>
  <c r="E62" i="1"/>
  <c r="J62" i="1" s="1"/>
  <c r="E63" i="1"/>
  <c r="E64" i="1"/>
  <c r="E65" i="1"/>
  <c r="E66" i="1"/>
  <c r="E67" i="1"/>
  <c r="E68" i="1"/>
  <c r="E69" i="1"/>
  <c r="E70" i="1"/>
  <c r="E71" i="1"/>
  <c r="J71" i="1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J72" i="1" s="1"/>
  <c r="F73" i="1"/>
  <c r="J73" i="1" s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J39" i="1" s="1"/>
  <c r="D40" i="1"/>
  <c r="J40" i="1" s="1"/>
  <c r="D41" i="1"/>
  <c r="D42" i="1"/>
  <c r="D43" i="1"/>
  <c r="D44" i="1"/>
  <c r="D45" i="1"/>
  <c r="D46" i="1"/>
  <c r="D47" i="1"/>
  <c r="D48" i="1"/>
  <c r="J48" i="1" s="1"/>
  <c r="D49" i="1"/>
  <c r="D50" i="1"/>
  <c r="J50" i="1" s="1"/>
  <c r="D51" i="1"/>
  <c r="D52" i="1"/>
  <c r="D53" i="1"/>
  <c r="D54" i="1"/>
  <c r="D55" i="1"/>
  <c r="J55" i="1" s="1"/>
  <c r="D56" i="1"/>
  <c r="J56" i="1" s="1"/>
  <c r="D57" i="1"/>
  <c r="J5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J97" i="1" s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C10" i="7"/>
  <c r="C11" i="7"/>
  <c r="F11" i="7" s="1"/>
  <c r="C12" i="7"/>
  <c r="F12" i="7" s="1"/>
  <c r="C13" i="7"/>
  <c r="F13" i="7" s="1"/>
  <c r="C14" i="7"/>
  <c r="F14" i="7" s="1"/>
  <c r="C15" i="7"/>
  <c r="F15" i="7" s="1"/>
  <c r="C16" i="7"/>
  <c r="F16" i="7" s="1"/>
  <c r="C17" i="7"/>
  <c r="F17" i="7" s="1"/>
  <c r="C18" i="7"/>
  <c r="F18" i="7" s="1"/>
  <c r="C19" i="7"/>
  <c r="C20" i="7"/>
  <c r="C21" i="7"/>
  <c r="C22" i="7"/>
  <c r="C23" i="7"/>
  <c r="C24" i="7"/>
  <c r="C25" i="7"/>
  <c r="C26" i="7"/>
  <c r="C27" i="7"/>
  <c r="C28" i="7"/>
  <c r="C29" i="7"/>
  <c r="F29" i="7" s="1"/>
  <c r="C30" i="7"/>
  <c r="C31" i="7"/>
  <c r="C32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F22" i="7" s="1"/>
  <c r="E23" i="7"/>
  <c r="E24" i="7"/>
  <c r="F24" i="7" s="1"/>
  <c r="E25" i="7"/>
  <c r="F25" i="7" s="1"/>
  <c r="E26" i="7"/>
  <c r="F26" i="7" s="1"/>
  <c r="E27" i="7"/>
  <c r="F27" i="7" s="1"/>
  <c r="E28" i="7"/>
  <c r="E29" i="7"/>
  <c r="E30" i="7"/>
  <c r="F30" i="7" s="1"/>
  <c r="E31" i="7"/>
  <c r="F31" i="7" s="1"/>
  <c r="E32" i="7"/>
  <c r="F32" i="7" s="1"/>
  <c r="E34" i="7"/>
  <c r="B91" i="10"/>
  <c r="C14" i="11"/>
  <c r="C91" i="10"/>
  <c r="C15" i="11"/>
  <c r="L12" i="9"/>
  <c r="L15" i="9"/>
  <c r="O15" i="9" s="1"/>
  <c r="T15" i="9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F18" i="4"/>
  <c r="G18" i="4"/>
  <c r="H18" i="4"/>
  <c r="I18" i="4"/>
  <c r="J18" i="4"/>
  <c r="K18" i="4"/>
  <c r="L18" i="4"/>
  <c r="M18" i="4"/>
  <c r="M112" i="4" s="1"/>
  <c r="B38" i="6" s="1"/>
  <c r="G38" i="6" s="1"/>
  <c r="N18" i="4"/>
  <c r="O18" i="4"/>
  <c r="P18" i="4"/>
  <c r="Q18" i="4"/>
  <c r="R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B29" i="4"/>
  <c r="C29" i="4"/>
  <c r="D29" i="4"/>
  <c r="E29" i="4"/>
  <c r="F29" i="4"/>
  <c r="F112" i="4" s="1"/>
  <c r="B24" i="6" s="1"/>
  <c r="G24" i="6" s="1"/>
  <c r="G29" i="4"/>
  <c r="H29" i="4"/>
  <c r="I29" i="4"/>
  <c r="J29" i="4"/>
  <c r="K29" i="4"/>
  <c r="L29" i="4"/>
  <c r="M29" i="4"/>
  <c r="N29" i="4"/>
  <c r="O29" i="4"/>
  <c r="P29" i="4"/>
  <c r="Q29" i="4"/>
  <c r="R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 s="1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S46" i="4" s="1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4" i="4"/>
  <c r="S54" i="4" s="1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B55" i="4"/>
  <c r="C55" i="4"/>
  <c r="D55" i="4"/>
  <c r="S55" i="4" s="1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S59" i="4" s="1"/>
  <c r="Q59" i="4"/>
  <c r="R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B72" i="4"/>
  <c r="C72" i="4"/>
  <c r="D72" i="4"/>
  <c r="E72" i="4"/>
  <c r="S72" i="4" s="1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B77" i="4"/>
  <c r="C77" i="4"/>
  <c r="S77" i="4" s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B90" i="4"/>
  <c r="C90" i="4"/>
  <c r="D90" i="4"/>
  <c r="E90" i="4"/>
  <c r="F90" i="4"/>
  <c r="G90" i="4"/>
  <c r="H90" i="4"/>
  <c r="I90" i="4"/>
  <c r="J90" i="4"/>
  <c r="K90" i="4"/>
  <c r="S90" i="4" s="1"/>
  <c r="L90" i="4"/>
  <c r="M90" i="4"/>
  <c r="N90" i="4"/>
  <c r="O90" i="4"/>
  <c r="P90" i="4"/>
  <c r="Q90" i="4"/>
  <c r="R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S105" i="4" s="1"/>
  <c r="N105" i="4"/>
  <c r="O105" i="4"/>
  <c r="P105" i="4"/>
  <c r="Q105" i="4"/>
  <c r="R105" i="4"/>
  <c r="B106" i="4"/>
  <c r="S106" i="4" s="1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B107" i="4"/>
  <c r="S107" i="4" s="1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S110" i="4" s="1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L8" i="9"/>
  <c r="O8" i="9"/>
  <c r="L9" i="9"/>
  <c r="O9" i="9"/>
  <c r="L10" i="9"/>
  <c r="O10" i="9"/>
  <c r="L11" i="9"/>
  <c r="O11" i="9"/>
  <c r="L13" i="9"/>
  <c r="O13" i="9"/>
  <c r="L14" i="9"/>
  <c r="O14" i="9"/>
  <c r="L16" i="9"/>
  <c r="O16" i="9"/>
  <c r="L17" i="9"/>
  <c r="O17" i="9"/>
  <c r="L18" i="9"/>
  <c r="O18" i="9"/>
  <c r="L19" i="9"/>
  <c r="O19" i="9" s="1"/>
  <c r="L20" i="9"/>
  <c r="O20" i="9"/>
  <c r="L21" i="9"/>
  <c r="O21" i="9" s="1"/>
  <c r="L22" i="9"/>
  <c r="O22" i="9" s="1"/>
  <c r="L23" i="9"/>
  <c r="O23" i="9"/>
  <c r="L24" i="9"/>
  <c r="O24" i="9"/>
  <c r="AF13" i="1"/>
  <c r="B12" i="3" s="1"/>
  <c r="AG13" i="1"/>
  <c r="C12" i="3"/>
  <c r="AH13" i="1"/>
  <c r="D12" i="3" s="1"/>
  <c r="AI13" i="1"/>
  <c r="E12" i="3"/>
  <c r="AJ13" i="1"/>
  <c r="F12" i="3"/>
  <c r="AK13" i="1"/>
  <c r="AW13" i="1" s="1"/>
  <c r="G13" i="1" s="1"/>
  <c r="G12" i="3"/>
  <c r="AL13" i="1"/>
  <c r="H12" i="3"/>
  <c r="AM13" i="1"/>
  <c r="I12" i="3"/>
  <c r="AN13" i="1"/>
  <c r="J12" i="3" s="1"/>
  <c r="AO13" i="1"/>
  <c r="K12" i="3"/>
  <c r="AP13" i="1"/>
  <c r="L12" i="3"/>
  <c r="AQ13" i="1"/>
  <c r="M12" i="3"/>
  <c r="AR13" i="1"/>
  <c r="N12" i="3"/>
  <c r="AS13" i="1"/>
  <c r="O12" i="3"/>
  <c r="AT13" i="1"/>
  <c r="P12" i="3" s="1"/>
  <c r="AU13" i="1"/>
  <c r="Q12" i="3"/>
  <c r="AV13" i="1"/>
  <c r="R12" i="3"/>
  <c r="AF14" i="1"/>
  <c r="B13" i="3"/>
  <c r="AG14" i="1"/>
  <c r="C13" i="3"/>
  <c r="AH14" i="1"/>
  <c r="D13" i="3" s="1"/>
  <c r="AI14" i="1"/>
  <c r="E13" i="3"/>
  <c r="AJ14" i="1"/>
  <c r="F13" i="3"/>
  <c r="AK14" i="1"/>
  <c r="AL14" i="1"/>
  <c r="H13" i="3"/>
  <c r="AM14" i="1"/>
  <c r="I13" i="3"/>
  <c r="AN14" i="1"/>
  <c r="J13" i="3"/>
  <c r="AO14" i="1"/>
  <c r="K13" i="3"/>
  <c r="AP14" i="1"/>
  <c r="L13" i="3"/>
  <c r="AQ14" i="1"/>
  <c r="M13" i="3"/>
  <c r="AR14" i="1"/>
  <c r="N13" i="3"/>
  <c r="AS14" i="1"/>
  <c r="AT14" i="1"/>
  <c r="P13" i="3"/>
  <c r="AU14" i="1"/>
  <c r="Q13" i="3"/>
  <c r="AV14" i="1"/>
  <c r="R13" i="3"/>
  <c r="AF15" i="1"/>
  <c r="B14" i="3"/>
  <c r="AG15" i="1"/>
  <c r="C14" i="3"/>
  <c r="AH15" i="1"/>
  <c r="D14" i="3"/>
  <c r="AI15" i="1"/>
  <c r="E14" i="3"/>
  <c r="AJ15" i="1"/>
  <c r="F14" i="3"/>
  <c r="AK15" i="1"/>
  <c r="G14" i="3" s="1"/>
  <c r="AL15" i="1"/>
  <c r="H14" i="3"/>
  <c r="AM15" i="1"/>
  <c r="I14" i="3"/>
  <c r="AN15" i="1"/>
  <c r="J14" i="3"/>
  <c r="AO15" i="1"/>
  <c r="K14" i="3"/>
  <c r="AP15" i="1"/>
  <c r="L14" i="3"/>
  <c r="AQ15" i="1"/>
  <c r="M14" i="3" s="1"/>
  <c r="AR15" i="1"/>
  <c r="N14" i="3"/>
  <c r="AS15" i="1"/>
  <c r="O14" i="3"/>
  <c r="AT15" i="1"/>
  <c r="P14" i="3"/>
  <c r="AU15" i="1"/>
  <c r="Q14" i="3"/>
  <c r="AV15" i="1"/>
  <c r="R14" i="3"/>
  <c r="AF16" i="1"/>
  <c r="B15" i="3" s="1"/>
  <c r="AG16" i="1"/>
  <c r="C15" i="3"/>
  <c r="AH16" i="1"/>
  <c r="D15" i="3"/>
  <c r="AI16" i="1"/>
  <c r="AJ16" i="1"/>
  <c r="F15" i="3"/>
  <c r="AK16" i="1"/>
  <c r="G15" i="3"/>
  <c r="AL16" i="1"/>
  <c r="H15" i="3"/>
  <c r="AM16" i="1"/>
  <c r="I15" i="3"/>
  <c r="AN16" i="1"/>
  <c r="J15" i="3"/>
  <c r="AO16" i="1"/>
  <c r="AP16" i="1"/>
  <c r="L15" i="3"/>
  <c r="AQ16" i="1"/>
  <c r="M15" i="3"/>
  <c r="AR16" i="1"/>
  <c r="N15" i="3"/>
  <c r="AS16" i="1"/>
  <c r="O15" i="3"/>
  <c r="AT16" i="1"/>
  <c r="P15" i="3"/>
  <c r="AU16" i="1"/>
  <c r="AU113" i="1" s="1"/>
  <c r="Q15" i="3"/>
  <c r="AV16" i="1"/>
  <c r="AV113" i="1" s="1"/>
  <c r="R15" i="3"/>
  <c r="AF17" i="1"/>
  <c r="B16" i="3"/>
  <c r="AG17" i="1"/>
  <c r="C16" i="3"/>
  <c r="AH17" i="1"/>
  <c r="AI17" i="1"/>
  <c r="E16" i="3"/>
  <c r="AJ17" i="1"/>
  <c r="F16" i="3"/>
  <c r="AK17" i="1"/>
  <c r="G16" i="3"/>
  <c r="AL17" i="1"/>
  <c r="H16" i="3"/>
  <c r="AM17" i="1"/>
  <c r="I16" i="3"/>
  <c r="AN17" i="1"/>
  <c r="J16" i="3" s="1"/>
  <c r="AO17" i="1"/>
  <c r="K16" i="3"/>
  <c r="AP17" i="1"/>
  <c r="L16" i="3"/>
  <c r="AQ17" i="1"/>
  <c r="M16" i="3"/>
  <c r="AR17" i="1"/>
  <c r="N16" i="3"/>
  <c r="AS17" i="1"/>
  <c r="O16" i="3"/>
  <c r="AT17" i="1"/>
  <c r="P16" i="3"/>
  <c r="AU17" i="1"/>
  <c r="Q16" i="3"/>
  <c r="AV17" i="1"/>
  <c r="R16" i="3"/>
  <c r="AF18" i="1"/>
  <c r="B17" i="3"/>
  <c r="AG18" i="1"/>
  <c r="C17" i="3" s="1"/>
  <c r="AH18" i="1"/>
  <c r="D17" i="3"/>
  <c r="AI18" i="1"/>
  <c r="E17" i="3"/>
  <c r="AJ18" i="1"/>
  <c r="F17" i="3"/>
  <c r="AK18" i="1"/>
  <c r="G17" i="3"/>
  <c r="AL18" i="1"/>
  <c r="H17" i="3"/>
  <c r="AM18" i="1"/>
  <c r="I17" i="3"/>
  <c r="AN18" i="1"/>
  <c r="J17" i="3"/>
  <c r="AO18" i="1"/>
  <c r="K17" i="3"/>
  <c r="AP18" i="1"/>
  <c r="L17" i="3"/>
  <c r="AQ18" i="1"/>
  <c r="M17" i="3" s="1"/>
  <c r="AR18" i="1"/>
  <c r="N17" i="3"/>
  <c r="AS18" i="1"/>
  <c r="O17" i="3"/>
  <c r="AT18" i="1"/>
  <c r="P17" i="3" s="1"/>
  <c r="AU18" i="1"/>
  <c r="Q17" i="3"/>
  <c r="AV18" i="1"/>
  <c r="R17" i="3"/>
  <c r="AF19" i="1"/>
  <c r="B18" i="3"/>
  <c r="AG19" i="1"/>
  <c r="C18" i="3"/>
  <c r="AH19" i="1"/>
  <c r="D18" i="3"/>
  <c r="AI19" i="1"/>
  <c r="E18" i="3" s="1"/>
  <c r="AJ19" i="1"/>
  <c r="F18" i="3"/>
  <c r="AK19" i="1"/>
  <c r="G18" i="3"/>
  <c r="AL19" i="1"/>
  <c r="H18" i="3"/>
  <c r="AM19" i="1"/>
  <c r="I18" i="3"/>
  <c r="AN19" i="1"/>
  <c r="J18" i="3" s="1"/>
  <c r="AO19" i="1"/>
  <c r="K18" i="3"/>
  <c r="AP19" i="1"/>
  <c r="L18" i="3"/>
  <c r="AQ19" i="1"/>
  <c r="M18" i="3"/>
  <c r="AR19" i="1"/>
  <c r="N18" i="3"/>
  <c r="AS19" i="1"/>
  <c r="O18" i="3"/>
  <c r="AT19" i="1"/>
  <c r="P18" i="3"/>
  <c r="AU19" i="1"/>
  <c r="Q18" i="3"/>
  <c r="AV19" i="1"/>
  <c r="R18" i="3"/>
  <c r="AF20" i="1"/>
  <c r="B19" i="3"/>
  <c r="AG20" i="1"/>
  <c r="C19" i="3"/>
  <c r="AH20" i="1"/>
  <c r="D19" i="3"/>
  <c r="AI20" i="1"/>
  <c r="E19" i="3"/>
  <c r="AJ20" i="1"/>
  <c r="F19" i="3"/>
  <c r="AK20" i="1"/>
  <c r="G19" i="3"/>
  <c r="AL20" i="1"/>
  <c r="H19" i="3"/>
  <c r="AM20" i="1"/>
  <c r="I19" i="3"/>
  <c r="AN20" i="1"/>
  <c r="J19" i="3"/>
  <c r="AO20" i="1"/>
  <c r="K19" i="3"/>
  <c r="AP20" i="1"/>
  <c r="L19" i="3"/>
  <c r="AQ20" i="1"/>
  <c r="M19" i="3" s="1"/>
  <c r="AR20" i="1"/>
  <c r="N19" i="3"/>
  <c r="AS20" i="1"/>
  <c r="O19" i="3"/>
  <c r="AT20" i="1"/>
  <c r="P19" i="3"/>
  <c r="AU20" i="1"/>
  <c r="Q19" i="3"/>
  <c r="AV20" i="1"/>
  <c r="R19" i="3"/>
  <c r="AF21" i="1"/>
  <c r="B20" i="3"/>
  <c r="AG21" i="1"/>
  <c r="AH21" i="1"/>
  <c r="D20" i="3"/>
  <c r="AI21" i="1"/>
  <c r="E20" i="3" s="1"/>
  <c r="AJ21" i="1"/>
  <c r="F20" i="3"/>
  <c r="AK21" i="1"/>
  <c r="G20" i="3"/>
  <c r="AL21" i="1"/>
  <c r="H20" i="3"/>
  <c r="AM21" i="1"/>
  <c r="I20" i="3"/>
  <c r="AN21" i="1"/>
  <c r="J20" i="3"/>
  <c r="AO21" i="1"/>
  <c r="K20" i="3"/>
  <c r="AP21" i="1"/>
  <c r="L20" i="3"/>
  <c r="AQ21" i="1"/>
  <c r="M20" i="3"/>
  <c r="AR21" i="1"/>
  <c r="N20" i="3"/>
  <c r="AS21" i="1"/>
  <c r="O20" i="3"/>
  <c r="AT21" i="1"/>
  <c r="P20" i="3"/>
  <c r="AU21" i="1"/>
  <c r="Q20" i="3"/>
  <c r="AV21" i="1"/>
  <c r="R20" i="3"/>
  <c r="AF22" i="1"/>
  <c r="B21" i="3"/>
  <c r="AG22" i="1"/>
  <c r="C21" i="3"/>
  <c r="AH22" i="1"/>
  <c r="D21" i="3"/>
  <c r="AI22" i="1"/>
  <c r="E21" i="3"/>
  <c r="AJ22" i="1"/>
  <c r="F21" i="3"/>
  <c r="AK22" i="1"/>
  <c r="G21" i="3"/>
  <c r="AL22" i="1"/>
  <c r="H21" i="3"/>
  <c r="AM22" i="1"/>
  <c r="I21" i="3"/>
  <c r="AN22" i="1"/>
  <c r="J21" i="3" s="1"/>
  <c r="AO22" i="1"/>
  <c r="K21" i="3"/>
  <c r="AP22" i="1"/>
  <c r="L21" i="3"/>
  <c r="AQ22" i="1"/>
  <c r="M21" i="3"/>
  <c r="AR22" i="1"/>
  <c r="N21" i="3" s="1"/>
  <c r="AS22" i="1"/>
  <c r="O21" i="3"/>
  <c r="AT22" i="1"/>
  <c r="P21" i="3"/>
  <c r="AU22" i="1"/>
  <c r="Q21" i="3"/>
  <c r="AV22" i="1"/>
  <c r="R21" i="3" s="1"/>
  <c r="AF23" i="1"/>
  <c r="B22" i="3"/>
  <c r="AG23" i="1"/>
  <c r="C22" i="3"/>
  <c r="AH23" i="1"/>
  <c r="D22" i="3"/>
  <c r="AI23" i="1"/>
  <c r="E22" i="3"/>
  <c r="AJ23" i="1"/>
  <c r="F22" i="3"/>
  <c r="AK23" i="1"/>
  <c r="G22" i="3"/>
  <c r="AL23" i="1"/>
  <c r="H22" i="3"/>
  <c r="AM23" i="1"/>
  <c r="I22" i="3"/>
  <c r="AN23" i="1"/>
  <c r="J22" i="3" s="1"/>
  <c r="AO23" i="1"/>
  <c r="K22" i="3"/>
  <c r="AP23" i="1"/>
  <c r="L22" i="3"/>
  <c r="AQ23" i="1"/>
  <c r="M22" i="3" s="1"/>
  <c r="AR23" i="1"/>
  <c r="N22" i="3"/>
  <c r="AS23" i="1"/>
  <c r="O22" i="3"/>
  <c r="AT23" i="1"/>
  <c r="P22" i="3" s="1"/>
  <c r="AU23" i="1"/>
  <c r="Q22" i="3"/>
  <c r="AV23" i="1"/>
  <c r="R22" i="3"/>
  <c r="AF24" i="1"/>
  <c r="B23" i="3" s="1"/>
  <c r="AG24" i="1"/>
  <c r="C23" i="3"/>
  <c r="AH24" i="1"/>
  <c r="D23" i="3"/>
  <c r="AI24" i="1"/>
  <c r="E23" i="3" s="1"/>
  <c r="AJ24" i="1"/>
  <c r="F23" i="3"/>
  <c r="AK24" i="1"/>
  <c r="G23" i="3" s="1"/>
  <c r="AL24" i="1"/>
  <c r="H23" i="3"/>
  <c r="AM24" i="1"/>
  <c r="I23" i="3"/>
  <c r="AN24" i="1"/>
  <c r="J23" i="3"/>
  <c r="AO24" i="1"/>
  <c r="K23" i="3"/>
  <c r="AP24" i="1"/>
  <c r="L23" i="3"/>
  <c r="AQ24" i="1"/>
  <c r="M23" i="3"/>
  <c r="AR24" i="1"/>
  <c r="N23" i="3"/>
  <c r="AS24" i="1"/>
  <c r="O23" i="3" s="1"/>
  <c r="AT24" i="1"/>
  <c r="P23" i="3"/>
  <c r="AU24" i="1"/>
  <c r="Q23" i="3"/>
  <c r="AV24" i="1"/>
  <c r="R23" i="3"/>
  <c r="AF25" i="1"/>
  <c r="B24" i="3"/>
  <c r="AG25" i="1"/>
  <c r="C24" i="3"/>
  <c r="AH25" i="1"/>
  <c r="D24" i="3"/>
  <c r="AI25" i="1"/>
  <c r="E24" i="3"/>
  <c r="AJ25" i="1"/>
  <c r="F24" i="3"/>
  <c r="AK25" i="1"/>
  <c r="G24" i="3"/>
  <c r="AL25" i="1"/>
  <c r="H24" i="3" s="1"/>
  <c r="AM25" i="1"/>
  <c r="I24" i="3"/>
  <c r="AN25" i="1"/>
  <c r="J24" i="3"/>
  <c r="AO25" i="1"/>
  <c r="K24" i="3" s="1"/>
  <c r="AP25" i="1"/>
  <c r="L24" i="3"/>
  <c r="AQ25" i="1"/>
  <c r="M24" i="3"/>
  <c r="AR25" i="1"/>
  <c r="N24" i="3" s="1"/>
  <c r="AS25" i="1"/>
  <c r="O24" i="3"/>
  <c r="AT25" i="1"/>
  <c r="P24" i="3"/>
  <c r="AU25" i="1"/>
  <c r="Q24" i="3" s="1"/>
  <c r="AV25" i="1"/>
  <c r="R24" i="3"/>
  <c r="AF26" i="1"/>
  <c r="B25" i="3"/>
  <c r="AG26" i="1"/>
  <c r="C25" i="3" s="1"/>
  <c r="AH26" i="1"/>
  <c r="D25" i="3" s="1"/>
  <c r="AI26" i="1"/>
  <c r="E25" i="3"/>
  <c r="AJ26" i="1"/>
  <c r="F25" i="3"/>
  <c r="AK26" i="1"/>
  <c r="G25" i="3"/>
  <c r="AL26" i="1"/>
  <c r="H25" i="3"/>
  <c r="AM26" i="1"/>
  <c r="I25" i="3" s="1"/>
  <c r="AN26" i="1"/>
  <c r="J25" i="3"/>
  <c r="AO26" i="1"/>
  <c r="K25" i="3"/>
  <c r="AP26" i="1"/>
  <c r="L25" i="3"/>
  <c r="AQ26" i="1"/>
  <c r="M25" i="3" s="1"/>
  <c r="AR26" i="1"/>
  <c r="N25" i="3"/>
  <c r="AS26" i="1"/>
  <c r="O25" i="3" s="1"/>
  <c r="AT26" i="1"/>
  <c r="P25" i="3"/>
  <c r="AU26" i="1"/>
  <c r="Q25" i="3"/>
  <c r="AV26" i="1"/>
  <c r="R25" i="3"/>
  <c r="AF27" i="1"/>
  <c r="B26" i="3" s="1"/>
  <c r="AG27" i="1"/>
  <c r="C26" i="3"/>
  <c r="AH27" i="1"/>
  <c r="D26" i="3"/>
  <c r="AI27" i="1"/>
  <c r="E26" i="3"/>
  <c r="AJ27" i="1"/>
  <c r="F26" i="3"/>
  <c r="AK27" i="1"/>
  <c r="G26" i="3" s="1"/>
  <c r="AL27" i="1"/>
  <c r="H26" i="3"/>
  <c r="AM27" i="1"/>
  <c r="I26" i="3"/>
  <c r="AN27" i="1"/>
  <c r="J26" i="3"/>
  <c r="AO27" i="1"/>
  <c r="K26" i="3"/>
  <c r="AP27" i="1"/>
  <c r="L26" i="3" s="1"/>
  <c r="L111" i="3" s="1"/>
  <c r="AQ27" i="1"/>
  <c r="M26" i="3" s="1"/>
  <c r="AR27" i="1"/>
  <c r="N26" i="3"/>
  <c r="AS27" i="1"/>
  <c r="O26" i="3"/>
  <c r="AT27" i="1"/>
  <c r="P26" i="3" s="1"/>
  <c r="AU27" i="1"/>
  <c r="Q26" i="3"/>
  <c r="AV27" i="1"/>
  <c r="R26" i="3"/>
  <c r="AF28" i="1"/>
  <c r="B27" i="3"/>
  <c r="AG28" i="1"/>
  <c r="C27" i="3"/>
  <c r="AH28" i="1"/>
  <c r="D27" i="3"/>
  <c r="AI28" i="1"/>
  <c r="E27" i="3"/>
  <c r="AJ28" i="1"/>
  <c r="F27" i="3"/>
  <c r="AK28" i="1"/>
  <c r="G27" i="3"/>
  <c r="AL28" i="1"/>
  <c r="H27" i="3"/>
  <c r="AM28" i="1"/>
  <c r="I27" i="3"/>
  <c r="AN28" i="1"/>
  <c r="J27" i="3" s="1"/>
  <c r="AO28" i="1"/>
  <c r="K27" i="3"/>
  <c r="AP28" i="1"/>
  <c r="L27" i="3"/>
  <c r="AQ28" i="1"/>
  <c r="M27" i="3"/>
  <c r="AR28" i="1"/>
  <c r="N27" i="3"/>
  <c r="AS28" i="1"/>
  <c r="O27" i="3"/>
  <c r="AT28" i="1"/>
  <c r="P27" i="3"/>
  <c r="AU28" i="1"/>
  <c r="Q27" i="3"/>
  <c r="AV28" i="1"/>
  <c r="R27" i="3"/>
  <c r="AF29" i="1"/>
  <c r="B28" i="3"/>
  <c r="AG29" i="1"/>
  <c r="C28" i="3"/>
  <c r="AH29" i="1"/>
  <c r="D28" i="3"/>
  <c r="AI29" i="1"/>
  <c r="E28" i="3" s="1"/>
  <c r="AJ29" i="1"/>
  <c r="F28" i="3"/>
  <c r="AK29" i="1"/>
  <c r="G28" i="3"/>
  <c r="AL29" i="1"/>
  <c r="H28" i="3"/>
  <c r="AM29" i="1"/>
  <c r="I28" i="3"/>
  <c r="AN29" i="1"/>
  <c r="J28" i="3"/>
  <c r="AO29" i="1"/>
  <c r="K28" i="3" s="1"/>
  <c r="AP29" i="1"/>
  <c r="L28" i="3"/>
  <c r="AQ29" i="1"/>
  <c r="M28" i="3"/>
  <c r="AR29" i="1"/>
  <c r="N28" i="3"/>
  <c r="AS29" i="1"/>
  <c r="O28" i="3"/>
  <c r="AT29" i="1"/>
  <c r="P28" i="3"/>
  <c r="AU29" i="1"/>
  <c r="Q28" i="3"/>
  <c r="AV29" i="1"/>
  <c r="R28" i="3"/>
  <c r="AF30" i="1"/>
  <c r="B29" i="3"/>
  <c r="AG30" i="1"/>
  <c r="C29" i="3"/>
  <c r="AH30" i="1"/>
  <c r="D29" i="3"/>
  <c r="AI30" i="1"/>
  <c r="E29" i="3"/>
  <c r="AJ30" i="1"/>
  <c r="F29" i="3"/>
  <c r="AK30" i="1"/>
  <c r="G29" i="3" s="1"/>
  <c r="AL30" i="1"/>
  <c r="H29" i="3"/>
  <c r="AM30" i="1"/>
  <c r="I29" i="3"/>
  <c r="AN30" i="1"/>
  <c r="J29" i="3"/>
  <c r="AO30" i="1"/>
  <c r="K29" i="3" s="1"/>
  <c r="AP30" i="1"/>
  <c r="L29" i="3"/>
  <c r="AQ30" i="1"/>
  <c r="M29" i="3"/>
  <c r="AR30" i="1"/>
  <c r="N29" i="3"/>
  <c r="AS30" i="1"/>
  <c r="O29" i="3"/>
  <c r="AT30" i="1"/>
  <c r="P29" i="3"/>
  <c r="AU30" i="1"/>
  <c r="Q29" i="3" s="1"/>
  <c r="AV30" i="1"/>
  <c r="R29" i="3"/>
  <c r="AF31" i="1"/>
  <c r="B30" i="3"/>
  <c r="AG31" i="1"/>
  <c r="C30" i="3"/>
  <c r="AH31" i="1"/>
  <c r="D30" i="3"/>
  <c r="AI31" i="1"/>
  <c r="E30" i="3"/>
  <c r="AJ31" i="1"/>
  <c r="F30" i="3"/>
  <c r="AK31" i="1"/>
  <c r="G30" i="3"/>
  <c r="AL31" i="1"/>
  <c r="H30" i="3"/>
  <c r="AM31" i="1"/>
  <c r="I30" i="3"/>
  <c r="AN31" i="1"/>
  <c r="J30" i="3"/>
  <c r="AO31" i="1"/>
  <c r="K30" i="3" s="1"/>
  <c r="AP31" i="1"/>
  <c r="L30" i="3" s="1"/>
  <c r="AQ31" i="1"/>
  <c r="M30" i="3"/>
  <c r="AR31" i="1"/>
  <c r="N30" i="3"/>
  <c r="AS31" i="1"/>
  <c r="O30" i="3" s="1"/>
  <c r="AT31" i="1"/>
  <c r="P30" i="3"/>
  <c r="AU31" i="1"/>
  <c r="Q30" i="3"/>
  <c r="AV31" i="1"/>
  <c r="R30" i="3" s="1"/>
  <c r="AF32" i="1"/>
  <c r="B31" i="3"/>
  <c r="AG32" i="1"/>
  <c r="C31" i="3"/>
  <c r="AH32" i="1"/>
  <c r="D31" i="3" s="1"/>
  <c r="AI32" i="1"/>
  <c r="E31" i="3"/>
  <c r="AJ32" i="1"/>
  <c r="F31" i="3"/>
  <c r="AK32" i="1"/>
  <c r="G31" i="3"/>
  <c r="AL32" i="1"/>
  <c r="H31" i="3"/>
  <c r="AM32" i="1"/>
  <c r="I31" i="3"/>
  <c r="AN32" i="1"/>
  <c r="J31" i="3"/>
  <c r="AO32" i="1"/>
  <c r="K31" i="3"/>
  <c r="AP32" i="1"/>
  <c r="L31" i="3"/>
  <c r="AQ32" i="1"/>
  <c r="M31" i="3"/>
  <c r="AR32" i="1"/>
  <c r="N31" i="3"/>
  <c r="AS32" i="1"/>
  <c r="O31" i="3"/>
  <c r="AT32" i="1"/>
  <c r="P31" i="3"/>
  <c r="AU32" i="1"/>
  <c r="Q31" i="3"/>
  <c r="AV32" i="1"/>
  <c r="R31" i="3"/>
  <c r="AF33" i="1"/>
  <c r="B32" i="3"/>
  <c r="AG33" i="1"/>
  <c r="C32" i="3"/>
  <c r="AH33" i="1"/>
  <c r="D32" i="3"/>
  <c r="AI33" i="1"/>
  <c r="E32" i="3"/>
  <c r="AJ33" i="1"/>
  <c r="F32" i="3" s="1"/>
  <c r="AK33" i="1"/>
  <c r="G32" i="3" s="1"/>
  <c r="AL33" i="1"/>
  <c r="H32" i="3"/>
  <c r="AM33" i="1"/>
  <c r="I32" i="3"/>
  <c r="AN33" i="1"/>
  <c r="J32" i="3"/>
  <c r="AO33" i="1"/>
  <c r="K32" i="3"/>
  <c r="AP33" i="1"/>
  <c r="L32" i="3"/>
  <c r="AQ33" i="1"/>
  <c r="M32" i="3"/>
  <c r="AR33" i="1"/>
  <c r="N32" i="3"/>
  <c r="AS33" i="1"/>
  <c r="O32" i="3" s="1"/>
  <c r="AT33" i="1"/>
  <c r="P32" i="3"/>
  <c r="AU33" i="1"/>
  <c r="Q32" i="3"/>
  <c r="AV33" i="1"/>
  <c r="R32" i="3"/>
  <c r="AF34" i="1"/>
  <c r="B33" i="3"/>
  <c r="AG34" i="1"/>
  <c r="C33" i="3"/>
  <c r="AH34" i="1"/>
  <c r="D33" i="3"/>
  <c r="AI34" i="1"/>
  <c r="E33" i="3"/>
  <c r="AJ34" i="1"/>
  <c r="F33" i="3"/>
  <c r="AK34" i="1"/>
  <c r="G33" i="3"/>
  <c r="AL34" i="1"/>
  <c r="H33" i="3"/>
  <c r="AM34" i="1"/>
  <c r="I33" i="3"/>
  <c r="AN34" i="1"/>
  <c r="J33" i="3"/>
  <c r="AO34" i="1"/>
  <c r="K33" i="3"/>
  <c r="AP34" i="1"/>
  <c r="L33" i="3"/>
  <c r="AQ34" i="1"/>
  <c r="M33" i="3"/>
  <c r="AR34" i="1"/>
  <c r="N33" i="3"/>
  <c r="AS34" i="1"/>
  <c r="O33" i="3"/>
  <c r="AT34" i="1"/>
  <c r="P33" i="3"/>
  <c r="AU34" i="1"/>
  <c r="Q33" i="3"/>
  <c r="AV34" i="1"/>
  <c r="R33" i="3"/>
  <c r="AF35" i="1"/>
  <c r="B34" i="3"/>
  <c r="AG35" i="1"/>
  <c r="C34" i="3"/>
  <c r="AH35" i="1"/>
  <c r="D34" i="3"/>
  <c r="AI35" i="1"/>
  <c r="E34" i="3" s="1"/>
  <c r="AJ35" i="1"/>
  <c r="F34" i="3"/>
  <c r="AK35" i="1"/>
  <c r="G34" i="3"/>
  <c r="AL35" i="1"/>
  <c r="H34" i="3"/>
  <c r="AM35" i="1"/>
  <c r="I34" i="3"/>
  <c r="AN35" i="1"/>
  <c r="J34" i="3"/>
  <c r="AO35" i="1"/>
  <c r="K34" i="3"/>
  <c r="AP35" i="1"/>
  <c r="L34" i="3" s="1"/>
  <c r="AQ35" i="1"/>
  <c r="M34" i="3"/>
  <c r="AR35" i="1"/>
  <c r="N34" i="3"/>
  <c r="AS35" i="1"/>
  <c r="O34" i="3"/>
  <c r="AT35" i="1"/>
  <c r="P34" i="3"/>
  <c r="AU35" i="1"/>
  <c r="Q34" i="3"/>
  <c r="AV35" i="1"/>
  <c r="R34" i="3" s="1"/>
  <c r="AF36" i="1"/>
  <c r="B35" i="3"/>
  <c r="AG36" i="1"/>
  <c r="C35" i="3"/>
  <c r="AH36" i="1"/>
  <c r="D35" i="3"/>
  <c r="AI36" i="1"/>
  <c r="E35" i="3"/>
  <c r="AJ36" i="1"/>
  <c r="F35" i="3"/>
  <c r="AK36" i="1"/>
  <c r="G35" i="3"/>
  <c r="AL36" i="1"/>
  <c r="H35" i="3"/>
  <c r="AM36" i="1"/>
  <c r="I35" i="3"/>
  <c r="AN36" i="1"/>
  <c r="J35" i="3"/>
  <c r="AO36" i="1"/>
  <c r="K35" i="3"/>
  <c r="AP36" i="1"/>
  <c r="L35" i="3"/>
  <c r="AQ36" i="1"/>
  <c r="M35" i="3"/>
  <c r="AR36" i="1"/>
  <c r="N35" i="3"/>
  <c r="AS36" i="1"/>
  <c r="O35" i="3"/>
  <c r="AT36" i="1"/>
  <c r="P35" i="3"/>
  <c r="AU36" i="1"/>
  <c r="Q35" i="3"/>
  <c r="AV36" i="1"/>
  <c r="R35" i="3"/>
  <c r="S35" i="3"/>
  <c r="AF37" i="1"/>
  <c r="B36" i="3"/>
  <c r="AG37" i="1"/>
  <c r="AH37" i="1"/>
  <c r="D36" i="3"/>
  <c r="AI37" i="1"/>
  <c r="E36" i="3"/>
  <c r="AJ37" i="1"/>
  <c r="F36" i="3"/>
  <c r="AK37" i="1"/>
  <c r="G36" i="3"/>
  <c r="AL37" i="1"/>
  <c r="H36" i="3"/>
  <c r="AM37" i="1"/>
  <c r="I36" i="3" s="1"/>
  <c r="AN37" i="1"/>
  <c r="J36" i="3"/>
  <c r="AO37" i="1"/>
  <c r="K36" i="3"/>
  <c r="AP37" i="1"/>
  <c r="L36" i="3"/>
  <c r="AQ37" i="1"/>
  <c r="M36" i="3"/>
  <c r="AR37" i="1"/>
  <c r="N36" i="3" s="1"/>
  <c r="AS37" i="1"/>
  <c r="O36" i="3" s="1"/>
  <c r="AT37" i="1"/>
  <c r="P36" i="3"/>
  <c r="AU37" i="1"/>
  <c r="Q36" i="3"/>
  <c r="AV37" i="1"/>
  <c r="R36" i="3"/>
  <c r="AF38" i="1"/>
  <c r="B37" i="3"/>
  <c r="AG38" i="1"/>
  <c r="C37" i="3"/>
  <c r="AH38" i="1"/>
  <c r="D37" i="3"/>
  <c r="AI38" i="1"/>
  <c r="E37" i="3"/>
  <c r="AJ38" i="1"/>
  <c r="F37" i="3"/>
  <c r="AK38" i="1"/>
  <c r="G37" i="3"/>
  <c r="AL38" i="1"/>
  <c r="H37" i="3"/>
  <c r="AM38" i="1"/>
  <c r="I37" i="3"/>
  <c r="AN38" i="1"/>
  <c r="J37" i="3"/>
  <c r="AO38" i="1"/>
  <c r="K37" i="3"/>
  <c r="AP38" i="1"/>
  <c r="L37" i="3"/>
  <c r="AQ38" i="1"/>
  <c r="M37" i="3"/>
  <c r="AR38" i="1"/>
  <c r="N37" i="3"/>
  <c r="AS38" i="1"/>
  <c r="O37" i="3"/>
  <c r="AT38" i="1"/>
  <c r="P37" i="3"/>
  <c r="AU38" i="1"/>
  <c r="Q37" i="3"/>
  <c r="AV38" i="1"/>
  <c r="R37" i="3" s="1"/>
  <c r="AF39" i="1"/>
  <c r="B38" i="3"/>
  <c r="AG39" i="1"/>
  <c r="C38" i="3"/>
  <c r="AH39" i="1"/>
  <c r="AW39" i="1" s="1"/>
  <c r="G39" i="1" s="1"/>
  <c r="D38" i="3"/>
  <c r="AI39" i="1"/>
  <c r="E38" i="3"/>
  <c r="AJ39" i="1"/>
  <c r="F38" i="3"/>
  <c r="AK39" i="1"/>
  <c r="G38" i="3" s="1"/>
  <c r="AL39" i="1"/>
  <c r="H38" i="3"/>
  <c r="AM39" i="1"/>
  <c r="I38" i="3"/>
  <c r="AN39" i="1"/>
  <c r="J38" i="3"/>
  <c r="AO39" i="1"/>
  <c r="K38" i="3"/>
  <c r="AP39" i="1"/>
  <c r="L38" i="3"/>
  <c r="AQ39" i="1"/>
  <c r="M38" i="3" s="1"/>
  <c r="AR39" i="1"/>
  <c r="N38" i="3"/>
  <c r="AS39" i="1"/>
  <c r="O38" i="3"/>
  <c r="AT39" i="1"/>
  <c r="P38" i="3"/>
  <c r="AU39" i="1"/>
  <c r="Q38" i="3"/>
  <c r="AV39" i="1"/>
  <c r="R38" i="3"/>
  <c r="AF40" i="1"/>
  <c r="B39" i="3"/>
  <c r="AG40" i="1"/>
  <c r="C39" i="3"/>
  <c r="AH40" i="1"/>
  <c r="D39" i="3"/>
  <c r="AI40" i="1"/>
  <c r="E39" i="3"/>
  <c r="AJ40" i="1"/>
  <c r="F39" i="3"/>
  <c r="AK40" i="1"/>
  <c r="G39" i="3"/>
  <c r="AL40" i="1"/>
  <c r="H39" i="3"/>
  <c r="AM40" i="1"/>
  <c r="I39" i="3"/>
  <c r="AN40" i="1"/>
  <c r="J39" i="3"/>
  <c r="AO40" i="1"/>
  <c r="K39" i="3"/>
  <c r="AP40" i="1"/>
  <c r="L39" i="3"/>
  <c r="AQ40" i="1"/>
  <c r="M39" i="3"/>
  <c r="AR40" i="1"/>
  <c r="N39" i="3"/>
  <c r="AS40" i="1"/>
  <c r="O39" i="3" s="1"/>
  <c r="AT40" i="1"/>
  <c r="P39" i="3" s="1"/>
  <c r="AU40" i="1"/>
  <c r="Q39" i="3"/>
  <c r="AV40" i="1"/>
  <c r="R39" i="3"/>
  <c r="AF41" i="1"/>
  <c r="B40" i="3"/>
  <c r="AG41" i="1"/>
  <c r="C40" i="3"/>
  <c r="AH41" i="1"/>
  <c r="D40" i="3"/>
  <c r="AI41" i="1"/>
  <c r="E40" i="3" s="1"/>
  <c r="AJ41" i="1"/>
  <c r="F40" i="3"/>
  <c r="AK41" i="1"/>
  <c r="G40" i="3"/>
  <c r="AL41" i="1"/>
  <c r="H40" i="3"/>
  <c r="AM41" i="1"/>
  <c r="I40" i="3"/>
  <c r="AN41" i="1"/>
  <c r="J40" i="3"/>
  <c r="AO41" i="1"/>
  <c r="K40" i="3" s="1"/>
  <c r="AP41" i="1"/>
  <c r="L40" i="3"/>
  <c r="AQ41" i="1"/>
  <c r="M40" i="3"/>
  <c r="AR41" i="1"/>
  <c r="N40" i="3"/>
  <c r="AS41" i="1"/>
  <c r="O40" i="3" s="1"/>
  <c r="AT41" i="1"/>
  <c r="P40" i="3"/>
  <c r="AU41" i="1"/>
  <c r="Q40" i="3"/>
  <c r="AV41" i="1"/>
  <c r="R40" i="3"/>
  <c r="AF42" i="1"/>
  <c r="B41" i="3"/>
  <c r="AG42" i="1"/>
  <c r="C41" i="3"/>
  <c r="AH42" i="1"/>
  <c r="D41" i="3"/>
  <c r="AI42" i="1"/>
  <c r="E41" i="3"/>
  <c r="AJ42" i="1"/>
  <c r="F41" i="3" s="1"/>
  <c r="AK42" i="1"/>
  <c r="G41" i="3"/>
  <c r="AL42" i="1"/>
  <c r="H41" i="3"/>
  <c r="AM42" i="1"/>
  <c r="I41" i="3"/>
  <c r="AN42" i="1"/>
  <c r="J41" i="3"/>
  <c r="AO42" i="1"/>
  <c r="K41" i="3"/>
  <c r="AP42" i="1"/>
  <c r="L41" i="3" s="1"/>
  <c r="AQ42" i="1"/>
  <c r="M41" i="3" s="1"/>
  <c r="AR42" i="1"/>
  <c r="N41" i="3"/>
  <c r="AS42" i="1"/>
  <c r="O41" i="3"/>
  <c r="AT42" i="1"/>
  <c r="P41" i="3"/>
  <c r="AU42" i="1"/>
  <c r="Q41" i="3" s="1"/>
  <c r="AV42" i="1"/>
  <c r="R41" i="3"/>
  <c r="AF43" i="1"/>
  <c r="B42" i="3"/>
  <c r="AG43" i="1"/>
  <c r="C42" i="3" s="1"/>
  <c r="AH43" i="1"/>
  <c r="D42" i="3"/>
  <c r="AI43" i="1"/>
  <c r="E42" i="3"/>
  <c r="AJ43" i="1"/>
  <c r="F42" i="3"/>
  <c r="AK43" i="1"/>
  <c r="G42" i="3"/>
  <c r="AL43" i="1"/>
  <c r="H42" i="3" s="1"/>
  <c r="AM43" i="1"/>
  <c r="I42" i="3" s="1"/>
  <c r="AN43" i="1"/>
  <c r="J42" i="3"/>
  <c r="AO43" i="1"/>
  <c r="K42" i="3"/>
  <c r="AP43" i="1"/>
  <c r="L42" i="3"/>
  <c r="AQ43" i="1"/>
  <c r="M42" i="3"/>
  <c r="AR43" i="1"/>
  <c r="N42" i="3"/>
  <c r="AS43" i="1"/>
  <c r="O42" i="3"/>
  <c r="AT43" i="1"/>
  <c r="P42" i="3"/>
  <c r="AU43" i="1"/>
  <c r="Q42" i="3"/>
  <c r="AV43" i="1"/>
  <c r="R42" i="3"/>
  <c r="AF44" i="1"/>
  <c r="B43" i="3"/>
  <c r="AG44" i="1"/>
  <c r="C43" i="3"/>
  <c r="AH44" i="1"/>
  <c r="D43" i="3"/>
  <c r="AI44" i="1"/>
  <c r="E43" i="3" s="1"/>
  <c r="AJ44" i="1"/>
  <c r="F43" i="3"/>
  <c r="AK44" i="1"/>
  <c r="G43" i="3"/>
  <c r="AL44" i="1"/>
  <c r="H43" i="3"/>
  <c r="AM44" i="1"/>
  <c r="I43" i="3" s="1"/>
  <c r="AN44" i="1"/>
  <c r="J43" i="3" s="1"/>
  <c r="AO44" i="1"/>
  <c r="K43" i="3"/>
  <c r="AP44" i="1"/>
  <c r="L43" i="3"/>
  <c r="AQ44" i="1"/>
  <c r="M43" i="3"/>
  <c r="AR44" i="1"/>
  <c r="N43" i="3"/>
  <c r="AS44" i="1"/>
  <c r="O43" i="3"/>
  <c r="AT44" i="1"/>
  <c r="P43" i="3" s="1"/>
  <c r="AU44" i="1"/>
  <c r="Q43" i="3"/>
  <c r="AV44" i="1"/>
  <c r="R43" i="3"/>
  <c r="AF45" i="1"/>
  <c r="B44" i="3"/>
  <c r="AG45" i="1"/>
  <c r="C44" i="3"/>
  <c r="AH45" i="1"/>
  <c r="D44" i="3"/>
  <c r="AI45" i="1"/>
  <c r="E44" i="3"/>
  <c r="AJ45" i="1"/>
  <c r="AK45" i="1"/>
  <c r="G44" i="3" s="1"/>
  <c r="AL45" i="1"/>
  <c r="H44" i="3"/>
  <c r="AM45" i="1"/>
  <c r="I44" i="3"/>
  <c r="AN45" i="1"/>
  <c r="J44" i="3"/>
  <c r="AO45" i="1"/>
  <c r="K44" i="3"/>
  <c r="AP45" i="1"/>
  <c r="L44" i="3" s="1"/>
  <c r="AQ45" i="1"/>
  <c r="M44" i="3"/>
  <c r="AR45" i="1"/>
  <c r="N44" i="3"/>
  <c r="AS45" i="1"/>
  <c r="O44" i="3"/>
  <c r="AT45" i="1"/>
  <c r="P44" i="3"/>
  <c r="AU45" i="1"/>
  <c r="Q44" i="3"/>
  <c r="AV45" i="1"/>
  <c r="R44" i="3"/>
  <c r="AF46" i="1"/>
  <c r="B45" i="3"/>
  <c r="AG46" i="1"/>
  <c r="C45" i="3"/>
  <c r="AH46" i="1"/>
  <c r="D45" i="3"/>
  <c r="AI46" i="1"/>
  <c r="E45" i="3"/>
  <c r="AJ46" i="1"/>
  <c r="F45" i="3" s="1"/>
  <c r="AK46" i="1"/>
  <c r="G45" i="3" s="1"/>
  <c r="AL46" i="1"/>
  <c r="H45" i="3"/>
  <c r="AM46" i="1"/>
  <c r="I45" i="3"/>
  <c r="AN46" i="1"/>
  <c r="J45" i="3"/>
  <c r="AO46" i="1"/>
  <c r="K45" i="3"/>
  <c r="AP46" i="1"/>
  <c r="L45" i="3"/>
  <c r="AQ46" i="1"/>
  <c r="M45" i="3"/>
  <c r="AR46" i="1"/>
  <c r="AW46" i="1" s="1"/>
  <c r="G46" i="1" s="1"/>
  <c r="N45" i="3"/>
  <c r="AS46" i="1"/>
  <c r="O45" i="3"/>
  <c r="AT46" i="1"/>
  <c r="P45" i="3"/>
  <c r="AU46" i="1"/>
  <c r="Q45" i="3"/>
  <c r="AV46" i="1"/>
  <c r="R45" i="3"/>
  <c r="AF47" i="1"/>
  <c r="B46" i="3"/>
  <c r="AG47" i="1"/>
  <c r="C46" i="3"/>
  <c r="AH47" i="1"/>
  <c r="D46" i="3"/>
  <c r="AI47" i="1"/>
  <c r="E46" i="3" s="1"/>
  <c r="AJ47" i="1"/>
  <c r="F46" i="3"/>
  <c r="AK47" i="1"/>
  <c r="G46" i="3"/>
  <c r="AL47" i="1"/>
  <c r="H46" i="3"/>
  <c r="AM47" i="1"/>
  <c r="I46" i="3"/>
  <c r="AN47" i="1"/>
  <c r="J46" i="3"/>
  <c r="AO47" i="1"/>
  <c r="K46" i="3" s="1"/>
  <c r="AP47" i="1"/>
  <c r="L46" i="3"/>
  <c r="AQ47" i="1"/>
  <c r="M46" i="3"/>
  <c r="AR47" i="1"/>
  <c r="N46" i="3"/>
  <c r="AS47" i="1"/>
  <c r="O46" i="3"/>
  <c r="AT47" i="1"/>
  <c r="P46" i="3"/>
  <c r="AU47" i="1"/>
  <c r="Q46" i="3"/>
  <c r="AV47" i="1"/>
  <c r="R46" i="3"/>
  <c r="AF48" i="1"/>
  <c r="B47" i="3"/>
  <c r="AG48" i="1"/>
  <c r="C47" i="3" s="1"/>
  <c r="AH48" i="1"/>
  <c r="D47" i="3" s="1"/>
  <c r="AI48" i="1"/>
  <c r="E47" i="3"/>
  <c r="AJ48" i="1"/>
  <c r="F47" i="3"/>
  <c r="AK48" i="1"/>
  <c r="G47" i="3"/>
  <c r="AL48" i="1"/>
  <c r="H47" i="3"/>
  <c r="AM48" i="1"/>
  <c r="I47" i="3"/>
  <c r="AN48" i="1"/>
  <c r="J47" i="3"/>
  <c r="AO48" i="1"/>
  <c r="K47" i="3"/>
  <c r="AP48" i="1"/>
  <c r="L47" i="3"/>
  <c r="AQ48" i="1"/>
  <c r="M47" i="3"/>
  <c r="AR48" i="1"/>
  <c r="AW48" i="1" s="1"/>
  <c r="N47" i="3"/>
  <c r="AS48" i="1"/>
  <c r="O47" i="3"/>
  <c r="AT48" i="1"/>
  <c r="P47" i="3"/>
  <c r="AU48" i="1"/>
  <c r="Q47" i="3"/>
  <c r="AV48" i="1"/>
  <c r="R47" i="3" s="1"/>
  <c r="AF49" i="1"/>
  <c r="B48" i="3"/>
  <c r="AG49" i="1"/>
  <c r="C48" i="3" s="1"/>
  <c r="AH49" i="1"/>
  <c r="D48" i="3"/>
  <c r="AI49" i="1"/>
  <c r="E48" i="3" s="1"/>
  <c r="AJ49" i="1"/>
  <c r="F48" i="3"/>
  <c r="AK49" i="1"/>
  <c r="G48" i="3"/>
  <c r="AL49" i="1"/>
  <c r="H48" i="3"/>
  <c r="AM49" i="1"/>
  <c r="I48" i="3" s="1"/>
  <c r="AN49" i="1"/>
  <c r="J48" i="3"/>
  <c r="AO49" i="1"/>
  <c r="K48" i="3"/>
  <c r="AP49" i="1"/>
  <c r="L48" i="3"/>
  <c r="AQ49" i="1"/>
  <c r="M48" i="3"/>
  <c r="AR49" i="1"/>
  <c r="N48" i="3" s="1"/>
  <c r="AS49" i="1"/>
  <c r="O48" i="3"/>
  <c r="AT49" i="1"/>
  <c r="P48" i="3"/>
  <c r="AU49" i="1"/>
  <c r="Q48" i="3"/>
  <c r="AV49" i="1"/>
  <c r="R48" i="3"/>
  <c r="AF50" i="1"/>
  <c r="B49" i="3"/>
  <c r="AG50" i="1"/>
  <c r="C49" i="3"/>
  <c r="AH50" i="1"/>
  <c r="D49" i="3"/>
  <c r="AI50" i="1"/>
  <c r="E49" i="3"/>
  <c r="AJ50" i="1"/>
  <c r="F49" i="3"/>
  <c r="AK50" i="1"/>
  <c r="G49" i="3"/>
  <c r="AL50" i="1"/>
  <c r="H49" i="3"/>
  <c r="AM50" i="1"/>
  <c r="I49" i="3"/>
  <c r="AN50" i="1"/>
  <c r="J49" i="3"/>
  <c r="AO50" i="1"/>
  <c r="K49" i="3"/>
  <c r="AP50" i="1"/>
  <c r="L49" i="3" s="1"/>
  <c r="AQ50" i="1"/>
  <c r="M49" i="3"/>
  <c r="AR50" i="1"/>
  <c r="N49" i="3"/>
  <c r="AS50" i="1"/>
  <c r="O49" i="3"/>
  <c r="AT50" i="1"/>
  <c r="P49" i="3"/>
  <c r="AU50" i="1"/>
  <c r="AW50" i="1" s="1"/>
  <c r="G50" i="1" s="1"/>
  <c r="Q49" i="3"/>
  <c r="AV50" i="1"/>
  <c r="R49" i="3" s="1"/>
  <c r="AF51" i="1"/>
  <c r="B50" i="3"/>
  <c r="AG51" i="1"/>
  <c r="C50" i="3"/>
  <c r="AH51" i="1"/>
  <c r="D50" i="3"/>
  <c r="AI51" i="1"/>
  <c r="E50" i="3"/>
  <c r="AJ51" i="1"/>
  <c r="F50" i="3"/>
  <c r="AK51" i="1"/>
  <c r="G50" i="3" s="1"/>
  <c r="AL51" i="1"/>
  <c r="H50" i="3"/>
  <c r="AM51" i="1"/>
  <c r="I50" i="3"/>
  <c r="AN51" i="1"/>
  <c r="J50" i="3"/>
  <c r="AO51" i="1"/>
  <c r="K50" i="3"/>
  <c r="AP51" i="1"/>
  <c r="L50" i="3"/>
  <c r="AQ51" i="1"/>
  <c r="M50" i="3" s="1"/>
  <c r="AR51" i="1"/>
  <c r="N50" i="3"/>
  <c r="AS51" i="1"/>
  <c r="O50" i="3"/>
  <c r="AT51" i="1"/>
  <c r="P50" i="3"/>
  <c r="AU51" i="1"/>
  <c r="Q50" i="3"/>
  <c r="AV51" i="1"/>
  <c r="R50" i="3"/>
  <c r="AF52" i="1"/>
  <c r="B51" i="3"/>
  <c r="AG52" i="1"/>
  <c r="C51" i="3" s="1"/>
  <c r="AH52" i="1"/>
  <c r="D51" i="3"/>
  <c r="AI52" i="1"/>
  <c r="E51" i="3"/>
  <c r="AJ52" i="1"/>
  <c r="F51" i="3"/>
  <c r="AK52" i="1"/>
  <c r="G51" i="3"/>
  <c r="AL52" i="1"/>
  <c r="H51" i="3"/>
  <c r="AM52" i="1"/>
  <c r="I51" i="3" s="1"/>
  <c r="AN52" i="1"/>
  <c r="J51" i="3"/>
  <c r="AO52" i="1"/>
  <c r="K51" i="3"/>
  <c r="AP52" i="1"/>
  <c r="L51" i="3"/>
  <c r="AQ52" i="1"/>
  <c r="M51" i="3"/>
  <c r="AR52" i="1"/>
  <c r="N51" i="3"/>
  <c r="AS52" i="1"/>
  <c r="O51" i="3" s="1"/>
  <c r="AT52" i="1"/>
  <c r="P51" i="3" s="1"/>
  <c r="AU52" i="1"/>
  <c r="Q51" i="3"/>
  <c r="AV52" i="1"/>
  <c r="R51" i="3"/>
  <c r="S51" i="3"/>
  <c r="AF53" i="1"/>
  <c r="B52" i="3"/>
  <c r="AG53" i="1"/>
  <c r="AH53" i="1"/>
  <c r="D52" i="3"/>
  <c r="AI53" i="1"/>
  <c r="E52" i="3"/>
  <c r="AJ53" i="1"/>
  <c r="F52" i="3"/>
  <c r="AK53" i="1"/>
  <c r="G52" i="3"/>
  <c r="AL53" i="1"/>
  <c r="H52" i="3"/>
  <c r="AM53" i="1"/>
  <c r="I52" i="3"/>
  <c r="AN53" i="1"/>
  <c r="J52" i="3"/>
  <c r="AO53" i="1"/>
  <c r="K52" i="3"/>
  <c r="AP53" i="1"/>
  <c r="L52" i="3"/>
  <c r="AQ53" i="1"/>
  <c r="M52" i="3"/>
  <c r="AR53" i="1"/>
  <c r="N52" i="3"/>
  <c r="AS53" i="1"/>
  <c r="O52" i="3"/>
  <c r="AT53" i="1"/>
  <c r="P52" i="3"/>
  <c r="AU53" i="1"/>
  <c r="Q52" i="3"/>
  <c r="AV53" i="1"/>
  <c r="R52" i="3"/>
  <c r="AF54" i="1"/>
  <c r="B53" i="3"/>
  <c r="AG54" i="1"/>
  <c r="C53" i="3"/>
  <c r="AH54" i="1"/>
  <c r="D53" i="3"/>
  <c r="AI54" i="1"/>
  <c r="E53" i="3"/>
  <c r="AJ54" i="1"/>
  <c r="F53" i="3" s="1"/>
  <c r="AK54" i="1"/>
  <c r="G53" i="3"/>
  <c r="AL54" i="1"/>
  <c r="H53" i="3"/>
  <c r="AM54" i="1"/>
  <c r="I53" i="3"/>
  <c r="AN54" i="1"/>
  <c r="J53" i="3"/>
  <c r="AO54" i="1"/>
  <c r="K53" i="3"/>
  <c r="AP54" i="1"/>
  <c r="L53" i="3" s="1"/>
  <c r="AQ54" i="1"/>
  <c r="M53" i="3"/>
  <c r="AR54" i="1"/>
  <c r="N53" i="3" s="1"/>
  <c r="AS54" i="1"/>
  <c r="O53" i="3"/>
  <c r="AT54" i="1"/>
  <c r="P53" i="3"/>
  <c r="AU54" i="1"/>
  <c r="AV54" i="1"/>
  <c r="R53" i="3"/>
  <c r="AF55" i="1"/>
  <c r="AW55" i="1" s="1"/>
  <c r="G55" i="1" s="1"/>
  <c r="B54" i="3"/>
  <c r="AG55" i="1"/>
  <c r="C54" i="3"/>
  <c r="AH55" i="1"/>
  <c r="D54" i="3"/>
  <c r="AI55" i="1"/>
  <c r="E54" i="3" s="1"/>
  <c r="AJ55" i="1"/>
  <c r="F54" i="3"/>
  <c r="AK55" i="1"/>
  <c r="G54" i="3"/>
  <c r="AL55" i="1"/>
  <c r="H54" i="3"/>
  <c r="AM55" i="1"/>
  <c r="I54" i="3"/>
  <c r="AN55" i="1"/>
  <c r="J54" i="3"/>
  <c r="AO55" i="1"/>
  <c r="K54" i="3" s="1"/>
  <c r="AP55" i="1"/>
  <c r="L54" i="3"/>
  <c r="AQ55" i="1"/>
  <c r="M54" i="3"/>
  <c r="AR55" i="1"/>
  <c r="N54" i="3"/>
  <c r="AS55" i="1"/>
  <c r="O54" i="3"/>
  <c r="AT55" i="1"/>
  <c r="P54" i="3"/>
  <c r="AU55" i="1"/>
  <c r="Q54" i="3"/>
  <c r="AV55" i="1"/>
  <c r="R54" i="3" s="1"/>
  <c r="AF56" i="1"/>
  <c r="B55" i="3"/>
  <c r="AG56" i="1"/>
  <c r="C55" i="3" s="1"/>
  <c r="AH56" i="1"/>
  <c r="D55" i="3"/>
  <c r="AI56" i="1"/>
  <c r="E55" i="3"/>
  <c r="AJ56" i="1"/>
  <c r="F55" i="3"/>
  <c r="AK56" i="1"/>
  <c r="G55" i="3"/>
  <c r="AL56" i="1"/>
  <c r="H55" i="3" s="1"/>
  <c r="AM56" i="1"/>
  <c r="I55" i="3" s="1"/>
  <c r="AN56" i="1"/>
  <c r="J55" i="3"/>
  <c r="AO56" i="1"/>
  <c r="K55" i="3" s="1"/>
  <c r="AP56" i="1"/>
  <c r="L55" i="3" s="1"/>
  <c r="AQ56" i="1"/>
  <c r="M55" i="3"/>
  <c r="AR56" i="1"/>
  <c r="N55" i="3"/>
  <c r="AS56" i="1"/>
  <c r="O55" i="3" s="1"/>
  <c r="AT56" i="1"/>
  <c r="P55" i="3"/>
  <c r="AU56" i="1"/>
  <c r="Q55" i="3"/>
  <c r="AV56" i="1"/>
  <c r="R55" i="3"/>
  <c r="S55" i="3"/>
  <c r="AF57" i="1"/>
  <c r="B56" i="3"/>
  <c r="AG57" i="1"/>
  <c r="C56" i="3"/>
  <c r="AH57" i="1"/>
  <c r="D56" i="3" s="1"/>
  <c r="AI57" i="1"/>
  <c r="E56" i="3"/>
  <c r="AJ57" i="1"/>
  <c r="F56" i="3"/>
  <c r="AK57" i="1"/>
  <c r="G56" i="3"/>
  <c r="AL57" i="1"/>
  <c r="H56" i="3"/>
  <c r="AM57" i="1"/>
  <c r="I56" i="3" s="1"/>
  <c r="AN57" i="1"/>
  <c r="J56" i="3"/>
  <c r="AO57" i="1"/>
  <c r="K56" i="3"/>
  <c r="AP57" i="1"/>
  <c r="L56" i="3"/>
  <c r="AQ57" i="1"/>
  <c r="M56" i="3"/>
  <c r="AR57" i="1"/>
  <c r="N56" i="3"/>
  <c r="AS57" i="1"/>
  <c r="O56" i="3"/>
  <c r="AT57" i="1"/>
  <c r="P56" i="3"/>
  <c r="AU57" i="1"/>
  <c r="Q56" i="3" s="1"/>
  <c r="AV57" i="1"/>
  <c r="R56" i="3"/>
  <c r="AF58" i="1"/>
  <c r="B57" i="3"/>
  <c r="AG58" i="1"/>
  <c r="C57" i="3"/>
  <c r="AH58" i="1"/>
  <c r="D57" i="3"/>
  <c r="AI58" i="1"/>
  <c r="E57" i="3"/>
  <c r="AJ58" i="1"/>
  <c r="F57" i="3" s="1"/>
  <c r="AK58" i="1"/>
  <c r="G57" i="3"/>
  <c r="AL58" i="1"/>
  <c r="H57" i="3"/>
  <c r="AM58" i="1"/>
  <c r="I57" i="3"/>
  <c r="AN58" i="1"/>
  <c r="J57" i="3" s="1"/>
  <c r="AO58" i="1"/>
  <c r="K57" i="3"/>
  <c r="AP58" i="1"/>
  <c r="L57" i="3"/>
  <c r="AQ58" i="1"/>
  <c r="M57" i="3" s="1"/>
  <c r="AR58" i="1"/>
  <c r="N57" i="3" s="1"/>
  <c r="S57" i="3" s="1"/>
  <c r="AS58" i="1"/>
  <c r="O57" i="3"/>
  <c r="AT58" i="1"/>
  <c r="P57" i="3"/>
  <c r="AU58" i="1"/>
  <c r="Q57" i="3" s="1"/>
  <c r="AV58" i="1"/>
  <c r="R57" i="3"/>
  <c r="AF59" i="1"/>
  <c r="B58" i="3"/>
  <c r="AG59" i="1"/>
  <c r="C58" i="3"/>
  <c r="AH59" i="1"/>
  <c r="D58" i="3"/>
  <c r="AI59" i="1"/>
  <c r="E58" i="3"/>
  <c r="AJ59" i="1"/>
  <c r="F58" i="3"/>
  <c r="AK59" i="1"/>
  <c r="G58" i="3"/>
  <c r="AL59" i="1"/>
  <c r="H58" i="3"/>
  <c r="AM59" i="1"/>
  <c r="I58" i="3" s="1"/>
  <c r="AN59" i="1"/>
  <c r="J58" i="3"/>
  <c r="AO59" i="1"/>
  <c r="K58" i="3"/>
  <c r="AP59" i="1"/>
  <c r="L58" i="3"/>
  <c r="AQ59" i="1"/>
  <c r="M58" i="3"/>
  <c r="AR59" i="1"/>
  <c r="N58" i="3"/>
  <c r="AS59" i="1"/>
  <c r="O58" i="3"/>
  <c r="AT59" i="1"/>
  <c r="P58" i="3"/>
  <c r="AU59" i="1"/>
  <c r="Q58" i="3"/>
  <c r="AV59" i="1"/>
  <c r="R58" i="3" s="1"/>
  <c r="AF60" i="1"/>
  <c r="B59" i="3"/>
  <c r="AG60" i="1"/>
  <c r="C59" i="3" s="1"/>
  <c r="AH60" i="1"/>
  <c r="D59" i="3"/>
  <c r="AI60" i="1"/>
  <c r="E59" i="3" s="1"/>
  <c r="AJ60" i="1"/>
  <c r="F59" i="3"/>
  <c r="AK60" i="1"/>
  <c r="G59" i="3"/>
  <c r="AL60" i="1"/>
  <c r="H59" i="3" s="1"/>
  <c r="S59" i="3" s="1"/>
  <c r="AM60" i="1"/>
  <c r="I59" i="3"/>
  <c r="AN60" i="1"/>
  <c r="J59" i="3"/>
  <c r="AO60" i="1"/>
  <c r="K59" i="3"/>
  <c r="AP60" i="1"/>
  <c r="L59" i="3"/>
  <c r="AQ60" i="1"/>
  <c r="M59" i="3"/>
  <c r="AR60" i="1"/>
  <c r="N59" i="3"/>
  <c r="AS60" i="1"/>
  <c r="O59" i="3"/>
  <c r="AT60" i="1"/>
  <c r="P59" i="3"/>
  <c r="AU60" i="1"/>
  <c r="Q59" i="3" s="1"/>
  <c r="AV60" i="1"/>
  <c r="R59" i="3" s="1"/>
  <c r="AF61" i="1"/>
  <c r="B60" i="3"/>
  <c r="AG61" i="1"/>
  <c r="C60" i="3" s="1"/>
  <c r="AH61" i="1"/>
  <c r="D60" i="3"/>
  <c r="AI61" i="1"/>
  <c r="E60" i="3"/>
  <c r="AJ61" i="1"/>
  <c r="F60" i="3" s="1"/>
  <c r="AK61" i="1"/>
  <c r="G60" i="3"/>
  <c r="AL61" i="1"/>
  <c r="H60" i="3"/>
  <c r="AM61" i="1"/>
  <c r="I60" i="3"/>
  <c r="AN61" i="1"/>
  <c r="J60" i="3"/>
  <c r="AO61" i="1"/>
  <c r="K60" i="3"/>
  <c r="AP61" i="1"/>
  <c r="L60" i="3" s="1"/>
  <c r="AQ61" i="1"/>
  <c r="M60" i="3"/>
  <c r="AR61" i="1"/>
  <c r="N60" i="3"/>
  <c r="AS61" i="1"/>
  <c r="O60" i="3"/>
  <c r="AT61" i="1"/>
  <c r="P60" i="3" s="1"/>
  <c r="AU61" i="1"/>
  <c r="Q60" i="3"/>
  <c r="AV61" i="1"/>
  <c r="R60" i="3"/>
  <c r="AF62" i="1"/>
  <c r="B61" i="3"/>
  <c r="AG62" i="1"/>
  <c r="C61" i="3"/>
  <c r="AH62" i="1"/>
  <c r="D61" i="3" s="1"/>
  <c r="AI62" i="1"/>
  <c r="E61" i="3"/>
  <c r="AJ62" i="1"/>
  <c r="F61" i="3"/>
  <c r="AK62" i="1"/>
  <c r="G61" i="3"/>
  <c r="AL62" i="1"/>
  <c r="H61" i="3"/>
  <c r="AM62" i="1"/>
  <c r="I61" i="3"/>
  <c r="AN62" i="1"/>
  <c r="J61" i="3"/>
  <c r="AO62" i="1"/>
  <c r="K61" i="3"/>
  <c r="AP62" i="1"/>
  <c r="L61" i="3"/>
  <c r="AQ62" i="1"/>
  <c r="M61" i="3" s="1"/>
  <c r="S61" i="3" s="1"/>
  <c r="AR62" i="1"/>
  <c r="N61" i="3" s="1"/>
  <c r="AS62" i="1"/>
  <c r="O61" i="3" s="1"/>
  <c r="AT62" i="1"/>
  <c r="P61" i="3"/>
  <c r="AU62" i="1"/>
  <c r="Q61" i="3"/>
  <c r="AV62" i="1"/>
  <c r="R61" i="3"/>
  <c r="AF63" i="1"/>
  <c r="B62" i="3"/>
  <c r="AG63" i="1"/>
  <c r="C62" i="3"/>
  <c r="AH63" i="1"/>
  <c r="D62" i="3"/>
  <c r="AI63" i="1"/>
  <c r="E62" i="3"/>
  <c r="AJ63" i="1"/>
  <c r="F62" i="3"/>
  <c r="AK63" i="1"/>
  <c r="G62" i="3"/>
  <c r="AL63" i="1"/>
  <c r="H62" i="3"/>
  <c r="AM63" i="1"/>
  <c r="I62" i="3" s="1"/>
  <c r="AN63" i="1"/>
  <c r="J62" i="3"/>
  <c r="AO63" i="1"/>
  <c r="K62" i="3"/>
  <c r="AP63" i="1"/>
  <c r="L62" i="3"/>
  <c r="AQ63" i="1"/>
  <c r="M62" i="3"/>
  <c r="AR63" i="1"/>
  <c r="N62" i="3" s="1"/>
  <c r="AS63" i="1"/>
  <c r="O62" i="3"/>
  <c r="AT63" i="1"/>
  <c r="P62" i="3"/>
  <c r="AU63" i="1"/>
  <c r="Q62" i="3"/>
  <c r="AV63" i="1"/>
  <c r="R62" i="3"/>
  <c r="AF64" i="1"/>
  <c r="B63" i="3"/>
  <c r="AG64" i="1"/>
  <c r="C63" i="3"/>
  <c r="AH64" i="1"/>
  <c r="D63" i="3"/>
  <c r="AI64" i="1"/>
  <c r="E63" i="3"/>
  <c r="AJ64" i="1"/>
  <c r="F63" i="3" s="1"/>
  <c r="AK64" i="1"/>
  <c r="G63" i="3"/>
  <c r="AL64" i="1"/>
  <c r="H63" i="3"/>
  <c r="AM64" i="1"/>
  <c r="AN64" i="1"/>
  <c r="J63" i="3"/>
  <c r="AO64" i="1"/>
  <c r="K63" i="3" s="1"/>
  <c r="AP64" i="1"/>
  <c r="L63" i="3" s="1"/>
  <c r="AQ64" i="1"/>
  <c r="M63" i="3"/>
  <c r="AR64" i="1"/>
  <c r="N63" i="3" s="1"/>
  <c r="AS64" i="1"/>
  <c r="O63" i="3"/>
  <c r="AT64" i="1"/>
  <c r="P63" i="3"/>
  <c r="AU64" i="1"/>
  <c r="Q63" i="3" s="1"/>
  <c r="AV64" i="1"/>
  <c r="R63" i="3"/>
  <c r="AF65" i="1"/>
  <c r="B64" i="3"/>
  <c r="AG65" i="1"/>
  <c r="C64" i="3"/>
  <c r="AH65" i="1"/>
  <c r="D64" i="3"/>
  <c r="AI65" i="1"/>
  <c r="E64" i="3"/>
  <c r="AJ65" i="1"/>
  <c r="F64" i="3" s="1"/>
  <c r="AK65" i="1"/>
  <c r="G64" i="3"/>
  <c r="AL65" i="1"/>
  <c r="H64" i="3"/>
  <c r="AM65" i="1"/>
  <c r="I64" i="3"/>
  <c r="AN65" i="1"/>
  <c r="J64" i="3"/>
  <c r="AO65" i="1"/>
  <c r="K64" i="3"/>
  <c r="AP65" i="1"/>
  <c r="L64" i="3" s="1"/>
  <c r="AQ65" i="1"/>
  <c r="M64" i="3"/>
  <c r="AR65" i="1"/>
  <c r="N64" i="3"/>
  <c r="AS65" i="1"/>
  <c r="O64" i="3"/>
  <c r="AT65" i="1"/>
  <c r="P64" i="3"/>
  <c r="AU65" i="1"/>
  <c r="Q64" i="3"/>
  <c r="AV65" i="1"/>
  <c r="R64" i="3"/>
  <c r="AF66" i="1"/>
  <c r="B65" i="3"/>
  <c r="AG66" i="1"/>
  <c r="C65" i="3"/>
  <c r="AH66" i="1"/>
  <c r="D65" i="3"/>
  <c r="AI66" i="1"/>
  <c r="E65" i="3"/>
  <c r="AJ66" i="1"/>
  <c r="F65" i="3"/>
  <c r="AK66" i="1"/>
  <c r="G65" i="3"/>
  <c r="AL66" i="1"/>
  <c r="H65" i="3" s="1"/>
  <c r="AM66" i="1"/>
  <c r="I65" i="3" s="1"/>
  <c r="AN66" i="1"/>
  <c r="J65" i="3"/>
  <c r="S65" i="3" s="1"/>
  <c r="AO66" i="1"/>
  <c r="K65" i="3"/>
  <c r="AP66" i="1"/>
  <c r="L65" i="3"/>
  <c r="AQ66" i="1"/>
  <c r="M65" i="3"/>
  <c r="AR66" i="1"/>
  <c r="N65" i="3"/>
  <c r="AS66" i="1"/>
  <c r="O65" i="3"/>
  <c r="AT66" i="1"/>
  <c r="P65" i="3"/>
  <c r="AU66" i="1"/>
  <c r="Q65" i="3"/>
  <c r="AV66" i="1"/>
  <c r="R65" i="3"/>
  <c r="AF67" i="1"/>
  <c r="B66" i="3"/>
  <c r="AG67" i="1"/>
  <c r="C66" i="3"/>
  <c r="AH67" i="1"/>
  <c r="D66" i="3"/>
  <c r="AI67" i="1"/>
  <c r="E66" i="3" s="1"/>
  <c r="AJ67" i="1"/>
  <c r="F66" i="3"/>
  <c r="AK67" i="1"/>
  <c r="G66" i="3"/>
  <c r="AL67" i="1"/>
  <c r="H66" i="3"/>
  <c r="AM67" i="1"/>
  <c r="I66" i="3"/>
  <c r="AN67" i="1"/>
  <c r="J66" i="3" s="1"/>
  <c r="AO67" i="1"/>
  <c r="K66" i="3"/>
  <c r="AP67" i="1"/>
  <c r="L66" i="3"/>
  <c r="AQ67" i="1"/>
  <c r="M66" i="3"/>
  <c r="AR67" i="1"/>
  <c r="N66" i="3"/>
  <c r="AS67" i="1"/>
  <c r="O66" i="3"/>
  <c r="AT67" i="1"/>
  <c r="P66" i="3"/>
  <c r="AU67" i="1"/>
  <c r="Q66" i="3" s="1"/>
  <c r="AV67" i="1"/>
  <c r="R66" i="3"/>
  <c r="AF68" i="1"/>
  <c r="B67" i="3"/>
  <c r="AG68" i="1"/>
  <c r="C67" i="3" s="1"/>
  <c r="AH68" i="1"/>
  <c r="D67" i="3"/>
  <c r="AI68" i="1"/>
  <c r="E67" i="3" s="1"/>
  <c r="AJ68" i="1"/>
  <c r="F67" i="3" s="1"/>
  <c r="AK68" i="1"/>
  <c r="G67" i="3" s="1"/>
  <c r="AL68" i="1"/>
  <c r="H67" i="3"/>
  <c r="AM68" i="1"/>
  <c r="I67" i="3"/>
  <c r="AN68" i="1"/>
  <c r="J67" i="3"/>
  <c r="AO68" i="1"/>
  <c r="K67" i="3" s="1"/>
  <c r="AP68" i="1"/>
  <c r="L67" i="3"/>
  <c r="AQ68" i="1"/>
  <c r="M67" i="3"/>
  <c r="AR68" i="1"/>
  <c r="N67" i="3" s="1"/>
  <c r="N111" i="3" s="1"/>
  <c r="AS68" i="1"/>
  <c r="O67" i="3"/>
  <c r="AT68" i="1"/>
  <c r="P67" i="3" s="1"/>
  <c r="AU68" i="1"/>
  <c r="Q67" i="3"/>
  <c r="AV68" i="1"/>
  <c r="R67" i="3" s="1"/>
  <c r="AF69" i="1"/>
  <c r="B68" i="3"/>
  <c r="AG69" i="1"/>
  <c r="C68" i="3"/>
  <c r="AH69" i="1"/>
  <c r="AW69" i="1" s="1"/>
  <c r="G69" i="1" s="1"/>
  <c r="D68" i="3"/>
  <c r="AI69" i="1"/>
  <c r="E68" i="3"/>
  <c r="AJ69" i="1"/>
  <c r="F68" i="3"/>
  <c r="AK69" i="1"/>
  <c r="G68" i="3"/>
  <c r="AL69" i="1"/>
  <c r="H68" i="3" s="1"/>
  <c r="AM69" i="1"/>
  <c r="I68" i="3"/>
  <c r="AN69" i="1"/>
  <c r="J68" i="3"/>
  <c r="AO69" i="1"/>
  <c r="K68" i="3"/>
  <c r="AP69" i="1"/>
  <c r="L68" i="3"/>
  <c r="AQ69" i="1"/>
  <c r="M68" i="3"/>
  <c r="AR69" i="1"/>
  <c r="N68" i="3"/>
  <c r="AS69" i="1"/>
  <c r="O68" i="3"/>
  <c r="AT69" i="1"/>
  <c r="P68" i="3"/>
  <c r="AU69" i="1"/>
  <c r="Q68" i="3" s="1"/>
  <c r="AV69" i="1"/>
  <c r="R68" i="3"/>
  <c r="AF70" i="1"/>
  <c r="B69" i="3" s="1"/>
  <c r="AG70" i="1"/>
  <c r="C69" i="3" s="1"/>
  <c r="AH70" i="1"/>
  <c r="D69" i="3"/>
  <c r="AI70" i="1"/>
  <c r="E69" i="3"/>
  <c r="AJ70" i="1"/>
  <c r="F69" i="3"/>
  <c r="AK70" i="1"/>
  <c r="G69" i="3"/>
  <c r="AL70" i="1"/>
  <c r="H69" i="3"/>
  <c r="AM70" i="1"/>
  <c r="AW70" i="1" s="1"/>
  <c r="G70" i="1" s="1"/>
  <c r="I69" i="3"/>
  <c r="S69" i="3" s="1"/>
  <c r="AN70" i="1"/>
  <c r="J69" i="3"/>
  <c r="AO70" i="1"/>
  <c r="K69" i="3"/>
  <c r="AP70" i="1"/>
  <c r="L69" i="3"/>
  <c r="AQ70" i="1"/>
  <c r="M69" i="3"/>
  <c r="AR70" i="1"/>
  <c r="N69" i="3"/>
  <c r="AS70" i="1"/>
  <c r="O69" i="3"/>
  <c r="AT70" i="1"/>
  <c r="P69" i="3"/>
  <c r="AU70" i="1"/>
  <c r="Q69" i="3"/>
  <c r="AV70" i="1"/>
  <c r="R69" i="3"/>
  <c r="AF71" i="1"/>
  <c r="B70" i="3"/>
  <c r="S70" i="3" s="1"/>
  <c r="AG71" i="1"/>
  <c r="C70" i="3"/>
  <c r="AH71" i="1"/>
  <c r="D70" i="3"/>
  <c r="AI71" i="1"/>
  <c r="E70" i="3"/>
  <c r="AJ71" i="1"/>
  <c r="F70" i="3" s="1"/>
  <c r="AK71" i="1"/>
  <c r="G70" i="3"/>
  <c r="AL71" i="1"/>
  <c r="H70" i="3" s="1"/>
  <c r="AM71" i="1"/>
  <c r="I70" i="3"/>
  <c r="AN71" i="1"/>
  <c r="J70" i="3"/>
  <c r="AO71" i="1"/>
  <c r="K70" i="3"/>
  <c r="AP71" i="1"/>
  <c r="L70" i="3"/>
  <c r="AQ71" i="1"/>
  <c r="M70" i="3"/>
  <c r="AR71" i="1"/>
  <c r="N70" i="3" s="1"/>
  <c r="AS71" i="1"/>
  <c r="O70" i="3"/>
  <c r="AT71" i="1"/>
  <c r="P70" i="3"/>
  <c r="AU71" i="1"/>
  <c r="Q70" i="3"/>
  <c r="AV71" i="1"/>
  <c r="R70" i="3"/>
  <c r="AF72" i="1"/>
  <c r="B71" i="3"/>
  <c r="AG72" i="1"/>
  <c r="C71" i="3" s="1"/>
  <c r="AH72" i="1"/>
  <c r="D71" i="3"/>
  <c r="AI72" i="1"/>
  <c r="E71" i="3"/>
  <c r="AJ72" i="1"/>
  <c r="F71" i="3"/>
  <c r="AK72" i="1"/>
  <c r="G71" i="3" s="1"/>
  <c r="AL72" i="1"/>
  <c r="H71" i="3"/>
  <c r="AM72" i="1"/>
  <c r="AW72" i="1" s="1"/>
  <c r="G72" i="1" s="1"/>
  <c r="AN72" i="1"/>
  <c r="J71" i="3"/>
  <c r="AO72" i="1"/>
  <c r="K71" i="3"/>
  <c r="AP72" i="1"/>
  <c r="L71" i="3"/>
  <c r="AQ72" i="1"/>
  <c r="M71" i="3"/>
  <c r="AR72" i="1"/>
  <c r="N71" i="3"/>
  <c r="AS72" i="1"/>
  <c r="O71" i="3"/>
  <c r="AT72" i="1"/>
  <c r="P71" i="3"/>
  <c r="AU72" i="1"/>
  <c r="Q71" i="3" s="1"/>
  <c r="AV72" i="1"/>
  <c r="R71" i="3"/>
  <c r="AF73" i="1"/>
  <c r="B72" i="3"/>
  <c r="AG73" i="1"/>
  <c r="C72" i="3" s="1"/>
  <c r="AH73" i="1"/>
  <c r="D72" i="3"/>
  <c r="AI73" i="1"/>
  <c r="E72" i="3"/>
  <c r="AJ73" i="1"/>
  <c r="F72" i="3"/>
  <c r="AK73" i="1"/>
  <c r="G72" i="3"/>
  <c r="AL73" i="1"/>
  <c r="H72" i="3"/>
  <c r="AM73" i="1"/>
  <c r="I72" i="3"/>
  <c r="AN73" i="1"/>
  <c r="J72" i="3"/>
  <c r="AO73" i="1"/>
  <c r="K72" i="3"/>
  <c r="AP73" i="1"/>
  <c r="L72" i="3"/>
  <c r="AQ73" i="1"/>
  <c r="M72" i="3"/>
  <c r="AR73" i="1"/>
  <c r="N72" i="3"/>
  <c r="AS73" i="1"/>
  <c r="O72" i="3"/>
  <c r="AT73" i="1"/>
  <c r="P72" i="3" s="1"/>
  <c r="AU73" i="1"/>
  <c r="Q72" i="3"/>
  <c r="AV73" i="1"/>
  <c r="R72" i="3"/>
  <c r="AF74" i="1"/>
  <c r="B73" i="3"/>
  <c r="AG74" i="1"/>
  <c r="C73" i="3"/>
  <c r="AH74" i="1"/>
  <c r="D73" i="3"/>
  <c r="AI74" i="1"/>
  <c r="AJ74" i="1"/>
  <c r="F73" i="3"/>
  <c r="AK74" i="1"/>
  <c r="G73" i="3"/>
  <c r="AL74" i="1"/>
  <c r="H73" i="3"/>
  <c r="AM74" i="1"/>
  <c r="I73" i="3" s="1"/>
  <c r="AN74" i="1"/>
  <c r="J73" i="3"/>
  <c r="AO74" i="1"/>
  <c r="K73" i="3"/>
  <c r="AP74" i="1"/>
  <c r="L73" i="3"/>
  <c r="AQ74" i="1"/>
  <c r="M73" i="3"/>
  <c r="AR74" i="1"/>
  <c r="N73" i="3" s="1"/>
  <c r="AS74" i="1"/>
  <c r="O73" i="3"/>
  <c r="AT74" i="1"/>
  <c r="P73" i="3"/>
  <c r="AU74" i="1"/>
  <c r="Q73" i="3"/>
  <c r="AV74" i="1"/>
  <c r="R73" i="3" s="1"/>
  <c r="AF75" i="1"/>
  <c r="B74" i="3"/>
  <c r="AG75" i="1"/>
  <c r="C74" i="3"/>
  <c r="AH75" i="1"/>
  <c r="D74" i="3"/>
  <c r="AI75" i="1"/>
  <c r="E74" i="3"/>
  <c r="AJ75" i="1"/>
  <c r="F74" i="3"/>
  <c r="AK75" i="1"/>
  <c r="G74" i="3"/>
  <c r="AL75" i="1"/>
  <c r="H74" i="3"/>
  <c r="AM75" i="1"/>
  <c r="I74" i="3"/>
  <c r="AN75" i="1"/>
  <c r="J74" i="3" s="1"/>
  <c r="AO75" i="1"/>
  <c r="K74" i="3"/>
  <c r="AP75" i="1"/>
  <c r="L74" i="3"/>
  <c r="AQ75" i="1"/>
  <c r="M74" i="3"/>
  <c r="AR75" i="1"/>
  <c r="N74" i="3" s="1"/>
  <c r="AS75" i="1"/>
  <c r="O74" i="3"/>
  <c r="AT75" i="1"/>
  <c r="P74" i="3"/>
  <c r="AU75" i="1"/>
  <c r="Q74" i="3" s="1"/>
  <c r="AV75" i="1"/>
  <c r="R74" i="3"/>
  <c r="AF76" i="1"/>
  <c r="B75" i="3"/>
  <c r="AG76" i="1"/>
  <c r="C75" i="3"/>
  <c r="AH76" i="1"/>
  <c r="D75" i="3"/>
  <c r="AI76" i="1"/>
  <c r="E75" i="3"/>
  <c r="AJ76" i="1"/>
  <c r="F75" i="3"/>
  <c r="AK76" i="1"/>
  <c r="G75" i="3"/>
  <c r="AL76" i="1"/>
  <c r="H75" i="3"/>
  <c r="AM76" i="1"/>
  <c r="I75" i="3"/>
  <c r="AN76" i="1"/>
  <c r="J75" i="3"/>
  <c r="AO76" i="1"/>
  <c r="K75" i="3" s="1"/>
  <c r="AP76" i="1"/>
  <c r="L75" i="3"/>
  <c r="AQ76" i="1"/>
  <c r="M75" i="3"/>
  <c r="AR76" i="1"/>
  <c r="N75" i="3"/>
  <c r="AS76" i="1"/>
  <c r="O75" i="3" s="1"/>
  <c r="AT76" i="1"/>
  <c r="P75" i="3"/>
  <c r="AU76" i="1"/>
  <c r="Q75" i="3" s="1"/>
  <c r="AV76" i="1"/>
  <c r="R75" i="3"/>
  <c r="AF77" i="1"/>
  <c r="B76" i="3"/>
  <c r="AG77" i="1"/>
  <c r="C76" i="3" s="1"/>
  <c r="AH77" i="1"/>
  <c r="D76" i="3"/>
  <c r="AI77" i="1"/>
  <c r="E76" i="3"/>
  <c r="AJ77" i="1"/>
  <c r="F76" i="3"/>
  <c r="AK77" i="1"/>
  <c r="G76" i="3"/>
  <c r="AL77" i="1"/>
  <c r="H76" i="3"/>
  <c r="AM77" i="1"/>
  <c r="I76" i="3"/>
  <c r="AN77" i="1"/>
  <c r="J76" i="3"/>
  <c r="AO77" i="1"/>
  <c r="K76" i="3"/>
  <c r="AP77" i="1"/>
  <c r="L76" i="3"/>
  <c r="AQ77" i="1"/>
  <c r="M76" i="3"/>
  <c r="AR77" i="1"/>
  <c r="N76" i="3"/>
  <c r="AS77" i="1"/>
  <c r="O76" i="3"/>
  <c r="AT77" i="1"/>
  <c r="P76" i="3"/>
  <c r="AU77" i="1"/>
  <c r="Q76" i="3"/>
  <c r="AV77" i="1"/>
  <c r="R76" i="3"/>
  <c r="AF78" i="1"/>
  <c r="B77" i="3" s="1"/>
  <c r="AG78" i="1"/>
  <c r="C77" i="3"/>
  <c r="AH78" i="1"/>
  <c r="D77" i="3"/>
  <c r="AI78" i="1"/>
  <c r="E77" i="3"/>
  <c r="AJ78" i="1"/>
  <c r="F77" i="3"/>
  <c r="AK78" i="1"/>
  <c r="G77" i="3"/>
  <c r="AL78" i="1"/>
  <c r="H77" i="3" s="1"/>
  <c r="AM78" i="1"/>
  <c r="I77" i="3"/>
  <c r="AN78" i="1"/>
  <c r="J77" i="3"/>
  <c r="AO78" i="1"/>
  <c r="K77" i="3"/>
  <c r="AP78" i="1"/>
  <c r="L77" i="3" s="1"/>
  <c r="AQ78" i="1"/>
  <c r="M77" i="3"/>
  <c r="AR78" i="1"/>
  <c r="N77" i="3" s="1"/>
  <c r="AS78" i="1"/>
  <c r="O77" i="3" s="1"/>
  <c r="AT78" i="1"/>
  <c r="P77" i="3"/>
  <c r="AU78" i="1"/>
  <c r="Q77" i="3" s="1"/>
  <c r="AV78" i="1"/>
  <c r="R77" i="3"/>
  <c r="AF79" i="1"/>
  <c r="B78" i="3"/>
  <c r="AG79" i="1"/>
  <c r="C78" i="3"/>
  <c r="AH79" i="1"/>
  <c r="D78" i="3"/>
  <c r="AI79" i="1"/>
  <c r="E78" i="3"/>
  <c r="AJ79" i="1"/>
  <c r="F78" i="3"/>
  <c r="S78" i="3" s="1"/>
  <c r="AK79" i="1"/>
  <c r="G78" i="3"/>
  <c r="AL79" i="1"/>
  <c r="H78" i="3"/>
  <c r="AM79" i="1"/>
  <c r="I78" i="3"/>
  <c r="AN79" i="1"/>
  <c r="J78" i="3" s="1"/>
  <c r="AO79" i="1"/>
  <c r="K78" i="3" s="1"/>
  <c r="AP79" i="1"/>
  <c r="L78" i="3"/>
  <c r="AQ79" i="1"/>
  <c r="M78" i="3" s="1"/>
  <c r="AR79" i="1"/>
  <c r="N78" i="3" s="1"/>
  <c r="AS79" i="1"/>
  <c r="O78" i="3"/>
  <c r="AT79" i="1"/>
  <c r="P78" i="3"/>
  <c r="AU79" i="1"/>
  <c r="Q78" i="3"/>
  <c r="AV79" i="1"/>
  <c r="R78" i="3" s="1"/>
  <c r="AF80" i="1"/>
  <c r="B79" i="3"/>
  <c r="AG80" i="1"/>
  <c r="C79" i="3"/>
  <c r="AH80" i="1"/>
  <c r="D79" i="3"/>
  <c r="AI80" i="1"/>
  <c r="E79" i="3" s="1"/>
  <c r="AJ80" i="1"/>
  <c r="F79" i="3"/>
  <c r="AK80" i="1"/>
  <c r="G79" i="3"/>
  <c r="AL80" i="1"/>
  <c r="H79" i="3"/>
  <c r="AM80" i="1"/>
  <c r="I79" i="3" s="1"/>
  <c r="AN80" i="1"/>
  <c r="J79" i="3"/>
  <c r="AO80" i="1"/>
  <c r="K79" i="3" s="1"/>
  <c r="AP80" i="1"/>
  <c r="L79" i="3"/>
  <c r="AQ80" i="1"/>
  <c r="M79" i="3"/>
  <c r="AR80" i="1"/>
  <c r="N79" i="3"/>
  <c r="AS80" i="1"/>
  <c r="O79" i="3"/>
  <c r="AT80" i="1"/>
  <c r="P79" i="3"/>
  <c r="AU80" i="1"/>
  <c r="Q79" i="3"/>
  <c r="AV80" i="1"/>
  <c r="R79" i="3"/>
  <c r="AF81" i="1"/>
  <c r="B80" i="3"/>
  <c r="AG81" i="1"/>
  <c r="C80" i="3"/>
  <c r="AH81" i="1"/>
  <c r="D80" i="3"/>
  <c r="AI81" i="1"/>
  <c r="E80" i="3"/>
  <c r="AJ81" i="1"/>
  <c r="F80" i="3" s="1"/>
  <c r="AK81" i="1"/>
  <c r="G80" i="3"/>
  <c r="AL81" i="1"/>
  <c r="H80" i="3" s="1"/>
  <c r="AM81" i="1"/>
  <c r="I80" i="3"/>
  <c r="AN81" i="1"/>
  <c r="J80" i="3"/>
  <c r="AO81" i="1"/>
  <c r="K80" i="3"/>
  <c r="AP81" i="1"/>
  <c r="L80" i="3"/>
  <c r="AQ81" i="1"/>
  <c r="M80" i="3"/>
  <c r="AR81" i="1"/>
  <c r="N80" i="3" s="1"/>
  <c r="AS81" i="1"/>
  <c r="O80" i="3"/>
  <c r="AT81" i="1"/>
  <c r="P80" i="3"/>
  <c r="AU81" i="1"/>
  <c r="Q80" i="3"/>
  <c r="AV81" i="1"/>
  <c r="R80" i="3"/>
  <c r="AF82" i="1"/>
  <c r="B81" i="3" s="1"/>
  <c r="AG82" i="1"/>
  <c r="C81" i="3"/>
  <c r="AH82" i="1"/>
  <c r="D81" i="3"/>
  <c r="AI82" i="1"/>
  <c r="E81" i="3"/>
  <c r="AJ82" i="1"/>
  <c r="F81" i="3" s="1"/>
  <c r="AK82" i="1"/>
  <c r="G81" i="3"/>
  <c r="AL82" i="1"/>
  <c r="H81" i="3" s="1"/>
  <c r="AM82" i="1"/>
  <c r="I81" i="3"/>
  <c r="AN82" i="1"/>
  <c r="J81" i="3"/>
  <c r="AO82" i="1"/>
  <c r="K81" i="3" s="1"/>
  <c r="AP82" i="1"/>
  <c r="L81" i="3"/>
  <c r="AQ82" i="1"/>
  <c r="M81" i="3"/>
  <c r="AR82" i="1"/>
  <c r="N81" i="3"/>
  <c r="AS82" i="1"/>
  <c r="O81" i="3"/>
  <c r="AT82" i="1"/>
  <c r="P81" i="3" s="1"/>
  <c r="AU82" i="1"/>
  <c r="Q81" i="3" s="1"/>
  <c r="AV82" i="1"/>
  <c r="R81" i="3"/>
  <c r="AF83" i="1"/>
  <c r="B82" i="3"/>
  <c r="AG83" i="1"/>
  <c r="C82" i="3"/>
  <c r="AH83" i="1"/>
  <c r="D82" i="3"/>
  <c r="AI83" i="1"/>
  <c r="E82" i="3"/>
  <c r="AJ83" i="1"/>
  <c r="F82" i="3"/>
  <c r="AK83" i="1"/>
  <c r="G82" i="3"/>
  <c r="AL83" i="1"/>
  <c r="H82" i="3"/>
  <c r="AM83" i="1"/>
  <c r="I82" i="3" s="1"/>
  <c r="AN83" i="1"/>
  <c r="J82" i="3"/>
  <c r="AO83" i="1"/>
  <c r="K82" i="3"/>
  <c r="AP83" i="1"/>
  <c r="L82" i="3" s="1"/>
  <c r="AQ83" i="1"/>
  <c r="M82" i="3" s="1"/>
  <c r="AR83" i="1"/>
  <c r="N82" i="3"/>
  <c r="AS83" i="1"/>
  <c r="O82" i="3"/>
  <c r="AT83" i="1"/>
  <c r="P82" i="3" s="1"/>
  <c r="AU83" i="1"/>
  <c r="Q82" i="3"/>
  <c r="AV83" i="1"/>
  <c r="R82" i="3"/>
  <c r="AF84" i="1"/>
  <c r="B83" i="3"/>
  <c r="AG84" i="1"/>
  <c r="C83" i="3"/>
  <c r="AH84" i="1"/>
  <c r="D83" i="3" s="1"/>
  <c r="AI84" i="1"/>
  <c r="E83" i="3"/>
  <c r="AJ84" i="1"/>
  <c r="F83" i="3" s="1"/>
  <c r="AK84" i="1"/>
  <c r="G83" i="3"/>
  <c r="AL84" i="1"/>
  <c r="H83" i="3"/>
  <c r="AM84" i="1"/>
  <c r="I83" i="3"/>
  <c r="AN84" i="1"/>
  <c r="J83" i="3"/>
  <c r="AO84" i="1"/>
  <c r="K83" i="3"/>
  <c r="AP84" i="1"/>
  <c r="L83" i="3"/>
  <c r="AQ84" i="1"/>
  <c r="M83" i="3" s="1"/>
  <c r="M111" i="3" s="1"/>
  <c r="AR84" i="1"/>
  <c r="N83" i="3" s="1"/>
  <c r="AS84" i="1"/>
  <c r="O83" i="3"/>
  <c r="AT84" i="1"/>
  <c r="P83" i="3"/>
  <c r="AU84" i="1"/>
  <c r="Q83" i="3"/>
  <c r="AV84" i="1"/>
  <c r="R83" i="3"/>
  <c r="AF85" i="1"/>
  <c r="B84" i="3"/>
  <c r="AG85" i="1"/>
  <c r="C84" i="3"/>
  <c r="AH85" i="1"/>
  <c r="D84" i="3"/>
  <c r="AI85" i="1"/>
  <c r="E84" i="3" s="1"/>
  <c r="AJ85" i="1"/>
  <c r="F84" i="3"/>
  <c r="AK85" i="1"/>
  <c r="G84" i="3"/>
  <c r="AL85" i="1"/>
  <c r="H84" i="3" s="1"/>
  <c r="AM85" i="1"/>
  <c r="I84" i="3"/>
  <c r="AN85" i="1"/>
  <c r="J84" i="3"/>
  <c r="AO85" i="1"/>
  <c r="K84" i="3"/>
  <c r="AP85" i="1"/>
  <c r="L84" i="3"/>
  <c r="AQ85" i="1"/>
  <c r="M84" i="3"/>
  <c r="AR85" i="1"/>
  <c r="N84" i="3" s="1"/>
  <c r="AS85" i="1"/>
  <c r="O84" i="3"/>
  <c r="AT85" i="1"/>
  <c r="P84" i="3"/>
  <c r="AU85" i="1"/>
  <c r="Q84" i="3"/>
  <c r="AV85" i="1"/>
  <c r="R84" i="3"/>
  <c r="AF86" i="1"/>
  <c r="B85" i="3" s="1"/>
  <c r="AG86" i="1"/>
  <c r="C85" i="3"/>
  <c r="AH86" i="1"/>
  <c r="D85" i="3" s="1"/>
  <c r="AI86" i="1"/>
  <c r="E85" i="3"/>
  <c r="AJ86" i="1"/>
  <c r="F85" i="3"/>
  <c r="AK86" i="1"/>
  <c r="G85" i="3"/>
  <c r="AL86" i="1"/>
  <c r="H85" i="3"/>
  <c r="AM86" i="1"/>
  <c r="I85" i="3"/>
  <c r="AN86" i="1"/>
  <c r="J85" i="3" s="1"/>
  <c r="AO86" i="1"/>
  <c r="K85" i="3" s="1"/>
  <c r="AP86" i="1"/>
  <c r="L85" i="3"/>
  <c r="AQ86" i="1"/>
  <c r="M85" i="3"/>
  <c r="AR86" i="1"/>
  <c r="N85" i="3"/>
  <c r="AS86" i="1"/>
  <c r="O85" i="3"/>
  <c r="AT86" i="1"/>
  <c r="P85" i="3" s="1"/>
  <c r="AU86" i="1"/>
  <c r="Q85" i="3"/>
  <c r="AV86" i="1"/>
  <c r="R85" i="3"/>
  <c r="AF87" i="1"/>
  <c r="B86" i="3"/>
  <c r="AG87" i="1"/>
  <c r="AH87" i="1"/>
  <c r="D86" i="3"/>
  <c r="AI87" i="1"/>
  <c r="E86" i="3"/>
  <c r="AJ87" i="1"/>
  <c r="F86" i="3"/>
  <c r="AK87" i="1"/>
  <c r="G86" i="3" s="1"/>
  <c r="AL87" i="1"/>
  <c r="H86" i="3" s="1"/>
  <c r="AM87" i="1"/>
  <c r="I86" i="3"/>
  <c r="AN87" i="1"/>
  <c r="J86" i="3"/>
  <c r="AO87" i="1"/>
  <c r="K86" i="3" s="1"/>
  <c r="AP87" i="1"/>
  <c r="L86" i="3" s="1"/>
  <c r="AQ87" i="1"/>
  <c r="M86" i="3"/>
  <c r="AR87" i="1"/>
  <c r="N86" i="3"/>
  <c r="AS87" i="1"/>
  <c r="O86" i="3"/>
  <c r="AT87" i="1"/>
  <c r="P86" i="3"/>
  <c r="AU87" i="1"/>
  <c r="Q86" i="3" s="1"/>
  <c r="AV87" i="1"/>
  <c r="R86" i="3"/>
  <c r="AF88" i="1"/>
  <c r="B87" i="3" s="1"/>
  <c r="AG88" i="1"/>
  <c r="C87" i="3"/>
  <c r="AH88" i="1"/>
  <c r="D87" i="3"/>
  <c r="AI88" i="1"/>
  <c r="E87" i="3"/>
  <c r="AJ88" i="1"/>
  <c r="F87" i="3"/>
  <c r="AK88" i="1"/>
  <c r="G87" i="3" s="1"/>
  <c r="AL88" i="1"/>
  <c r="H87" i="3" s="1"/>
  <c r="AM88" i="1"/>
  <c r="I87" i="3"/>
  <c r="AN88" i="1"/>
  <c r="J87" i="3"/>
  <c r="AO88" i="1"/>
  <c r="K87" i="3"/>
  <c r="AP88" i="1"/>
  <c r="L87" i="3"/>
  <c r="AQ88" i="1"/>
  <c r="M87" i="3"/>
  <c r="AR88" i="1"/>
  <c r="N87" i="3"/>
  <c r="AS88" i="1"/>
  <c r="O87" i="3" s="1"/>
  <c r="AT88" i="1"/>
  <c r="P87" i="3"/>
  <c r="AU88" i="1"/>
  <c r="Q87" i="3"/>
  <c r="AV88" i="1"/>
  <c r="R87" i="3"/>
  <c r="AF89" i="1"/>
  <c r="AW89" i="1" s="1"/>
  <c r="G89" i="1" s="1"/>
  <c r="AG89" i="1"/>
  <c r="C88" i="3"/>
  <c r="AH89" i="1"/>
  <c r="D88" i="3"/>
  <c r="AI89" i="1"/>
  <c r="E88" i="3" s="1"/>
  <c r="AJ89" i="1"/>
  <c r="F88" i="3"/>
  <c r="AK89" i="1"/>
  <c r="G88" i="3" s="1"/>
  <c r="AL89" i="1"/>
  <c r="H88" i="3"/>
  <c r="AM89" i="1"/>
  <c r="I88" i="3"/>
  <c r="AN89" i="1"/>
  <c r="J88" i="3" s="1"/>
  <c r="AO89" i="1"/>
  <c r="K88" i="3"/>
  <c r="AP89" i="1"/>
  <c r="L88" i="3"/>
  <c r="AQ89" i="1"/>
  <c r="M88" i="3"/>
  <c r="AR89" i="1"/>
  <c r="N88" i="3"/>
  <c r="AS89" i="1"/>
  <c r="O88" i="3" s="1"/>
  <c r="AT89" i="1"/>
  <c r="P88" i="3"/>
  <c r="AU89" i="1"/>
  <c r="Q88" i="3"/>
  <c r="AV89" i="1"/>
  <c r="R88" i="3"/>
  <c r="AF90" i="1"/>
  <c r="B89" i="3" s="1"/>
  <c r="AG90" i="1"/>
  <c r="C89" i="3"/>
  <c r="AH90" i="1"/>
  <c r="D89" i="3" s="1"/>
  <c r="AI90" i="1"/>
  <c r="E89" i="3" s="1"/>
  <c r="AJ90" i="1"/>
  <c r="F89" i="3"/>
  <c r="AK90" i="1"/>
  <c r="G89" i="3"/>
  <c r="AL90" i="1"/>
  <c r="H89" i="3"/>
  <c r="AM90" i="1"/>
  <c r="I89" i="3" s="1"/>
  <c r="AN90" i="1"/>
  <c r="J89" i="3"/>
  <c r="AO90" i="1"/>
  <c r="K89" i="3"/>
  <c r="AP90" i="1"/>
  <c r="L89" i="3"/>
  <c r="AQ90" i="1"/>
  <c r="M89" i="3"/>
  <c r="AR90" i="1"/>
  <c r="N89" i="3"/>
  <c r="AS90" i="1"/>
  <c r="O89" i="3"/>
  <c r="AT90" i="1"/>
  <c r="P89" i="3"/>
  <c r="AU90" i="1"/>
  <c r="Q89" i="3"/>
  <c r="AV90" i="1"/>
  <c r="R89" i="3"/>
  <c r="S89" i="3"/>
  <c r="AF91" i="1"/>
  <c r="AG91" i="1"/>
  <c r="C90" i="3"/>
  <c r="AH91" i="1"/>
  <c r="D90" i="3" s="1"/>
  <c r="AI91" i="1"/>
  <c r="E90" i="3"/>
  <c r="AJ91" i="1"/>
  <c r="F90" i="3"/>
  <c r="AK91" i="1"/>
  <c r="G90" i="3"/>
  <c r="AL91" i="1"/>
  <c r="H90" i="3"/>
  <c r="AM91" i="1"/>
  <c r="I90" i="3"/>
  <c r="AN91" i="1"/>
  <c r="J90" i="3"/>
  <c r="AO91" i="1"/>
  <c r="K90" i="3"/>
  <c r="AP91" i="1"/>
  <c r="L90" i="3"/>
  <c r="AQ91" i="1"/>
  <c r="M90" i="3" s="1"/>
  <c r="AR91" i="1"/>
  <c r="N90" i="3"/>
  <c r="AS91" i="1"/>
  <c r="O90" i="3"/>
  <c r="AT91" i="1"/>
  <c r="P90" i="3"/>
  <c r="AU91" i="1"/>
  <c r="Q90" i="3"/>
  <c r="AV91" i="1"/>
  <c r="R90" i="3"/>
  <c r="AF92" i="1"/>
  <c r="B91" i="3" s="1"/>
  <c r="AG92" i="1"/>
  <c r="C91" i="3"/>
  <c r="AH92" i="1"/>
  <c r="D91" i="3"/>
  <c r="AI92" i="1"/>
  <c r="E91" i="3"/>
  <c r="AJ92" i="1"/>
  <c r="F91" i="3"/>
  <c r="AK92" i="1"/>
  <c r="G91" i="3"/>
  <c r="AL92" i="1"/>
  <c r="H91" i="3" s="1"/>
  <c r="AM92" i="1"/>
  <c r="I91" i="3"/>
  <c r="AN92" i="1"/>
  <c r="J91" i="3"/>
  <c r="AO92" i="1"/>
  <c r="K91" i="3"/>
  <c r="AP92" i="1"/>
  <c r="L91" i="3" s="1"/>
  <c r="AQ92" i="1"/>
  <c r="M91" i="3"/>
  <c r="AR92" i="1"/>
  <c r="N91" i="3"/>
  <c r="AS92" i="1"/>
  <c r="O91" i="3"/>
  <c r="AT92" i="1"/>
  <c r="P91" i="3"/>
  <c r="AU92" i="1"/>
  <c r="Q91" i="3"/>
  <c r="AV92" i="1"/>
  <c r="R91" i="3" s="1"/>
  <c r="AF93" i="1"/>
  <c r="B92" i="3"/>
  <c r="AG93" i="1"/>
  <c r="C92" i="3"/>
  <c r="AH93" i="1"/>
  <c r="D92" i="3" s="1"/>
  <c r="AI93" i="1"/>
  <c r="E92" i="3"/>
  <c r="AJ93" i="1"/>
  <c r="F92" i="3"/>
  <c r="AK93" i="1"/>
  <c r="G92" i="3" s="1"/>
  <c r="AL93" i="1"/>
  <c r="H92" i="3"/>
  <c r="AM93" i="1"/>
  <c r="I92" i="3"/>
  <c r="AN93" i="1"/>
  <c r="J92" i="3"/>
  <c r="AO93" i="1"/>
  <c r="K92" i="3" s="1"/>
  <c r="AP93" i="1"/>
  <c r="L92" i="3"/>
  <c r="AQ93" i="1"/>
  <c r="M92" i="3"/>
  <c r="AR93" i="1"/>
  <c r="N92" i="3"/>
  <c r="AS93" i="1"/>
  <c r="O92" i="3"/>
  <c r="AT93" i="1"/>
  <c r="P92" i="3"/>
  <c r="AU93" i="1"/>
  <c r="Q92" i="3"/>
  <c r="AV93" i="1"/>
  <c r="R92" i="3"/>
  <c r="AF94" i="1"/>
  <c r="B93" i="3" s="1"/>
  <c r="AG94" i="1"/>
  <c r="C93" i="3"/>
  <c r="AH94" i="1"/>
  <c r="D93" i="3"/>
  <c r="AI94" i="1"/>
  <c r="E93" i="3"/>
  <c r="AJ94" i="1"/>
  <c r="F93" i="3"/>
  <c r="AK94" i="1"/>
  <c r="G93" i="3"/>
  <c r="AL94" i="1"/>
  <c r="H93" i="3" s="1"/>
  <c r="AM94" i="1"/>
  <c r="I93" i="3"/>
  <c r="AN94" i="1"/>
  <c r="J93" i="3"/>
  <c r="AO94" i="1"/>
  <c r="K93" i="3"/>
  <c r="AP94" i="1"/>
  <c r="L93" i="3"/>
  <c r="AQ94" i="1"/>
  <c r="M93" i="3"/>
  <c r="AR94" i="1"/>
  <c r="N93" i="3"/>
  <c r="AS94" i="1"/>
  <c r="O93" i="3"/>
  <c r="AT94" i="1"/>
  <c r="P93" i="3"/>
  <c r="AU94" i="1"/>
  <c r="Q93" i="3" s="1"/>
  <c r="S93" i="3" s="1"/>
  <c r="AV94" i="1"/>
  <c r="R93" i="3"/>
  <c r="AF95" i="1"/>
  <c r="B94" i="3"/>
  <c r="AG95" i="1"/>
  <c r="C94" i="3"/>
  <c r="AH95" i="1"/>
  <c r="D94" i="3"/>
  <c r="AI95" i="1"/>
  <c r="E94" i="3"/>
  <c r="AJ95" i="1"/>
  <c r="F94" i="3"/>
  <c r="AK95" i="1"/>
  <c r="G94" i="3"/>
  <c r="AL95" i="1"/>
  <c r="H94" i="3" s="1"/>
  <c r="AM95" i="1"/>
  <c r="I94" i="3"/>
  <c r="AN95" i="1"/>
  <c r="J94" i="3"/>
  <c r="AO95" i="1"/>
  <c r="K94" i="3"/>
  <c r="AP95" i="1"/>
  <c r="L94" i="3"/>
  <c r="AQ95" i="1"/>
  <c r="M94" i="3"/>
  <c r="AR95" i="1"/>
  <c r="N94" i="3"/>
  <c r="AS95" i="1"/>
  <c r="O94" i="3"/>
  <c r="AT95" i="1"/>
  <c r="P94" i="3"/>
  <c r="AU95" i="1"/>
  <c r="Q94" i="3" s="1"/>
  <c r="AV95" i="1"/>
  <c r="R94" i="3"/>
  <c r="AF96" i="1"/>
  <c r="B95" i="3"/>
  <c r="AG96" i="1"/>
  <c r="C95" i="3"/>
  <c r="AH96" i="1"/>
  <c r="D95" i="3"/>
  <c r="AI96" i="1"/>
  <c r="E95" i="3"/>
  <c r="AJ96" i="1"/>
  <c r="F95" i="3"/>
  <c r="AK96" i="1"/>
  <c r="G95" i="3" s="1"/>
  <c r="AL96" i="1"/>
  <c r="H95" i="3"/>
  <c r="AM96" i="1"/>
  <c r="I95" i="3"/>
  <c r="AN96" i="1"/>
  <c r="J95" i="3"/>
  <c r="AO96" i="1"/>
  <c r="K95" i="3"/>
  <c r="AP96" i="1"/>
  <c r="L95" i="3"/>
  <c r="AQ96" i="1"/>
  <c r="M95" i="3" s="1"/>
  <c r="AR96" i="1"/>
  <c r="N95" i="3"/>
  <c r="AS96" i="1"/>
  <c r="O95" i="3"/>
  <c r="AT96" i="1"/>
  <c r="P95" i="3"/>
  <c r="S95" i="3" s="1"/>
  <c r="AU96" i="1"/>
  <c r="Q95" i="3"/>
  <c r="AV96" i="1"/>
  <c r="R95" i="3"/>
  <c r="AF97" i="1"/>
  <c r="B96" i="3"/>
  <c r="AG97" i="1"/>
  <c r="C96" i="3"/>
  <c r="AH97" i="1"/>
  <c r="AW97" i="1" s="1"/>
  <c r="G97" i="1" s="1"/>
  <c r="D96" i="3"/>
  <c r="AI97" i="1"/>
  <c r="E96" i="3" s="1"/>
  <c r="AJ97" i="1"/>
  <c r="F96" i="3"/>
  <c r="AK97" i="1"/>
  <c r="G96" i="3"/>
  <c r="AL97" i="1"/>
  <c r="H96" i="3"/>
  <c r="AM97" i="1"/>
  <c r="I96" i="3" s="1"/>
  <c r="AN97" i="1"/>
  <c r="J96" i="3"/>
  <c r="AO97" i="1"/>
  <c r="K96" i="3"/>
  <c r="AP97" i="1"/>
  <c r="L96" i="3"/>
  <c r="AQ97" i="1"/>
  <c r="M96" i="3" s="1"/>
  <c r="AR97" i="1"/>
  <c r="N96" i="3"/>
  <c r="AS97" i="1"/>
  <c r="O96" i="3"/>
  <c r="AT97" i="1"/>
  <c r="P96" i="3"/>
  <c r="AU97" i="1"/>
  <c r="Q96" i="3"/>
  <c r="AV97" i="1"/>
  <c r="R96" i="3"/>
  <c r="AF98" i="1"/>
  <c r="B97" i="3"/>
  <c r="AG98" i="1"/>
  <c r="C97" i="3"/>
  <c r="AH98" i="1"/>
  <c r="D97" i="3" s="1"/>
  <c r="AI98" i="1"/>
  <c r="E97" i="3"/>
  <c r="AJ98" i="1"/>
  <c r="F97" i="3"/>
  <c r="AK98" i="1"/>
  <c r="G97" i="3"/>
  <c r="AL98" i="1"/>
  <c r="H97" i="3"/>
  <c r="AM98" i="1"/>
  <c r="I97" i="3"/>
  <c r="AN98" i="1"/>
  <c r="J97" i="3"/>
  <c r="AO98" i="1"/>
  <c r="K97" i="3"/>
  <c r="AP98" i="1"/>
  <c r="L97" i="3"/>
  <c r="AQ98" i="1"/>
  <c r="M97" i="3"/>
  <c r="AR98" i="1"/>
  <c r="N97" i="3" s="1"/>
  <c r="AS98" i="1"/>
  <c r="O97" i="3"/>
  <c r="AT98" i="1"/>
  <c r="P97" i="3" s="1"/>
  <c r="AU98" i="1"/>
  <c r="Q97" i="3"/>
  <c r="AV98" i="1"/>
  <c r="R97" i="3"/>
  <c r="AF99" i="1"/>
  <c r="AG99" i="1"/>
  <c r="C98" i="3"/>
  <c r="AH99" i="1"/>
  <c r="D98" i="3"/>
  <c r="AI99" i="1"/>
  <c r="E98" i="3"/>
  <c r="AJ99" i="1"/>
  <c r="F98" i="3"/>
  <c r="AK99" i="1"/>
  <c r="G98" i="3"/>
  <c r="AL99" i="1"/>
  <c r="H98" i="3"/>
  <c r="AM99" i="1"/>
  <c r="I98" i="3" s="1"/>
  <c r="AN99" i="1"/>
  <c r="J98" i="3"/>
  <c r="AO99" i="1"/>
  <c r="K98" i="3" s="1"/>
  <c r="AP99" i="1"/>
  <c r="L98" i="3"/>
  <c r="AQ99" i="1"/>
  <c r="M98" i="3" s="1"/>
  <c r="AR99" i="1"/>
  <c r="N98" i="3"/>
  <c r="AS99" i="1"/>
  <c r="O98" i="3"/>
  <c r="AT99" i="1"/>
  <c r="P98" i="3"/>
  <c r="AU99" i="1"/>
  <c r="Q98" i="3"/>
  <c r="AV99" i="1"/>
  <c r="R98" i="3"/>
  <c r="AF100" i="1"/>
  <c r="B99" i="3"/>
  <c r="AG100" i="1"/>
  <c r="C99" i="3" s="1"/>
  <c r="AH100" i="1"/>
  <c r="D99" i="3"/>
  <c r="AI100" i="1"/>
  <c r="E99" i="3"/>
  <c r="AJ100" i="1"/>
  <c r="F99" i="3"/>
  <c r="AK100" i="1"/>
  <c r="G99" i="3"/>
  <c r="AL100" i="1"/>
  <c r="H99" i="3"/>
  <c r="AM100" i="1"/>
  <c r="I99" i="3" s="1"/>
  <c r="AN100" i="1"/>
  <c r="J99" i="3"/>
  <c r="AO100" i="1"/>
  <c r="K99" i="3"/>
  <c r="AP100" i="1"/>
  <c r="L99" i="3"/>
  <c r="AQ100" i="1"/>
  <c r="M99" i="3" s="1"/>
  <c r="AR100" i="1"/>
  <c r="N99" i="3"/>
  <c r="AS100" i="1"/>
  <c r="O99" i="3"/>
  <c r="AT100" i="1"/>
  <c r="P99" i="3"/>
  <c r="AU100" i="1"/>
  <c r="Q99" i="3" s="1"/>
  <c r="AV100" i="1"/>
  <c r="R99" i="3"/>
  <c r="S99" i="3"/>
  <c r="AF101" i="1"/>
  <c r="B100" i="3"/>
  <c r="AG101" i="1"/>
  <c r="C100" i="3" s="1"/>
  <c r="AH101" i="1"/>
  <c r="D100" i="3"/>
  <c r="AI101" i="1"/>
  <c r="E100" i="3"/>
  <c r="AJ101" i="1"/>
  <c r="F100" i="3"/>
  <c r="AK101" i="1"/>
  <c r="G100" i="3" s="1"/>
  <c r="AL101" i="1"/>
  <c r="H100" i="3"/>
  <c r="AM101" i="1"/>
  <c r="I100" i="3" s="1"/>
  <c r="AN101" i="1"/>
  <c r="J100" i="3"/>
  <c r="AO101" i="1"/>
  <c r="K100" i="3" s="1"/>
  <c r="AP101" i="1"/>
  <c r="L100" i="3"/>
  <c r="AQ101" i="1"/>
  <c r="M100" i="3" s="1"/>
  <c r="AR101" i="1"/>
  <c r="N100" i="3" s="1"/>
  <c r="AS101" i="1"/>
  <c r="O100" i="3"/>
  <c r="AT101" i="1"/>
  <c r="P100" i="3"/>
  <c r="AU101" i="1"/>
  <c r="Q100" i="3"/>
  <c r="AV101" i="1"/>
  <c r="R100" i="3"/>
  <c r="AF102" i="1"/>
  <c r="B101" i="3"/>
  <c r="AG102" i="1"/>
  <c r="C101" i="3"/>
  <c r="AH102" i="1"/>
  <c r="D101" i="3"/>
  <c r="AI102" i="1"/>
  <c r="E101" i="3"/>
  <c r="AJ102" i="1"/>
  <c r="F101" i="3"/>
  <c r="AK102" i="1"/>
  <c r="G101" i="3" s="1"/>
  <c r="AL102" i="1"/>
  <c r="H101" i="3"/>
  <c r="AM102" i="1"/>
  <c r="I101" i="3"/>
  <c r="AN102" i="1"/>
  <c r="J101" i="3" s="1"/>
  <c r="AO102" i="1"/>
  <c r="K101" i="3"/>
  <c r="AP102" i="1"/>
  <c r="L101" i="3"/>
  <c r="AQ102" i="1"/>
  <c r="M101" i="3"/>
  <c r="AR102" i="1"/>
  <c r="N101" i="3" s="1"/>
  <c r="AS102" i="1"/>
  <c r="O101" i="3"/>
  <c r="AT102" i="1"/>
  <c r="P101" i="3" s="1"/>
  <c r="AU102" i="1"/>
  <c r="Q101" i="3"/>
  <c r="AV102" i="1"/>
  <c r="R101" i="3" s="1"/>
  <c r="AF103" i="1"/>
  <c r="B102" i="3"/>
  <c r="AG103" i="1"/>
  <c r="C102" i="3"/>
  <c r="AH103" i="1"/>
  <c r="D102" i="3"/>
  <c r="AI103" i="1"/>
  <c r="E102" i="3" s="1"/>
  <c r="AJ103" i="1"/>
  <c r="F102" i="3"/>
  <c r="AK103" i="1"/>
  <c r="G102" i="3"/>
  <c r="AL103" i="1"/>
  <c r="H102" i="3" s="1"/>
  <c r="AM103" i="1"/>
  <c r="I102" i="3"/>
  <c r="AN103" i="1"/>
  <c r="J102" i="3" s="1"/>
  <c r="AO103" i="1"/>
  <c r="K102" i="3"/>
  <c r="AP103" i="1"/>
  <c r="L102" i="3" s="1"/>
  <c r="AQ103" i="1"/>
  <c r="M102" i="3"/>
  <c r="AR103" i="1"/>
  <c r="N102" i="3" s="1"/>
  <c r="AS103" i="1"/>
  <c r="O102" i="3"/>
  <c r="AT103" i="1"/>
  <c r="P102" i="3"/>
  <c r="AU103" i="1"/>
  <c r="Q102" i="3"/>
  <c r="AV103" i="1"/>
  <c r="R102" i="3" s="1"/>
  <c r="AF104" i="1"/>
  <c r="B103" i="3"/>
  <c r="AG104" i="1"/>
  <c r="C103" i="3"/>
  <c r="AH104" i="1"/>
  <c r="D103" i="3"/>
  <c r="AI104" i="1"/>
  <c r="E103" i="3"/>
  <c r="AJ104" i="1"/>
  <c r="F103" i="3"/>
  <c r="AK104" i="1"/>
  <c r="G103" i="3"/>
  <c r="AL104" i="1"/>
  <c r="H103" i="3" s="1"/>
  <c r="AM104" i="1"/>
  <c r="I103" i="3"/>
  <c r="AN104" i="1"/>
  <c r="J103" i="3"/>
  <c r="AO104" i="1"/>
  <c r="K103" i="3"/>
  <c r="AP104" i="1"/>
  <c r="L103" i="3" s="1"/>
  <c r="AQ104" i="1"/>
  <c r="M103" i="3"/>
  <c r="AR104" i="1"/>
  <c r="N103" i="3" s="1"/>
  <c r="AS104" i="1"/>
  <c r="O103" i="3" s="1"/>
  <c r="AT104" i="1"/>
  <c r="P103" i="3"/>
  <c r="AU104" i="1"/>
  <c r="Q103" i="3"/>
  <c r="AV104" i="1"/>
  <c r="R103" i="3"/>
  <c r="S103" i="3"/>
  <c r="AF105" i="1"/>
  <c r="B104" i="3"/>
  <c r="AG105" i="1"/>
  <c r="C104" i="3" s="1"/>
  <c r="AH105" i="1"/>
  <c r="D104" i="3"/>
  <c r="AI105" i="1"/>
  <c r="E104" i="3"/>
  <c r="AJ105" i="1"/>
  <c r="F104" i="3"/>
  <c r="AK105" i="1"/>
  <c r="G104" i="3" s="1"/>
  <c r="AL105" i="1"/>
  <c r="H104" i="3" s="1"/>
  <c r="AM105" i="1"/>
  <c r="I104" i="3"/>
  <c r="AN105" i="1"/>
  <c r="J104" i="3" s="1"/>
  <c r="AO105" i="1"/>
  <c r="K104" i="3"/>
  <c r="AP105" i="1"/>
  <c r="L104" i="3" s="1"/>
  <c r="AQ105" i="1"/>
  <c r="M104" i="3"/>
  <c r="AR105" i="1"/>
  <c r="N104" i="3" s="1"/>
  <c r="AS105" i="1"/>
  <c r="O104" i="3"/>
  <c r="AT105" i="1"/>
  <c r="P104" i="3"/>
  <c r="AU105" i="1"/>
  <c r="Q104" i="3" s="1"/>
  <c r="AV105" i="1"/>
  <c r="R104" i="3"/>
  <c r="AF106" i="1"/>
  <c r="B105" i="3"/>
  <c r="AG106" i="1"/>
  <c r="C105" i="3"/>
  <c r="AH106" i="1"/>
  <c r="D105" i="3" s="1"/>
  <c r="AI106" i="1"/>
  <c r="E105" i="3"/>
  <c r="AJ106" i="1"/>
  <c r="F105" i="3"/>
  <c r="AK106" i="1"/>
  <c r="G105" i="3"/>
  <c r="AL106" i="1"/>
  <c r="H105" i="3"/>
  <c r="AM106" i="1"/>
  <c r="I105" i="3" s="1"/>
  <c r="AN106" i="1"/>
  <c r="J105" i="3"/>
  <c r="AO106" i="1"/>
  <c r="K105" i="3"/>
  <c r="AP106" i="1"/>
  <c r="L105" i="3" s="1"/>
  <c r="AQ106" i="1"/>
  <c r="M105" i="3"/>
  <c r="AR106" i="1"/>
  <c r="N105" i="3"/>
  <c r="AS106" i="1"/>
  <c r="O105" i="3"/>
  <c r="AT106" i="1"/>
  <c r="P105" i="3" s="1"/>
  <c r="AU106" i="1"/>
  <c r="Q105" i="3" s="1"/>
  <c r="AV106" i="1"/>
  <c r="R105" i="3"/>
  <c r="AF107" i="1"/>
  <c r="B106" i="3"/>
  <c r="AG107" i="1"/>
  <c r="C106" i="3"/>
  <c r="AH107" i="1"/>
  <c r="D106" i="3"/>
  <c r="AI107" i="1"/>
  <c r="E106" i="3" s="1"/>
  <c r="AJ107" i="1"/>
  <c r="F106" i="3"/>
  <c r="AK107" i="1"/>
  <c r="G106" i="3"/>
  <c r="AL107" i="1"/>
  <c r="H106" i="3" s="1"/>
  <c r="AM107" i="1"/>
  <c r="I106" i="3"/>
  <c r="AN107" i="1"/>
  <c r="J106" i="3" s="1"/>
  <c r="AO107" i="1"/>
  <c r="K106" i="3"/>
  <c r="AP107" i="1"/>
  <c r="L106" i="3" s="1"/>
  <c r="AQ107" i="1"/>
  <c r="M106" i="3"/>
  <c r="AR107" i="1"/>
  <c r="N106" i="3" s="1"/>
  <c r="AS107" i="1"/>
  <c r="O106" i="3" s="1"/>
  <c r="AT107" i="1"/>
  <c r="P106" i="3"/>
  <c r="AU107" i="1"/>
  <c r="Q106" i="3"/>
  <c r="AV107" i="1"/>
  <c r="R106" i="3"/>
  <c r="AF108" i="1"/>
  <c r="B107" i="3"/>
  <c r="AG108" i="1"/>
  <c r="C107" i="3" s="1"/>
  <c r="AH108" i="1"/>
  <c r="D107" i="3"/>
  <c r="AI108" i="1"/>
  <c r="E107" i="3"/>
  <c r="AJ108" i="1"/>
  <c r="F107" i="3"/>
  <c r="AK108" i="1"/>
  <c r="G107" i="3" s="1"/>
  <c r="AL108" i="1"/>
  <c r="H107" i="3" s="1"/>
  <c r="AM108" i="1"/>
  <c r="I107" i="3" s="1"/>
  <c r="AN108" i="1"/>
  <c r="J107" i="3"/>
  <c r="AO108" i="1"/>
  <c r="K107" i="3"/>
  <c r="AP108" i="1"/>
  <c r="L107" i="3"/>
  <c r="AQ108" i="1"/>
  <c r="M107" i="3"/>
  <c r="AR108" i="1"/>
  <c r="N107" i="3"/>
  <c r="AS108" i="1"/>
  <c r="O107" i="3"/>
  <c r="AT108" i="1"/>
  <c r="P107" i="3"/>
  <c r="S107" i="3" s="1"/>
  <c r="AU108" i="1"/>
  <c r="Q107" i="3"/>
  <c r="AV108" i="1"/>
  <c r="R107" i="3"/>
  <c r="AF109" i="1"/>
  <c r="B108" i="3"/>
  <c r="AG109" i="1"/>
  <c r="C108" i="3"/>
  <c r="AH109" i="1"/>
  <c r="D108" i="3"/>
  <c r="AI109" i="1"/>
  <c r="E108" i="3"/>
  <c r="AJ109" i="1"/>
  <c r="F108" i="3"/>
  <c r="AK109" i="1"/>
  <c r="G108" i="3" s="1"/>
  <c r="AL109" i="1"/>
  <c r="H108" i="3"/>
  <c r="AM109" i="1"/>
  <c r="I108" i="3"/>
  <c r="AN109" i="1"/>
  <c r="J108" i="3"/>
  <c r="AO109" i="1"/>
  <c r="K108" i="3"/>
  <c r="AP109" i="1"/>
  <c r="L108" i="3"/>
  <c r="AQ109" i="1"/>
  <c r="M108" i="3"/>
  <c r="AR109" i="1"/>
  <c r="N108" i="3"/>
  <c r="AS109" i="1"/>
  <c r="O108" i="3"/>
  <c r="AT109" i="1"/>
  <c r="P108" i="3"/>
  <c r="AU109" i="1"/>
  <c r="Q108" i="3"/>
  <c r="AV109" i="1"/>
  <c r="R108" i="3" s="1"/>
  <c r="AF110" i="1"/>
  <c r="B109" i="3"/>
  <c r="AG110" i="1"/>
  <c r="C109" i="3"/>
  <c r="AH110" i="1"/>
  <c r="D109" i="3" s="1"/>
  <c r="AI110" i="1"/>
  <c r="E109" i="3"/>
  <c r="AJ110" i="1"/>
  <c r="F109" i="3" s="1"/>
  <c r="AK110" i="1"/>
  <c r="G109" i="3"/>
  <c r="AL110" i="1"/>
  <c r="H109" i="3"/>
  <c r="AM110" i="1"/>
  <c r="I109" i="3"/>
  <c r="AN110" i="1"/>
  <c r="J109" i="3"/>
  <c r="AO110" i="1"/>
  <c r="K109" i="3"/>
  <c r="AP110" i="1"/>
  <c r="L109" i="3"/>
  <c r="AQ110" i="1"/>
  <c r="M109" i="3"/>
  <c r="AR110" i="1"/>
  <c r="N109" i="3"/>
  <c r="AS110" i="1"/>
  <c r="O109" i="3"/>
  <c r="S109" i="3" s="1"/>
  <c r="AT110" i="1"/>
  <c r="P109" i="3"/>
  <c r="AU110" i="1"/>
  <c r="Q109" i="3"/>
  <c r="AV110" i="1"/>
  <c r="R109" i="3"/>
  <c r="AF111" i="1"/>
  <c r="B110" i="3"/>
  <c r="AG111" i="1"/>
  <c r="C110" i="3"/>
  <c r="AH111" i="1"/>
  <c r="D110" i="3"/>
  <c r="AI111" i="1"/>
  <c r="E110" i="3"/>
  <c r="AJ111" i="1"/>
  <c r="F110" i="3" s="1"/>
  <c r="AK111" i="1"/>
  <c r="G110" i="3"/>
  <c r="AL111" i="1"/>
  <c r="H110" i="3"/>
  <c r="AM111" i="1"/>
  <c r="I110" i="3"/>
  <c r="AN111" i="1"/>
  <c r="J110" i="3"/>
  <c r="AO111" i="1"/>
  <c r="K110" i="3"/>
  <c r="AP111" i="1"/>
  <c r="L110" i="3"/>
  <c r="AQ111" i="1"/>
  <c r="M110" i="3"/>
  <c r="AR111" i="1"/>
  <c r="N110" i="3"/>
  <c r="AS111" i="1"/>
  <c r="O110" i="3"/>
  <c r="AT111" i="1"/>
  <c r="P110" i="3"/>
  <c r="AU111" i="1"/>
  <c r="Q110" i="3"/>
  <c r="AV111" i="1"/>
  <c r="R110" i="3"/>
  <c r="A3" i="12"/>
  <c r="C53" i="6"/>
  <c r="C15" i="12"/>
  <c r="D49" i="6"/>
  <c r="D53" i="6"/>
  <c r="C14" i="12" s="1"/>
  <c r="J3" i="17"/>
  <c r="J4" i="17"/>
  <c r="AC113" i="1"/>
  <c r="M113" i="1"/>
  <c r="B10" i="17"/>
  <c r="N113" i="1"/>
  <c r="B11" i="17"/>
  <c r="O113" i="1"/>
  <c r="B12" i="17" s="1"/>
  <c r="P113" i="1"/>
  <c r="P115" i="1" s="1"/>
  <c r="B13" i="17"/>
  <c r="Q113" i="1"/>
  <c r="Q116" i="1" s="1"/>
  <c r="B14" i="17"/>
  <c r="R113" i="1"/>
  <c r="B15" i="17" s="1"/>
  <c r="S113" i="1"/>
  <c r="T113" i="1"/>
  <c r="B17" i="17"/>
  <c r="D28" i="18" s="1"/>
  <c r="U113" i="1"/>
  <c r="B18" i="17"/>
  <c r="D31" i="18" s="1"/>
  <c r="V113" i="1"/>
  <c r="V115" i="1" s="1"/>
  <c r="B19" i="17"/>
  <c r="D34" i="18" s="1"/>
  <c r="W113" i="1"/>
  <c r="W116" i="1" s="1"/>
  <c r="B20" i="17"/>
  <c r="X113" i="1"/>
  <c r="B21" i="17"/>
  <c r="D41" i="18" s="1"/>
  <c r="Y113" i="1"/>
  <c r="B22" i="17"/>
  <c r="Z113" i="1"/>
  <c r="B23" i="17"/>
  <c r="D47" i="18" s="1"/>
  <c r="AA113" i="1"/>
  <c r="B24" i="17"/>
  <c r="AB113" i="1"/>
  <c r="B25" i="17"/>
  <c r="E54" i="17"/>
  <c r="B4" i="19" s="1"/>
  <c r="J41" i="19"/>
  <c r="K41" i="19"/>
  <c r="T41" i="19"/>
  <c r="E85" i="17"/>
  <c r="B4" i="20"/>
  <c r="L58" i="20"/>
  <c r="M58" i="20"/>
  <c r="B58" i="20"/>
  <c r="B25" i="20"/>
  <c r="B26" i="20"/>
  <c r="B28" i="20"/>
  <c r="B34" i="20"/>
  <c r="B35" i="20"/>
  <c r="B40" i="20"/>
  <c r="B41" i="20"/>
  <c r="B42" i="20"/>
  <c r="B44" i="20"/>
  <c r="B45" i="20"/>
  <c r="B47" i="20"/>
  <c r="B50" i="20"/>
  <c r="B51" i="20"/>
  <c r="B52" i="20"/>
  <c r="B54" i="20"/>
  <c r="B55" i="20"/>
  <c r="F58" i="20"/>
  <c r="F25" i="20"/>
  <c r="F26" i="20"/>
  <c r="F28" i="20"/>
  <c r="F34" i="20"/>
  <c r="F35" i="20"/>
  <c r="F40" i="20"/>
  <c r="F41" i="20"/>
  <c r="F42" i="20"/>
  <c r="F44" i="20"/>
  <c r="F45" i="20"/>
  <c r="F47" i="20"/>
  <c r="F50" i="20"/>
  <c r="F51" i="20"/>
  <c r="F52" i="20"/>
  <c r="F54" i="20"/>
  <c r="F55" i="20"/>
  <c r="F60" i="20"/>
  <c r="G44" i="20" s="1"/>
  <c r="G58" i="20"/>
  <c r="H20" i="20"/>
  <c r="D117" i="20" s="1"/>
  <c r="J58" i="20"/>
  <c r="H4" i="20"/>
  <c r="J25" i="20"/>
  <c r="L25" i="20"/>
  <c r="M25" i="20" s="1"/>
  <c r="G26" i="20"/>
  <c r="H5" i="20"/>
  <c r="D77" i="20" s="1"/>
  <c r="J26" i="20"/>
  <c r="L26" i="20"/>
  <c r="M26" i="20"/>
  <c r="G28" i="20"/>
  <c r="H6" i="20"/>
  <c r="J28" i="20"/>
  <c r="L28" i="20"/>
  <c r="M28" i="20"/>
  <c r="G34" i="20"/>
  <c r="H7" i="20"/>
  <c r="L34" i="20"/>
  <c r="M34" i="20"/>
  <c r="G35" i="20"/>
  <c r="H8" i="20"/>
  <c r="D88" i="20" s="1"/>
  <c r="J35" i="20"/>
  <c r="L35" i="20"/>
  <c r="M35" i="20" s="1"/>
  <c r="G40" i="20"/>
  <c r="H9" i="20"/>
  <c r="J40" i="20"/>
  <c r="L40" i="20"/>
  <c r="M40" i="20"/>
  <c r="H10" i="20"/>
  <c r="D95" i="20" s="1"/>
  <c r="J41" i="20"/>
  <c r="L41" i="20"/>
  <c r="M41" i="20"/>
  <c r="H11" i="20"/>
  <c r="D96" i="20" s="1"/>
  <c r="J42" i="20"/>
  <c r="L42" i="20"/>
  <c r="M42" i="20" s="1"/>
  <c r="H12" i="20"/>
  <c r="J44" i="20"/>
  <c r="L44" i="20"/>
  <c r="M44" i="20"/>
  <c r="G45" i="20"/>
  <c r="H13" i="20"/>
  <c r="D100" i="20" s="1"/>
  <c r="J45" i="20"/>
  <c r="L45" i="20"/>
  <c r="M45" i="20"/>
  <c r="H14" i="20"/>
  <c r="D103" i="20" s="1"/>
  <c r="J47" i="20"/>
  <c r="L47" i="20"/>
  <c r="M47" i="20" s="1"/>
  <c r="G50" i="20"/>
  <c r="H15" i="20"/>
  <c r="L50" i="20"/>
  <c r="M50" i="20"/>
  <c r="H16" i="20"/>
  <c r="D108" i="20" s="1"/>
  <c r="J51" i="20"/>
  <c r="L51" i="20"/>
  <c r="M51" i="20" s="1"/>
  <c r="H17" i="20"/>
  <c r="J52" i="20"/>
  <c r="L52" i="20"/>
  <c r="M52" i="20"/>
  <c r="G54" i="20"/>
  <c r="H18" i="20"/>
  <c r="J54" i="20"/>
  <c r="L54" i="20"/>
  <c r="M54" i="20"/>
  <c r="H19" i="20"/>
  <c r="D113" i="20" s="1"/>
  <c r="J55" i="20"/>
  <c r="L55" i="20"/>
  <c r="M55" i="20"/>
  <c r="J40" i="19"/>
  <c r="K40" i="19"/>
  <c r="B42" i="19"/>
  <c r="D42" i="19"/>
  <c r="E25" i="19"/>
  <c r="H4" i="19"/>
  <c r="H25" i="19"/>
  <c r="J25" i="19"/>
  <c r="H5" i="19"/>
  <c r="H26" i="19"/>
  <c r="J26" i="19"/>
  <c r="K26" i="19"/>
  <c r="H6" i="19"/>
  <c r="H27" i="19"/>
  <c r="J27" i="19"/>
  <c r="K27" i="19"/>
  <c r="H7" i="19"/>
  <c r="H28" i="19"/>
  <c r="J28" i="19"/>
  <c r="K28" i="19" s="1"/>
  <c r="H8" i="19"/>
  <c r="H29" i="19" s="1"/>
  <c r="J29" i="19"/>
  <c r="K29" i="19"/>
  <c r="H9" i="19"/>
  <c r="H30" i="19" s="1"/>
  <c r="J30" i="19"/>
  <c r="K30" i="19"/>
  <c r="H10" i="19"/>
  <c r="H31" i="19"/>
  <c r="J31" i="19"/>
  <c r="K31" i="19"/>
  <c r="H11" i="19"/>
  <c r="H32" i="19"/>
  <c r="J32" i="19"/>
  <c r="K32" i="19"/>
  <c r="E33" i="19"/>
  <c r="H12" i="19"/>
  <c r="H33" i="19" s="1"/>
  <c r="J33" i="19"/>
  <c r="K33" i="19" s="1"/>
  <c r="H13" i="19"/>
  <c r="H34" i="19"/>
  <c r="J34" i="19"/>
  <c r="K34" i="19"/>
  <c r="H14" i="19"/>
  <c r="H35" i="19" s="1"/>
  <c r="J35" i="19"/>
  <c r="K35" i="19" s="1"/>
  <c r="H15" i="19"/>
  <c r="H36" i="19"/>
  <c r="J36" i="19"/>
  <c r="K36" i="19"/>
  <c r="C37" i="19"/>
  <c r="E37" i="19"/>
  <c r="H16" i="19"/>
  <c r="H37" i="19"/>
  <c r="J37" i="19"/>
  <c r="K37" i="19"/>
  <c r="E38" i="19"/>
  <c r="H17" i="19"/>
  <c r="H38" i="19"/>
  <c r="J38" i="19"/>
  <c r="K38" i="19"/>
  <c r="H18" i="19"/>
  <c r="H39" i="19"/>
  <c r="J39" i="19"/>
  <c r="K39" i="19"/>
  <c r="H19" i="19"/>
  <c r="H40" i="19"/>
  <c r="H20" i="19"/>
  <c r="H41" i="19" s="1"/>
  <c r="E55" i="20"/>
  <c r="I113" i="20"/>
  <c r="E56" i="20"/>
  <c r="I114" i="20"/>
  <c r="E57" i="20"/>
  <c r="I115" i="20"/>
  <c r="E52" i="20"/>
  <c r="I109" i="20"/>
  <c r="E53" i="20"/>
  <c r="I110" i="20" s="1"/>
  <c r="I111" i="20" s="1"/>
  <c r="T34" i="19"/>
  <c r="T33" i="19"/>
  <c r="T32" i="19"/>
  <c r="T26" i="19"/>
  <c r="C8" i="21"/>
  <c r="E8" i="21"/>
  <c r="F8" i="21"/>
  <c r="G8" i="21"/>
  <c r="C7" i="21"/>
  <c r="E7" i="21"/>
  <c r="F7" i="21"/>
  <c r="C6" i="21"/>
  <c r="G6" i="21" s="1"/>
  <c r="E6" i="21"/>
  <c r="F6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52" i="21" s="1"/>
  <c r="C4" i="21"/>
  <c r="C5" i="21"/>
  <c r="C54" i="21"/>
  <c r="G5" i="21"/>
  <c r="G4" i="21"/>
  <c r="A2" i="1"/>
  <c r="B10" i="21"/>
  <c r="B2" i="21"/>
  <c r="J119" i="1"/>
  <c r="AD55" i="1"/>
  <c r="H55" i="1"/>
  <c r="AD108" i="1"/>
  <c r="H108" i="1"/>
  <c r="AD96" i="1"/>
  <c r="H96" i="1"/>
  <c r="AD82" i="1"/>
  <c r="H82" i="1"/>
  <c r="AD24" i="1"/>
  <c r="H24" i="1"/>
  <c r="AB117" i="1"/>
  <c r="AB122" i="1" s="1"/>
  <c r="H107" i="1"/>
  <c r="H80" i="1"/>
  <c r="H73" i="1"/>
  <c r="H97" i="1"/>
  <c r="H100" i="1"/>
  <c r="H99" i="1"/>
  <c r="H94" i="1"/>
  <c r="H89" i="1"/>
  <c r="H88" i="1"/>
  <c r="H81" i="1"/>
  <c r="H75" i="1"/>
  <c r="AD74" i="1"/>
  <c r="H74" i="1"/>
  <c r="AD72" i="1"/>
  <c r="H72" i="1"/>
  <c r="H68" i="1"/>
  <c r="AW71" i="1"/>
  <c r="AD71" i="1"/>
  <c r="G71" i="1"/>
  <c r="H71" i="1"/>
  <c r="AD67" i="1"/>
  <c r="H67" i="1"/>
  <c r="H66" i="1"/>
  <c r="AD66" i="1"/>
  <c r="H64" i="1"/>
  <c r="H61" i="1"/>
  <c r="H56" i="1"/>
  <c r="H25" i="1"/>
  <c r="H49" i="1"/>
  <c r="H47" i="1"/>
  <c r="H14" i="1"/>
  <c r="H41" i="1"/>
  <c r="H33" i="1"/>
  <c r="H32" i="1"/>
  <c r="H28" i="1"/>
  <c r="AD22" i="1"/>
  <c r="H22" i="1"/>
  <c r="H19" i="1"/>
  <c r="AD19" i="1"/>
  <c r="H17" i="1"/>
  <c r="AD103" i="1"/>
  <c r="H103" i="1"/>
  <c r="H77" i="1"/>
  <c r="H43" i="1"/>
  <c r="AD43" i="1"/>
  <c r="AD13" i="1"/>
  <c r="H13" i="1"/>
  <c r="AW40" i="1"/>
  <c r="G40" i="1" s="1"/>
  <c r="AW56" i="1"/>
  <c r="G56" i="1" s="1"/>
  <c r="AW57" i="1"/>
  <c r="G57" i="1" s="1"/>
  <c r="AW59" i="1"/>
  <c r="G59" i="1" s="1"/>
  <c r="AW60" i="1"/>
  <c r="G60" i="1" s="1"/>
  <c r="AW61" i="1"/>
  <c r="G61" i="1" s="1"/>
  <c r="AW62" i="1"/>
  <c r="G62" i="1" s="1"/>
  <c r="AW73" i="1"/>
  <c r="G73" i="1" s="1"/>
  <c r="AW75" i="1"/>
  <c r="G75" i="1" s="1"/>
  <c r="AW76" i="1"/>
  <c r="G76" i="1" s="1"/>
  <c r="AW77" i="1"/>
  <c r="G77" i="1" s="1"/>
  <c r="AW78" i="1"/>
  <c r="G78" i="1" s="1"/>
  <c r="AW79" i="1"/>
  <c r="G79" i="1" s="1"/>
  <c r="AW81" i="1"/>
  <c r="G81" i="1" s="1"/>
  <c r="AW83" i="1"/>
  <c r="G83" i="1" s="1"/>
  <c r="G48" i="1"/>
  <c r="H106" i="1"/>
  <c r="H105" i="1"/>
  <c r="H104" i="1"/>
  <c r="H102" i="1"/>
  <c r="H101" i="1"/>
  <c r="H98" i="1"/>
  <c r="H95" i="1"/>
  <c r="H93" i="1"/>
  <c r="H92" i="1"/>
  <c r="H91" i="1"/>
  <c r="H90" i="1"/>
  <c r="H87" i="1"/>
  <c r="H86" i="1"/>
  <c r="H85" i="1"/>
  <c r="H84" i="1"/>
  <c r="H83" i="1"/>
  <c r="H79" i="1"/>
  <c r="H78" i="1"/>
  <c r="H76" i="1"/>
  <c r="H70" i="1"/>
  <c r="H69" i="1"/>
  <c r="H65" i="1"/>
  <c r="H63" i="1"/>
  <c r="H62" i="1"/>
  <c r="H60" i="1"/>
  <c r="H59" i="1"/>
  <c r="H58" i="1"/>
  <c r="H57" i="1"/>
  <c r="H54" i="1"/>
  <c r="H53" i="1"/>
  <c r="H52" i="1"/>
  <c r="H51" i="1"/>
  <c r="H50" i="1"/>
  <c r="H48" i="1"/>
  <c r="H113" i="1" s="1"/>
  <c r="H115" i="1" s="1"/>
  <c r="H46" i="1"/>
  <c r="H45" i="1"/>
  <c r="H44" i="1"/>
  <c r="H42" i="1"/>
  <c r="H40" i="1"/>
  <c r="H39" i="1"/>
  <c r="H38" i="1"/>
  <c r="H37" i="1"/>
  <c r="H36" i="1"/>
  <c r="H35" i="1"/>
  <c r="H34" i="1"/>
  <c r="H31" i="1"/>
  <c r="H30" i="1"/>
  <c r="H29" i="1"/>
  <c r="H27" i="1"/>
  <c r="H26" i="1"/>
  <c r="H23" i="1"/>
  <c r="H21" i="1"/>
  <c r="H20" i="1"/>
  <c r="H18" i="1"/>
  <c r="H16" i="1"/>
  <c r="H15" i="1"/>
  <c r="H111" i="1"/>
  <c r="H110" i="1"/>
  <c r="H109" i="1"/>
  <c r="AB125" i="1"/>
  <c r="AB126" i="1" s="1"/>
  <c r="AD46" i="1"/>
  <c r="AD37" i="1"/>
  <c r="AD31" i="1"/>
  <c r="AD17" i="1"/>
  <c r="AD111" i="1"/>
  <c r="AD80" i="1"/>
  <c r="AD49" i="1"/>
  <c r="AD38" i="1"/>
  <c r="AD25" i="1"/>
  <c r="AD107" i="1"/>
  <c r="AD102" i="1"/>
  <c r="AD92" i="1"/>
  <c r="N115" i="1"/>
  <c r="N116" i="1"/>
  <c r="N121" i="1"/>
  <c r="O115" i="1"/>
  <c r="O121" i="1" s="1"/>
  <c r="O116" i="1"/>
  <c r="P116" i="1"/>
  <c r="P121" i="1" s="1"/>
  <c r="Q115" i="1"/>
  <c r="Q121" i="1" s="1"/>
  <c r="V116" i="1"/>
  <c r="W115" i="1"/>
  <c r="W121" i="1" s="1"/>
  <c r="AC116" i="1"/>
  <c r="M115" i="1"/>
  <c r="M116" i="1"/>
  <c r="M121" i="1"/>
  <c r="AD34" i="1"/>
  <c r="AD69" i="1"/>
  <c r="AD70" i="1"/>
  <c r="AD73" i="1"/>
  <c r="AD75" i="1"/>
  <c r="AD76" i="1"/>
  <c r="AD77" i="1"/>
  <c r="AD78" i="1"/>
  <c r="AD48" i="1"/>
  <c r="AD45" i="1"/>
  <c r="AD83" i="1"/>
  <c r="AD79" i="1"/>
  <c r="AD81" i="1"/>
  <c r="AD84" i="1"/>
  <c r="AD85" i="1"/>
  <c r="AD105" i="1"/>
  <c r="AD98" i="1"/>
  <c r="AD29" i="1"/>
  <c r="AD94" i="1"/>
  <c r="AD62" i="1"/>
  <c r="AD87" i="1"/>
  <c r="AD65" i="1"/>
  <c r="AD51" i="1"/>
  <c r="AD44" i="1"/>
  <c r="AD42" i="1"/>
  <c r="AD40" i="1"/>
  <c r="AD33" i="1"/>
  <c r="AD28" i="1"/>
  <c r="AD99" i="1"/>
  <c r="AD53" i="1"/>
  <c r="AD97" i="1"/>
  <c r="AD68" i="1"/>
  <c r="AD56" i="1"/>
  <c r="AD36" i="1"/>
  <c r="AD26" i="1"/>
  <c r="AD27" i="1"/>
  <c r="AD91" i="1"/>
  <c r="AD32" i="1"/>
  <c r="AD23" i="1"/>
  <c r="AD16" i="1"/>
  <c r="AD14" i="1"/>
  <c r="AD15" i="1"/>
  <c r="AD18" i="1"/>
  <c r="AD20" i="1"/>
  <c r="AD21" i="1"/>
  <c r="AD30" i="1"/>
  <c r="AD35" i="1"/>
  <c r="AD39" i="1"/>
  <c r="AD41" i="1"/>
  <c r="AD47" i="1"/>
  <c r="AD50" i="1"/>
  <c r="AD52" i="1"/>
  <c r="AD54" i="1"/>
  <c r="AD57" i="1"/>
  <c r="AD58" i="1"/>
  <c r="AD59" i="1"/>
  <c r="AD60" i="1"/>
  <c r="AD61" i="1"/>
  <c r="AD63" i="1"/>
  <c r="AD64" i="1"/>
  <c r="AD86" i="1"/>
  <c r="AD88" i="1"/>
  <c r="AD89" i="1"/>
  <c r="AD90" i="1"/>
  <c r="AD93" i="1"/>
  <c r="AD95" i="1"/>
  <c r="AD100" i="1"/>
  <c r="AD101" i="1"/>
  <c r="AD104" i="1"/>
  <c r="AD106" i="1"/>
  <c r="AD109" i="1"/>
  <c r="AD110" i="1"/>
  <c r="C113" i="1"/>
  <c r="B113" i="1"/>
  <c r="A7" i="1"/>
  <c r="B114" i="1"/>
  <c r="B115" i="1"/>
  <c r="B29" i="17" s="1"/>
  <c r="C28" i="9"/>
  <c r="L28" i="9"/>
  <c r="J117" i="1"/>
  <c r="Q116" i="3"/>
  <c r="A2" i="3"/>
  <c r="A2" i="4"/>
  <c r="O109" i="17"/>
  <c r="O111" i="17"/>
  <c r="O112" i="17"/>
  <c r="M110" i="17"/>
  <c r="M113" i="17" s="1"/>
  <c r="O110" i="17"/>
  <c r="O113" i="17"/>
  <c r="P109" i="17" s="1"/>
  <c r="O107" i="17"/>
  <c r="P107" i="17"/>
  <c r="P110" i="17" s="1"/>
  <c r="O108" i="17"/>
  <c r="P108" i="17"/>
  <c r="P112" i="17"/>
  <c r="P111" i="17"/>
  <c r="N113" i="17"/>
  <c r="T109" i="17"/>
  <c r="A116" i="17"/>
  <c r="F85" i="17"/>
  <c r="D85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E27" i="17"/>
  <c r="A59" i="17"/>
  <c r="A31" i="17"/>
  <c r="A2" i="17"/>
  <c r="L2" i="17"/>
  <c r="D8" i="18"/>
  <c r="D9" i="18"/>
  <c r="D12" i="18"/>
  <c r="D19" i="18"/>
  <c r="D50" i="18"/>
  <c r="D51" i="18"/>
  <c r="I57" i="18"/>
  <c r="I54" i="18"/>
  <c r="I49" i="18"/>
  <c r="I46" i="18"/>
  <c r="I40" i="18"/>
  <c r="I36" i="18"/>
  <c r="I33" i="18"/>
  <c r="I30" i="18"/>
  <c r="I25" i="18"/>
  <c r="I18" i="18"/>
  <c r="I11" i="18"/>
  <c r="A2" i="18"/>
  <c r="G8" i="18"/>
  <c r="G9" i="18"/>
  <c r="G12" i="18"/>
  <c r="G19" i="18"/>
  <c r="G20" i="18"/>
  <c r="G26" i="18"/>
  <c r="G27" i="18"/>
  <c r="G28" i="18"/>
  <c r="G31" i="18"/>
  <c r="G34" i="18"/>
  <c r="G37" i="18"/>
  <c r="G41" i="18"/>
  <c r="G42" i="18"/>
  <c r="G47" i="18"/>
  <c r="G50" i="18"/>
  <c r="G51" i="18"/>
  <c r="G55" i="18"/>
  <c r="F21" i="19"/>
  <c r="E51" i="20"/>
  <c r="I108" i="20" s="1"/>
  <c r="E41" i="20"/>
  <c r="I95" i="20"/>
  <c r="E40" i="20"/>
  <c r="I94" i="20"/>
  <c r="E25" i="20"/>
  <c r="I76" i="20"/>
  <c r="W59" i="20"/>
  <c r="W57" i="20"/>
  <c r="W56" i="20"/>
  <c r="W53" i="20"/>
  <c r="W49" i="20"/>
  <c r="W48" i="20"/>
  <c r="W46" i="20"/>
  <c r="W43" i="20"/>
  <c r="W39" i="20"/>
  <c r="W38" i="20"/>
  <c r="W37" i="20"/>
  <c r="W36" i="20"/>
  <c r="W33" i="20"/>
  <c r="W32" i="20"/>
  <c r="W31" i="20"/>
  <c r="W30" i="20"/>
  <c r="W29" i="20"/>
  <c r="W27" i="20"/>
  <c r="F119" i="20"/>
  <c r="D60" i="20"/>
  <c r="D76" i="20"/>
  <c r="D80" i="20"/>
  <c r="D94" i="20"/>
  <c r="D99" i="20"/>
  <c r="D109" i="20"/>
  <c r="D112" i="20"/>
  <c r="A69" i="20"/>
  <c r="F116" i="20"/>
  <c r="F111" i="20"/>
  <c r="F102" i="20"/>
  <c r="F98" i="20"/>
  <c r="F93" i="20"/>
  <c r="F86" i="20"/>
  <c r="F79" i="20"/>
  <c r="H21" i="20"/>
  <c r="L60" i="20"/>
  <c r="F21" i="20"/>
  <c r="A2" i="6"/>
  <c r="F20" i="7"/>
  <c r="F21" i="7"/>
  <c r="F28" i="7"/>
  <c r="F19" i="7"/>
  <c r="D34" i="7"/>
  <c r="B34" i="7"/>
  <c r="A2" i="7"/>
  <c r="O28" i="8"/>
  <c r="E14" i="8"/>
  <c r="U14" i="8" s="1"/>
  <c r="D14" i="8"/>
  <c r="R24" i="8"/>
  <c r="R28" i="8" s="1"/>
  <c r="F17" i="8"/>
  <c r="F28" i="8" s="1"/>
  <c r="E15" i="8"/>
  <c r="U15" i="8" s="1"/>
  <c r="D15" i="8"/>
  <c r="T12" i="8"/>
  <c r="U12" i="8"/>
  <c r="W12" i="8"/>
  <c r="T16" i="8"/>
  <c r="W16" i="8" s="1"/>
  <c r="U16" i="8"/>
  <c r="T22" i="8"/>
  <c r="U22" i="8"/>
  <c r="W22" i="8"/>
  <c r="T19" i="8"/>
  <c r="U19" i="8"/>
  <c r="U28" i="8" s="1"/>
  <c r="W19" i="8"/>
  <c r="D28" i="8"/>
  <c r="E28" i="8"/>
  <c r="B28" i="8"/>
  <c r="C28" i="8"/>
  <c r="G28" i="8"/>
  <c r="H28" i="8"/>
  <c r="I28" i="8"/>
  <c r="J28" i="8"/>
  <c r="K28" i="8"/>
  <c r="L28" i="8"/>
  <c r="M28" i="8"/>
  <c r="N28" i="8"/>
  <c r="P28" i="8"/>
  <c r="Q28" i="8"/>
  <c r="S28" i="8"/>
  <c r="U9" i="8"/>
  <c r="U10" i="8"/>
  <c r="U11" i="8"/>
  <c r="U13" i="8"/>
  <c r="U17" i="8"/>
  <c r="U18" i="8"/>
  <c r="W18" i="8" s="1"/>
  <c r="U20" i="8"/>
  <c r="U21" i="8"/>
  <c r="U23" i="8"/>
  <c r="U24" i="8"/>
  <c r="U25" i="8"/>
  <c r="U26" i="8"/>
  <c r="T10" i="8"/>
  <c r="T11" i="8"/>
  <c r="T13" i="8"/>
  <c r="T14" i="8"/>
  <c r="W14" i="8" s="1"/>
  <c r="T15" i="8"/>
  <c r="W15" i="8" s="1"/>
  <c r="T17" i="8"/>
  <c r="W17" i="8" s="1"/>
  <c r="T18" i="8"/>
  <c r="T20" i="8"/>
  <c r="W20" i="8" s="1"/>
  <c r="T21" i="8"/>
  <c r="W21" i="8" s="1"/>
  <c r="T23" i="8"/>
  <c r="W23" i="8" s="1"/>
  <c r="T24" i="8"/>
  <c r="W24" i="8" s="1"/>
  <c r="T25" i="8"/>
  <c r="T26" i="8"/>
  <c r="W26" i="8" s="1"/>
  <c r="W10" i="8"/>
  <c r="V11" i="8"/>
  <c r="W11" i="8"/>
  <c r="W13" i="8"/>
  <c r="W25" i="8"/>
  <c r="T9" i="8"/>
  <c r="W9" i="8" s="1"/>
  <c r="V9" i="8"/>
  <c r="V28" i="8"/>
  <c r="A2" i="8"/>
  <c r="E25" i="9"/>
  <c r="I25" i="9"/>
  <c r="C25" i="9"/>
  <c r="K25" i="9"/>
  <c r="D25" i="9"/>
  <c r="B25" i="9"/>
  <c r="G25" i="9"/>
  <c r="H25" i="9"/>
  <c r="J25" i="9"/>
  <c r="V30" i="9"/>
  <c r="V27" i="9"/>
  <c r="N2" i="9"/>
  <c r="A2" i="9"/>
  <c r="V25" i="9"/>
  <c r="S43" i="10"/>
  <c r="T43" i="10"/>
  <c r="S32" i="10"/>
  <c r="T32" i="10"/>
  <c r="S17" i="10"/>
  <c r="T17" i="10" s="1"/>
  <c r="S16" i="10"/>
  <c r="T16" i="10"/>
  <c r="S89" i="10"/>
  <c r="T89" i="10"/>
  <c r="S73" i="10"/>
  <c r="T73" i="10"/>
  <c r="S62" i="10"/>
  <c r="T62" i="10"/>
  <c r="S63" i="10"/>
  <c r="T63" i="10"/>
  <c r="S55" i="10"/>
  <c r="T55" i="10"/>
  <c r="S36" i="10"/>
  <c r="T36" i="10"/>
  <c r="S18" i="10"/>
  <c r="T18" i="10"/>
  <c r="S82" i="10"/>
  <c r="T82" i="10"/>
  <c r="S60" i="10"/>
  <c r="T60" i="10"/>
  <c r="S24" i="10"/>
  <c r="T24" i="10"/>
  <c r="D91" i="10"/>
  <c r="E91" i="10"/>
  <c r="F91" i="10"/>
  <c r="G91" i="10"/>
  <c r="B99" i="10" s="1"/>
  <c r="L91" i="10"/>
  <c r="M91" i="10"/>
  <c r="P91" i="10"/>
  <c r="H91" i="10"/>
  <c r="I91" i="10"/>
  <c r="N91" i="10"/>
  <c r="O91" i="10"/>
  <c r="Q91" i="10"/>
  <c r="J91" i="10"/>
  <c r="B101" i="10"/>
  <c r="S87" i="10"/>
  <c r="T87" i="10" s="1"/>
  <c r="S79" i="10"/>
  <c r="T79" i="10"/>
  <c r="S29" i="10"/>
  <c r="T29" i="10" s="1"/>
  <c r="S28" i="10"/>
  <c r="T28" i="10"/>
  <c r="S15" i="10"/>
  <c r="T15" i="10"/>
  <c r="S25" i="10"/>
  <c r="T25" i="10"/>
  <c r="S44" i="10"/>
  <c r="T44" i="10" s="1"/>
  <c r="S38" i="10"/>
  <c r="T38" i="10"/>
  <c r="S69" i="10"/>
  <c r="T69" i="10"/>
  <c r="S88" i="10"/>
  <c r="T88" i="10"/>
  <c r="S76" i="10"/>
  <c r="T76" i="10"/>
  <c r="S74" i="10"/>
  <c r="T74" i="10" s="1"/>
  <c r="S75" i="10"/>
  <c r="T75" i="10"/>
  <c r="S53" i="10"/>
  <c r="T53" i="10" s="1"/>
  <c r="S85" i="10"/>
  <c r="T85" i="10"/>
  <c r="S71" i="10"/>
  <c r="T71" i="10" s="1"/>
  <c r="S61" i="10"/>
  <c r="T61" i="10"/>
  <c r="S33" i="10"/>
  <c r="T33" i="10"/>
  <c r="S27" i="10"/>
  <c r="T27" i="10" s="1"/>
  <c r="S21" i="10"/>
  <c r="T21" i="10"/>
  <c r="S80" i="10"/>
  <c r="T80" i="10"/>
  <c r="S59" i="10"/>
  <c r="T59" i="10"/>
  <c r="S49" i="10"/>
  <c r="T49" i="10" s="1"/>
  <c r="S50" i="10"/>
  <c r="T50" i="10"/>
  <c r="S42" i="10"/>
  <c r="T42" i="10"/>
  <c r="K91" i="10"/>
  <c r="R91" i="10"/>
  <c r="V91" i="10"/>
  <c r="S78" i="10"/>
  <c r="T78" i="10"/>
  <c r="S66" i="10"/>
  <c r="T66" i="10"/>
  <c r="S48" i="10"/>
  <c r="T48" i="10"/>
  <c r="S41" i="10"/>
  <c r="T41" i="10"/>
  <c r="S13" i="10"/>
  <c r="S14" i="10"/>
  <c r="T14" i="10" s="1"/>
  <c r="S19" i="10"/>
  <c r="T19" i="10" s="1"/>
  <c r="S20" i="10"/>
  <c r="T20" i="10" s="1"/>
  <c r="S22" i="10"/>
  <c r="T22" i="10" s="1"/>
  <c r="S23" i="10"/>
  <c r="S26" i="10"/>
  <c r="S30" i="10"/>
  <c r="S31" i="10"/>
  <c r="S34" i="10"/>
  <c r="S39" i="10"/>
  <c r="S40" i="10"/>
  <c r="S45" i="10"/>
  <c r="S46" i="10"/>
  <c r="S47" i="10"/>
  <c r="S51" i="10"/>
  <c r="S52" i="10"/>
  <c r="S54" i="10"/>
  <c r="S56" i="10"/>
  <c r="S57" i="10"/>
  <c r="S58" i="10"/>
  <c r="S64" i="10"/>
  <c r="S65" i="10"/>
  <c r="S67" i="10"/>
  <c r="S68" i="10"/>
  <c r="S70" i="10"/>
  <c r="S72" i="10"/>
  <c r="S77" i="10"/>
  <c r="S35" i="10"/>
  <c r="S81" i="10"/>
  <c r="S83" i="10"/>
  <c r="S84" i="10"/>
  <c r="S37" i="10"/>
  <c r="S86" i="10"/>
  <c r="T23" i="10"/>
  <c r="T26" i="10"/>
  <c r="T30" i="10"/>
  <c r="T31" i="10"/>
  <c r="T34" i="10"/>
  <c r="T39" i="10"/>
  <c r="T40" i="10"/>
  <c r="T45" i="10"/>
  <c r="T46" i="10"/>
  <c r="T47" i="10"/>
  <c r="T51" i="10"/>
  <c r="T52" i="10"/>
  <c r="T54" i="10"/>
  <c r="T56" i="10"/>
  <c r="T57" i="10"/>
  <c r="T58" i="10"/>
  <c r="T64" i="10"/>
  <c r="T65" i="10"/>
  <c r="T67" i="10"/>
  <c r="T68" i="10"/>
  <c r="T70" i="10"/>
  <c r="T72" i="10"/>
  <c r="T77" i="10"/>
  <c r="T35" i="10"/>
  <c r="T81" i="10"/>
  <c r="T83" i="10"/>
  <c r="T84" i="10"/>
  <c r="T37" i="10"/>
  <c r="T86" i="10"/>
  <c r="A7" i="10"/>
  <c r="A2" i="10"/>
  <c r="H13" i="22"/>
  <c r="I13" i="22"/>
  <c r="J13" i="22"/>
  <c r="K13" i="22"/>
  <c r="L13" i="22"/>
  <c r="H14" i="22"/>
  <c r="I14" i="22"/>
  <c r="J14" i="22"/>
  <c r="K14" i="22"/>
  <c r="H15" i="22"/>
  <c r="I15" i="22"/>
  <c r="J15" i="22"/>
  <c r="K15" i="22"/>
  <c r="L15" i="22"/>
  <c r="H16" i="22"/>
  <c r="I16" i="22"/>
  <c r="J16" i="22"/>
  <c r="K16" i="22"/>
  <c r="L16" i="22"/>
  <c r="H17" i="22"/>
  <c r="I17" i="22"/>
  <c r="J17" i="22"/>
  <c r="K17" i="22"/>
  <c r="L17" i="22"/>
  <c r="H18" i="22"/>
  <c r="I18" i="22"/>
  <c r="J18" i="22"/>
  <c r="K18" i="22"/>
  <c r="L18" i="22"/>
  <c r="H19" i="22"/>
  <c r="I19" i="22"/>
  <c r="J19" i="22"/>
  <c r="K19" i="22"/>
  <c r="H20" i="22"/>
  <c r="I20" i="22"/>
  <c r="K20" i="22"/>
  <c r="L20" i="22"/>
  <c r="H21" i="22"/>
  <c r="I21" i="22"/>
  <c r="J21" i="22"/>
  <c r="K21" i="22"/>
  <c r="L21" i="22"/>
  <c r="H22" i="22"/>
  <c r="I22" i="22"/>
  <c r="J22" i="22"/>
  <c r="K22" i="22"/>
  <c r="L22" i="22"/>
  <c r="H23" i="22"/>
  <c r="L23" i="22" s="1"/>
  <c r="I23" i="22"/>
  <c r="J23" i="22"/>
  <c r="K23" i="22"/>
  <c r="H24" i="22"/>
  <c r="I24" i="22"/>
  <c r="J24" i="22"/>
  <c r="K24" i="22"/>
  <c r="L24" i="22"/>
  <c r="H25" i="22"/>
  <c r="I25" i="22"/>
  <c r="J25" i="22"/>
  <c r="K25" i="22"/>
  <c r="H26" i="22"/>
  <c r="I26" i="22"/>
  <c r="J26" i="22"/>
  <c r="K26" i="22"/>
  <c r="L26" i="22"/>
  <c r="H27" i="22"/>
  <c r="I27" i="22"/>
  <c r="J27" i="22"/>
  <c r="K27" i="22"/>
  <c r="H28" i="22"/>
  <c r="L28" i="22" s="1"/>
  <c r="I28" i="22"/>
  <c r="J28" i="22"/>
  <c r="K28" i="22"/>
  <c r="H29" i="22"/>
  <c r="I29" i="22"/>
  <c r="J29" i="22"/>
  <c r="K29" i="22"/>
  <c r="L29" i="22"/>
  <c r="H30" i="22"/>
  <c r="I30" i="22"/>
  <c r="J30" i="22"/>
  <c r="K30" i="22"/>
  <c r="L30" i="22"/>
  <c r="H31" i="22"/>
  <c r="I31" i="22"/>
  <c r="J31" i="22"/>
  <c r="K31" i="22"/>
  <c r="L31" i="22"/>
  <c r="H32" i="22"/>
  <c r="I32" i="22"/>
  <c r="J32" i="22"/>
  <c r="K32" i="22"/>
  <c r="L32" i="22"/>
  <c r="H33" i="22"/>
  <c r="I33" i="22"/>
  <c r="J33" i="22"/>
  <c r="K33" i="22"/>
  <c r="L33" i="22"/>
  <c r="H34" i="22"/>
  <c r="I34" i="22"/>
  <c r="J34" i="22"/>
  <c r="K34" i="22"/>
  <c r="H35" i="22"/>
  <c r="I35" i="22"/>
  <c r="J35" i="22"/>
  <c r="K35" i="22"/>
  <c r="L35" i="22"/>
  <c r="H36" i="22"/>
  <c r="I36" i="22"/>
  <c r="J36" i="22"/>
  <c r="K36" i="22"/>
  <c r="H37" i="22"/>
  <c r="I37" i="22"/>
  <c r="J37" i="22"/>
  <c r="K37" i="22"/>
  <c r="L37" i="22"/>
  <c r="H38" i="22"/>
  <c r="L38" i="22" s="1"/>
  <c r="I38" i="22"/>
  <c r="J38" i="22"/>
  <c r="K38" i="22"/>
  <c r="H39" i="22"/>
  <c r="I39" i="22"/>
  <c r="J39" i="22"/>
  <c r="K39" i="22"/>
  <c r="L39" i="22"/>
  <c r="H40" i="22"/>
  <c r="I40" i="22"/>
  <c r="J40" i="22"/>
  <c r="K40" i="22"/>
  <c r="L40" i="22"/>
  <c r="H41" i="22"/>
  <c r="L41" i="22" s="1"/>
  <c r="I41" i="22"/>
  <c r="J41" i="22"/>
  <c r="K41" i="22"/>
  <c r="H42" i="22"/>
  <c r="I42" i="22"/>
  <c r="J42" i="22"/>
  <c r="K42" i="22"/>
  <c r="L42" i="22"/>
  <c r="H43" i="22"/>
  <c r="I43" i="22"/>
  <c r="J43" i="22"/>
  <c r="K43" i="22"/>
  <c r="L43" i="22"/>
  <c r="H44" i="22"/>
  <c r="I44" i="22"/>
  <c r="J44" i="22"/>
  <c r="K44" i="22"/>
  <c r="L44" i="22"/>
  <c r="H45" i="22"/>
  <c r="I45" i="22"/>
  <c r="J45" i="22"/>
  <c r="K45" i="22"/>
  <c r="L45" i="22"/>
  <c r="H46" i="22"/>
  <c r="I46" i="22"/>
  <c r="J46" i="22"/>
  <c r="K46" i="22"/>
  <c r="L46" i="22"/>
  <c r="H47" i="22"/>
  <c r="I47" i="22"/>
  <c r="J47" i="22"/>
  <c r="K47" i="22"/>
  <c r="H48" i="22"/>
  <c r="I48" i="22"/>
  <c r="J48" i="22"/>
  <c r="K48" i="22"/>
  <c r="L48" i="22"/>
  <c r="H49" i="22"/>
  <c r="I49" i="22"/>
  <c r="J49" i="22"/>
  <c r="K49" i="22"/>
  <c r="L49" i="22"/>
  <c r="H50" i="22"/>
  <c r="L50" i="22" s="1"/>
  <c r="I50" i="22"/>
  <c r="J50" i="22"/>
  <c r="K50" i="22"/>
  <c r="H51" i="22"/>
  <c r="I51" i="22"/>
  <c r="J51" i="22"/>
  <c r="K51" i="22"/>
  <c r="L51" i="22"/>
  <c r="H52" i="22"/>
  <c r="I52" i="22"/>
  <c r="J52" i="22"/>
  <c r="K52" i="22"/>
  <c r="L52" i="22" s="1"/>
  <c r="H53" i="22"/>
  <c r="I53" i="22"/>
  <c r="J53" i="22"/>
  <c r="K53" i="22"/>
  <c r="L53" i="22"/>
  <c r="H54" i="22"/>
  <c r="I54" i="22"/>
  <c r="J54" i="22"/>
  <c r="K54" i="22"/>
  <c r="L54" i="22"/>
  <c r="H55" i="22"/>
  <c r="I55" i="22"/>
  <c r="J55" i="22"/>
  <c r="K55" i="22"/>
  <c r="L55" i="22"/>
  <c r="H56" i="22"/>
  <c r="I56" i="22"/>
  <c r="J56" i="22"/>
  <c r="K56" i="22"/>
  <c r="L56" i="22"/>
  <c r="H57" i="22"/>
  <c r="I57" i="22"/>
  <c r="J57" i="22"/>
  <c r="K57" i="22"/>
  <c r="H58" i="22"/>
  <c r="I58" i="22"/>
  <c r="J58" i="22"/>
  <c r="K58" i="22"/>
  <c r="L58" i="22"/>
  <c r="H59" i="22"/>
  <c r="I59" i="22"/>
  <c r="J59" i="22"/>
  <c r="K59" i="22"/>
  <c r="L59" i="22"/>
  <c r="H60" i="22"/>
  <c r="I60" i="22"/>
  <c r="J60" i="22"/>
  <c r="K60" i="22"/>
  <c r="L60" i="22"/>
  <c r="H61" i="22"/>
  <c r="I61" i="22"/>
  <c r="J61" i="22"/>
  <c r="K61" i="22"/>
  <c r="L61" i="22"/>
  <c r="H62" i="22"/>
  <c r="I62" i="22"/>
  <c r="J62" i="22"/>
  <c r="K62" i="22"/>
  <c r="L62" i="22"/>
  <c r="H63" i="22"/>
  <c r="I63" i="22"/>
  <c r="J63" i="22"/>
  <c r="K63" i="22"/>
  <c r="H64" i="22"/>
  <c r="I64" i="22"/>
  <c r="J64" i="22"/>
  <c r="K64" i="22"/>
  <c r="L64" i="22"/>
  <c r="H65" i="22"/>
  <c r="I65" i="22"/>
  <c r="J65" i="22"/>
  <c r="K65" i="22"/>
  <c r="L65" i="22"/>
  <c r="H66" i="22"/>
  <c r="I66" i="22"/>
  <c r="J66" i="22"/>
  <c r="K66" i="22"/>
  <c r="L66" i="22" s="1"/>
  <c r="H67" i="22"/>
  <c r="I67" i="22"/>
  <c r="J67" i="22"/>
  <c r="K67" i="22"/>
  <c r="L67" i="22"/>
  <c r="H68" i="22"/>
  <c r="I68" i="22"/>
  <c r="J68" i="22"/>
  <c r="K68" i="22"/>
  <c r="H69" i="22"/>
  <c r="I69" i="22"/>
  <c r="J69" i="22"/>
  <c r="K69" i="22"/>
  <c r="L69" i="22"/>
  <c r="H70" i="22"/>
  <c r="I70" i="22"/>
  <c r="L70" i="22" s="1"/>
  <c r="J70" i="22"/>
  <c r="K70" i="22"/>
  <c r="H71" i="22"/>
  <c r="I71" i="22"/>
  <c r="J71" i="22"/>
  <c r="K71" i="22"/>
  <c r="L71" i="22"/>
  <c r="H72" i="22"/>
  <c r="I72" i="22"/>
  <c r="J72" i="22"/>
  <c r="K72" i="22"/>
  <c r="L72" i="22"/>
  <c r="H73" i="22"/>
  <c r="I73" i="22"/>
  <c r="J73" i="22"/>
  <c r="K73" i="22"/>
  <c r="H74" i="22"/>
  <c r="I74" i="22"/>
  <c r="J74" i="22"/>
  <c r="K74" i="22"/>
  <c r="L74" i="22"/>
  <c r="H75" i="22"/>
  <c r="I75" i="22"/>
  <c r="J75" i="22"/>
  <c r="K75" i="22"/>
  <c r="L75" i="22"/>
  <c r="H76" i="22"/>
  <c r="I76" i="22"/>
  <c r="J76" i="22"/>
  <c r="K76" i="22"/>
  <c r="H77" i="22"/>
  <c r="I77" i="22"/>
  <c r="J77" i="22"/>
  <c r="K77" i="22"/>
  <c r="L77" i="22"/>
  <c r="H78" i="22"/>
  <c r="I78" i="22"/>
  <c r="J78" i="22"/>
  <c r="K78" i="22"/>
  <c r="H79" i="22"/>
  <c r="I79" i="22"/>
  <c r="J79" i="22"/>
  <c r="L79" i="22" s="1"/>
  <c r="K79" i="22"/>
  <c r="H80" i="22"/>
  <c r="L80" i="22" s="1"/>
  <c r="I80" i="22"/>
  <c r="J80" i="22"/>
  <c r="K80" i="22"/>
  <c r="H81" i="22"/>
  <c r="I81" i="22"/>
  <c r="J81" i="22"/>
  <c r="K81" i="22"/>
  <c r="L81" i="22"/>
  <c r="H82" i="22"/>
  <c r="I82" i="22"/>
  <c r="J82" i="22"/>
  <c r="K82" i="22"/>
  <c r="L82" i="22"/>
  <c r="H83" i="22"/>
  <c r="I83" i="22"/>
  <c r="J83" i="22"/>
  <c r="K83" i="22"/>
  <c r="L83" i="22"/>
  <c r="H84" i="22"/>
  <c r="I84" i="22"/>
  <c r="J84" i="22"/>
  <c r="K84" i="22"/>
  <c r="L84" i="22"/>
  <c r="H85" i="22"/>
  <c r="I85" i="22"/>
  <c r="J85" i="22"/>
  <c r="K85" i="22"/>
  <c r="L85" i="22"/>
  <c r="H86" i="22"/>
  <c r="I86" i="22"/>
  <c r="J86" i="22"/>
  <c r="K86" i="22"/>
  <c r="H87" i="22"/>
  <c r="I87" i="22"/>
  <c r="J87" i="22"/>
  <c r="K87" i="22"/>
  <c r="L87" i="22"/>
  <c r="H88" i="22"/>
  <c r="I88" i="22"/>
  <c r="J88" i="22"/>
  <c r="K88" i="22"/>
  <c r="L88" i="22"/>
  <c r="H89" i="22"/>
  <c r="I89" i="22"/>
  <c r="J89" i="22"/>
  <c r="K89" i="22"/>
  <c r="H90" i="22"/>
  <c r="I90" i="22"/>
  <c r="J90" i="22"/>
  <c r="K90" i="22"/>
  <c r="L90" i="22"/>
  <c r="H91" i="22"/>
  <c r="L91" i="22" s="1"/>
  <c r="I91" i="22"/>
  <c r="K91" i="22"/>
  <c r="H92" i="22"/>
  <c r="L92" i="22" s="1"/>
  <c r="I92" i="22"/>
  <c r="K92" i="22"/>
  <c r="H93" i="22"/>
  <c r="I93" i="22"/>
  <c r="J93" i="22"/>
  <c r="K93" i="22"/>
  <c r="H94" i="22"/>
  <c r="I94" i="22"/>
  <c r="J94" i="22"/>
  <c r="K94" i="22"/>
  <c r="H95" i="22"/>
  <c r="I95" i="22"/>
  <c r="J95" i="22"/>
  <c r="K95" i="22"/>
  <c r="H96" i="22"/>
  <c r="I96" i="22"/>
  <c r="J96" i="22"/>
  <c r="K96" i="22"/>
  <c r="L96" i="22"/>
  <c r="H97" i="22"/>
  <c r="I97" i="22"/>
  <c r="J97" i="22"/>
  <c r="K97" i="22"/>
  <c r="L97" i="22"/>
  <c r="H98" i="22"/>
  <c r="I98" i="22"/>
  <c r="J98" i="22"/>
  <c r="K98" i="22"/>
  <c r="H99" i="22"/>
  <c r="I99" i="22"/>
  <c r="J99" i="22"/>
  <c r="K99" i="22"/>
  <c r="L99" i="22"/>
  <c r="H100" i="22"/>
  <c r="I100" i="22"/>
  <c r="J100" i="22"/>
  <c r="K100" i="22"/>
  <c r="L100" i="22"/>
  <c r="H101" i="22"/>
  <c r="I101" i="22"/>
  <c r="J101" i="22"/>
  <c r="K101" i="22"/>
  <c r="L101" i="22"/>
  <c r="H102" i="22"/>
  <c r="I102" i="22"/>
  <c r="J102" i="22"/>
  <c r="K102" i="22"/>
  <c r="L102" i="22"/>
  <c r="H103" i="22"/>
  <c r="I103" i="22"/>
  <c r="J103" i="22"/>
  <c r="K103" i="22"/>
  <c r="L103" i="22"/>
  <c r="H104" i="22"/>
  <c r="I104" i="22"/>
  <c r="J104" i="22"/>
  <c r="K104" i="22"/>
  <c r="L104" i="22"/>
  <c r="H105" i="22"/>
  <c r="I105" i="22"/>
  <c r="J105" i="22"/>
  <c r="K105" i="22"/>
  <c r="H106" i="22"/>
  <c r="L106" i="22" s="1"/>
  <c r="I106" i="22"/>
  <c r="J106" i="22"/>
  <c r="K106" i="22"/>
  <c r="H107" i="22"/>
  <c r="I107" i="22"/>
  <c r="J107" i="22"/>
  <c r="K107" i="22"/>
  <c r="L107" i="22"/>
  <c r="H108" i="22"/>
  <c r="I108" i="22"/>
  <c r="J108" i="22"/>
  <c r="K108" i="22"/>
  <c r="H109" i="22"/>
  <c r="I109" i="22"/>
  <c r="J109" i="22"/>
  <c r="K109" i="22"/>
  <c r="L109" i="22"/>
  <c r="H110" i="22"/>
  <c r="I110" i="22"/>
  <c r="J110" i="22"/>
  <c r="K110" i="22"/>
  <c r="L110" i="22"/>
  <c r="H111" i="22"/>
  <c r="I111" i="22"/>
  <c r="J111" i="22"/>
  <c r="K111" i="22"/>
  <c r="L111" i="22"/>
  <c r="H112" i="22"/>
  <c r="I112" i="22"/>
  <c r="J112" i="22"/>
  <c r="K112" i="22"/>
  <c r="L112" i="22"/>
  <c r="H113" i="22"/>
  <c r="I113" i="22"/>
  <c r="J113" i="22"/>
  <c r="K113" i="22"/>
  <c r="L113" i="22"/>
  <c r="H114" i="22"/>
  <c r="I114" i="22"/>
  <c r="J114" i="22"/>
  <c r="K114" i="22"/>
  <c r="L114" i="22"/>
  <c r="H115" i="22"/>
  <c r="I115" i="22"/>
  <c r="J115" i="22"/>
  <c r="K115" i="22"/>
  <c r="H116" i="22"/>
  <c r="I116" i="22"/>
  <c r="J116" i="22"/>
  <c r="K116" i="22"/>
  <c r="L116" i="22"/>
  <c r="H117" i="22"/>
  <c r="I117" i="22"/>
  <c r="J117" i="22"/>
  <c r="K117" i="22"/>
  <c r="L117" i="22"/>
  <c r="H118" i="22"/>
  <c r="I118" i="22"/>
  <c r="J118" i="22"/>
  <c r="K118" i="22"/>
  <c r="H119" i="22"/>
  <c r="I119" i="22"/>
  <c r="J119" i="22"/>
  <c r="K119" i="22"/>
  <c r="H120" i="22"/>
  <c r="I120" i="22"/>
  <c r="J120" i="22"/>
  <c r="K120" i="22"/>
  <c r="L120" i="22"/>
  <c r="H121" i="22"/>
  <c r="I121" i="22"/>
  <c r="J121" i="22"/>
  <c r="K121" i="22"/>
  <c r="L121" i="22"/>
  <c r="H122" i="22"/>
  <c r="I122" i="22"/>
  <c r="J122" i="22"/>
  <c r="K122" i="22"/>
  <c r="L122" i="22"/>
  <c r="H123" i="22"/>
  <c r="I123" i="22"/>
  <c r="J123" i="22"/>
  <c r="K123" i="22"/>
  <c r="L123" i="22" s="1"/>
  <c r="H124" i="22"/>
  <c r="I124" i="22"/>
  <c r="J124" i="22"/>
  <c r="L124" i="22" s="1"/>
  <c r="K124" i="22"/>
  <c r="H125" i="22"/>
  <c r="I125" i="22"/>
  <c r="J125" i="22"/>
  <c r="K125" i="22"/>
  <c r="L125" i="22"/>
  <c r="H126" i="22"/>
  <c r="I126" i="22"/>
  <c r="J126" i="22"/>
  <c r="K126" i="22"/>
  <c r="L126" i="22"/>
  <c r="H127" i="22"/>
  <c r="I127" i="22"/>
  <c r="J127" i="22"/>
  <c r="K127" i="22"/>
  <c r="L127" i="22"/>
  <c r="H128" i="22"/>
  <c r="I128" i="22"/>
  <c r="J128" i="22"/>
  <c r="K128" i="22"/>
  <c r="H129" i="22"/>
  <c r="I129" i="22"/>
  <c r="J129" i="22"/>
  <c r="K129" i="22"/>
  <c r="L129" i="22"/>
  <c r="H130" i="22"/>
  <c r="I130" i="22"/>
  <c r="J130" i="22"/>
  <c r="K130" i="22"/>
  <c r="L130" i="22"/>
  <c r="H131" i="22"/>
  <c r="I131" i="22"/>
  <c r="J131" i="22"/>
  <c r="K131" i="22"/>
  <c r="L131" i="22"/>
  <c r="H132" i="22"/>
  <c r="I132" i="22"/>
  <c r="J132" i="22"/>
  <c r="K132" i="22"/>
  <c r="H133" i="22"/>
  <c r="I133" i="22"/>
  <c r="J133" i="22"/>
  <c r="K133" i="22"/>
  <c r="L133" i="22"/>
  <c r="H134" i="22"/>
  <c r="I134" i="22"/>
  <c r="J134" i="22"/>
  <c r="K134" i="22"/>
  <c r="L134" i="22"/>
  <c r="H135" i="22"/>
  <c r="I135" i="22"/>
  <c r="L135" i="22" s="1"/>
  <c r="K135" i="22"/>
  <c r="H136" i="22"/>
  <c r="I136" i="22"/>
  <c r="J136" i="22"/>
  <c r="K136" i="22"/>
  <c r="L136" i="22"/>
  <c r="H137" i="22"/>
  <c r="I137" i="22"/>
  <c r="J137" i="22"/>
  <c r="K137" i="22"/>
  <c r="H138" i="22"/>
  <c r="I138" i="22"/>
  <c r="J138" i="22"/>
  <c r="K138" i="22"/>
  <c r="L138" i="22"/>
  <c r="H139" i="22"/>
  <c r="I139" i="22"/>
  <c r="J139" i="22"/>
  <c r="K139" i="22"/>
  <c r="L139" i="22"/>
  <c r="H140" i="22"/>
  <c r="I140" i="22"/>
  <c r="J140" i="22"/>
  <c r="K140" i="22"/>
  <c r="L140" i="22"/>
  <c r="G142" i="22"/>
  <c r="G146" i="22"/>
  <c r="F142" i="22"/>
  <c r="F146" i="22"/>
  <c r="E142" i="22"/>
  <c r="E146" i="22" s="1"/>
  <c r="D142" i="22"/>
  <c r="D146" i="22"/>
  <c r="C142" i="22"/>
  <c r="C146" i="22"/>
  <c r="B142" i="22"/>
  <c r="B146" i="22"/>
  <c r="L148" i="22"/>
  <c r="A7" i="22"/>
  <c r="A2" i="22"/>
  <c r="A2" i="2"/>
  <c r="H107" i="20" l="1"/>
  <c r="G154" i="17" s="1"/>
  <c r="R21" i="17"/>
  <c r="B9" i="6"/>
  <c r="G9" i="6" s="1"/>
  <c r="C8" i="12" s="1"/>
  <c r="C5" i="11"/>
  <c r="R14" i="17"/>
  <c r="B35" i="6"/>
  <c r="B39" i="6"/>
  <c r="M114" i="3"/>
  <c r="M118" i="3" s="1"/>
  <c r="B37" i="6"/>
  <c r="J52" i="1"/>
  <c r="I63" i="3"/>
  <c r="S63" i="3" s="1"/>
  <c r="AW64" i="1"/>
  <c r="G64" i="1" s="1"/>
  <c r="J64" i="1" s="1"/>
  <c r="O12" i="9"/>
  <c r="L25" i="9"/>
  <c r="T12" i="9"/>
  <c r="T25" i="9" s="1"/>
  <c r="S80" i="4"/>
  <c r="J99" i="1"/>
  <c r="S47" i="4"/>
  <c r="S25" i="4"/>
  <c r="J34" i="1"/>
  <c r="S87" i="4"/>
  <c r="S36" i="4"/>
  <c r="B14" i="6"/>
  <c r="G14" i="6" s="1"/>
  <c r="C11" i="12"/>
  <c r="J33" i="1"/>
  <c r="S24" i="3"/>
  <c r="B112" i="4"/>
  <c r="S91" i="4"/>
  <c r="Q20" i="9"/>
  <c r="S28" i="4"/>
  <c r="R112" i="4"/>
  <c r="B48" i="6" s="1"/>
  <c r="G48" i="6" s="1"/>
  <c r="I71" i="3"/>
  <c r="I111" i="3" s="1"/>
  <c r="S102" i="4"/>
  <c r="S39" i="4"/>
  <c r="J66" i="1"/>
  <c r="L105" i="22"/>
  <c r="J65" i="1"/>
  <c r="J24" i="1"/>
  <c r="J82" i="1"/>
  <c r="H111" i="3"/>
  <c r="B95" i="10"/>
  <c r="B97" i="10" s="1"/>
  <c r="C16" i="12"/>
  <c r="B50" i="6"/>
  <c r="G50" i="6" s="1"/>
  <c r="S38" i="3"/>
  <c r="C36" i="3"/>
  <c r="AG113" i="1"/>
  <c r="AW45" i="1"/>
  <c r="G45" i="1" s="1"/>
  <c r="F44" i="3"/>
  <c r="S44" i="3" s="1"/>
  <c r="AW41" i="1"/>
  <c r="G41" i="1" s="1"/>
  <c r="S36" i="3"/>
  <c r="S34" i="3"/>
  <c r="S28" i="3"/>
  <c r="S40" i="3"/>
  <c r="AW37" i="1"/>
  <c r="G37" i="1" s="1"/>
  <c r="E50" i="20"/>
  <c r="I107" i="20" s="1"/>
  <c r="S75" i="3"/>
  <c r="E47" i="20"/>
  <c r="I103" i="20" s="1"/>
  <c r="E49" i="20"/>
  <c r="I105" i="20" s="1"/>
  <c r="E48" i="20"/>
  <c r="I104" i="20" s="1"/>
  <c r="S77" i="3"/>
  <c r="S46" i="3"/>
  <c r="E45" i="20"/>
  <c r="I100" i="20" s="1"/>
  <c r="E46" i="20"/>
  <c r="I101" i="20" s="1"/>
  <c r="B88" i="3"/>
  <c r="S88" i="3" s="1"/>
  <c r="AW80" i="1"/>
  <c r="G80" i="1" s="1"/>
  <c r="AW47" i="1"/>
  <c r="G47" i="1" s="1"/>
  <c r="J47" i="1" s="1"/>
  <c r="S94" i="4"/>
  <c r="S15" i="4"/>
  <c r="J102" i="1"/>
  <c r="J53" i="1"/>
  <c r="F37" i="19"/>
  <c r="S105" i="3"/>
  <c r="S66" i="4"/>
  <c r="J111" i="3"/>
  <c r="B90" i="3"/>
  <c r="S90" i="3" s="1"/>
  <c r="AW91" i="1"/>
  <c r="G91" i="1" s="1"/>
  <c r="J91" i="1" s="1"/>
  <c r="E38" i="20"/>
  <c r="I91" i="20" s="1"/>
  <c r="H91" i="20" s="1"/>
  <c r="G136" i="17" s="1"/>
  <c r="E39" i="20"/>
  <c r="I92" i="20" s="1"/>
  <c r="H92" i="20" s="1"/>
  <c r="G137" i="17" s="1"/>
  <c r="E36" i="20"/>
  <c r="I89" i="20" s="1"/>
  <c r="H89" i="20" s="1"/>
  <c r="G134" i="17" s="1"/>
  <c r="E37" i="20"/>
  <c r="I90" i="20" s="1"/>
  <c r="H90" i="20" s="1"/>
  <c r="G135" i="17" s="1"/>
  <c r="E35" i="20"/>
  <c r="I88" i="20" s="1"/>
  <c r="I93" i="20" s="1"/>
  <c r="C99" i="10"/>
  <c r="E34" i="20"/>
  <c r="I87" i="20" s="1"/>
  <c r="AW95" i="1"/>
  <c r="G95" i="1" s="1"/>
  <c r="E31" i="20"/>
  <c r="I83" i="20" s="1"/>
  <c r="E30" i="20"/>
  <c r="I82" i="20" s="1"/>
  <c r="E28" i="20"/>
  <c r="I80" i="20" s="1"/>
  <c r="E29" i="20"/>
  <c r="I81" i="20" s="1"/>
  <c r="E32" i="20"/>
  <c r="I84" i="20" s="1"/>
  <c r="E33" i="20"/>
  <c r="I85" i="20" s="1"/>
  <c r="B60" i="20"/>
  <c r="E27" i="20"/>
  <c r="I78" i="20" s="1"/>
  <c r="C26" i="20"/>
  <c r="H26" i="20" s="1"/>
  <c r="E26" i="20"/>
  <c r="I77" i="20" s="1"/>
  <c r="I79" i="20" s="1"/>
  <c r="L63" i="22"/>
  <c r="L132" i="22"/>
  <c r="L118" i="22"/>
  <c r="L34" i="22"/>
  <c r="K142" i="22"/>
  <c r="K146" i="22" s="1"/>
  <c r="T36" i="19"/>
  <c r="S22" i="4"/>
  <c r="S69" i="4"/>
  <c r="E43" i="20"/>
  <c r="I97" i="20" s="1"/>
  <c r="E42" i="20"/>
  <c r="I96" i="20" s="1"/>
  <c r="I98" i="20" s="1"/>
  <c r="S96" i="3"/>
  <c r="S94" i="3"/>
  <c r="E44" i="20"/>
  <c r="I99" i="20" s="1"/>
  <c r="L76" i="22"/>
  <c r="T37" i="19"/>
  <c r="J21" i="1"/>
  <c r="D113" i="1"/>
  <c r="D115" i="1" s="1"/>
  <c r="C95" i="10"/>
  <c r="C97" i="10" s="1"/>
  <c r="B51" i="6"/>
  <c r="G51" i="6" s="1"/>
  <c r="C17" i="12"/>
  <c r="C101" i="10"/>
  <c r="J37" i="1"/>
  <c r="S43" i="4"/>
  <c r="K25" i="19"/>
  <c r="J42" i="19"/>
  <c r="S58" i="4"/>
  <c r="AW19" i="1"/>
  <c r="G19" i="1" s="1"/>
  <c r="S98" i="4"/>
  <c r="F10" i="7"/>
  <c r="C34" i="7"/>
  <c r="N112" i="4"/>
  <c r="B40" i="6" s="1"/>
  <c r="G40" i="6" s="1"/>
  <c r="J100" i="1"/>
  <c r="O13" i="3"/>
  <c r="AS113" i="1"/>
  <c r="F111" i="3"/>
  <c r="S62" i="4"/>
  <c r="J38" i="1"/>
  <c r="J101" i="1"/>
  <c r="Q18" i="9"/>
  <c r="H42" i="19"/>
  <c r="L36" i="22"/>
  <c r="J63" i="1"/>
  <c r="J86" i="1"/>
  <c r="L89" i="22"/>
  <c r="J45" i="1"/>
  <c r="J44" i="1"/>
  <c r="AW87" i="1"/>
  <c r="G87" i="1" s="1"/>
  <c r="J87" i="1" s="1"/>
  <c r="C86" i="3"/>
  <c r="S86" i="3" s="1"/>
  <c r="C34" i="19"/>
  <c r="C29" i="19"/>
  <c r="C27" i="19"/>
  <c r="C38" i="19"/>
  <c r="F38" i="19" s="1"/>
  <c r="C26" i="19"/>
  <c r="C36" i="19"/>
  <c r="C35" i="19"/>
  <c r="C30" i="19"/>
  <c r="C39" i="19"/>
  <c r="C31" i="19"/>
  <c r="C32" i="19"/>
  <c r="C40" i="19"/>
  <c r="C41" i="19"/>
  <c r="C33" i="19"/>
  <c r="F33" i="19" s="1"/>
  <c r="C25" i="19"/>
  <c r="C28" i="19"/>
  <c r="J70" i="1"/>
  <c r="E54" i="20"/>
  <c r="I112" i="20" s="1"/>
  <c r="J69" i="1"/>
  <c r="J59" i="1"/>
  <c r="J67" i="1"/>
  <c r="H21" i="19"/>
  <c r="I113" i="1"/>
  <c r="I115" i="1" s="1"/>
  <c r="J110" i="1"/>
  <c r="J46" i="1"/>
  <c r="L78" i="22"/>
  <c r="S67" i="3"/>
  <c r="S18" i="3"/>
  <c r="S73" i="4"/>
  <c r="S29" i="4"/>
  <c r="K112" i="4"/>
  <c r="B34" i="6" s="1"/>
  <c r="G34" i="6" s="1"/>
  <c r="J43" i="1"/>
  <c r="L119" i="22"/>
  <c r="E35" i="19"/>
  <c r="E29" i="19"/>
  <c r="E27" i="19"/>
  <c r="E34" i="19"/>
  <c r="E26" i="19"/>
  <c r="E42" i="19" s="1"/>
  <c r="E36" i="19"/>
  <c r="E31" i="19"/>
  <c r="E30" i="19"/>
  <c r="E39" i="19"/>
  <c r="E32" i="19"/>
  <c r="E41" i="19"/>
  <c r="E40" i="19"/>
  <c r="E28" i="19"/>
  <c r="AH113" i="1"/>
  <c r="S95" i="4"/>
  <c r="S76" i="4"/>
  <c r="I112" i="4"/>
  <c r="B30" i="6" s="1"/>
  <c r="G30" i="6" s="1"/>
  <c r="F113" i="1"/>
  <c r="F115" i="1" s="1"/>
  <c r="S22" i="3"/>
  <c r="S84" i="4"/>
  <c r="S18" i="4"/>
  <c r="J41" i="1"/>
  <c r="AO113" i="1"/>
  <c r="K15" i="3"/>
  <c r="K111" i="3" s="1"/>
  <c r="L115" i="22"/>
  <c r="AW93" i="1"/>
  <c r="G93" i="1" s="1"/>
  <c r="AN113" i="1"/>
  <c r="AW99" i="1"/>
  <c r="G99" i="1" s="1"/>
  <c r="S41" i="3"/>
  <c r="G112" i="4"/>
  <c r="B26" i="6" s="1"/>
  <c r="G26" i="6" s="1"/>
  <c r="AW82" i="1"/>
  <c r="G82" i="1" s="1"/>
  <c r="AW53" i="1"/>
  <c r="G53" i="1" s="1"/>
  <c r="C52" i="3"/>
  <c r="S50" i="3"/>
  <c r="AW42" i="1"/>
  <c r="G42" i="1" s="1"/>
  <c r="J42" i="1" s="1"/>
  <c r="S100" i="3"/>
  <c r="AW84" i="1"/>
  <c r="G84" i="1" s="1"/>
  <c r="S54" i="3"/>
  <c r="S52" i="3"/>
  <c r="AW51" i="1"/>
  <c r="G51" i="1" s="1"/>
  <c r="J51" i="1" s="1"/>
  <c r="AW101" i="1"/>
  <c r="G101" i="1" s="1"/>
  <c r="S102" i="3"/>
  <c r="AW94" i="1"/>
  <c r="G94" i="1" s="1"/>
  <c r="J94" i="1" s="1"/>
  <c r="S58" i="3"/>
  <c r="AW86" i="1"/>
  <c r="G86" i="1" s="1"/>
  <c r="AW103" i="1"/>
  <c r="G103" i="1" s="1"/>
  <c r="J103" i="1" s="1"/>
  <c r="Q53" i="3"/>
  <c r="S53" i="3" s="1"/>
  <c r="AW54" i="1"/>
  <c r="G54" i="1" s="1"/>
  <c r="J54" i="1" s="1"/>
  <c r="AW88" i="1"/>
  <c r="G88" i="1" s="1"/>
  <c r="J25" i="1"/>
  <c r="S92" i="3"/>
  <c r="S104" i="3"/>
  <c r="AW92" i="1"/>
  <c r="G92" i="1" s="1"/>
  <c r="J92" i="1" s="1"/>
  <c r="AW107" i="1"/>
  <c r="G107" i="1" s="1"/>
  <c r="J107" i="1" s="1"/>
  <c r="S108" i="3"/>
  <c r="AW65" i="1"/>
  <c r="G65" i="1" s="1"/>
  <c r="S106" i="3"/>
  <c r="AW63" i="1"/>
  <c r="G63" i="1" s="1"/>
  <c r="S110" i="3"/>
  <c r="AW111" i="1"/>
  <c r="G111" i="1" s="1"/>
  <c r="J111" i="1" s="1"/>
  <c r="AW109" i="1"/>
  <c r="G109" i="1" s="1"/>
  <c r="J109" i="1" s="1"/>
  <c r="S26" i="3"/>
  <c r="S32" i="4"/>
  <c r="Q112" i="4"/>
  <c r="B46" i="6" s="1"/>
  <c r="G46" i="6" s="1"/>
  <c r="J96" i="1"/>
  <c r="J32" i="1"/>
  <c r="J34" i="20"/>
  <c r="J60" i="20" s="1"/>
  <c r="D87" i="20"/>
  <c r="S42" i="3"/>
  <c r="P112" i="4"/>
  <c r="B44" i="6" s="1"/>
  <c r="G44" i="6" s="1"/>
  <c r="J95" i="1"/>
  <c r="AW43" i="1"/>
  <c r="G43" i="1" s="1"/>
  <c r="S30" i="3"/>
  <c r="AQ113" i="1"/>
  <c r="O112" i="4"/>
  <c r="B42" i="6" s="1"/>
  <c r="G42" i="6" s="1"/>
  <c r="AW31" i="1"/>
  <c r="G31" i="1" s="1"/>
  <c r="J31" i="1" s="1"/>
  <c r="S109" i="4"/>
  <c r="AP113" i="1"/>
  <c r="S50" i="4"/>
  <c r="L112" i="4"/>
  <c r="B36" i="6" s="1"/>
  <c r="G36" i="6" s="1"/>
  <c r="E54" i="21"/>
  <c r="G52" i="21"/>
  <c r="S61" i="4"/>
  <c r="J18" i="1"/>
  <c r="S80" i="3"/>
  <c r="S76" i="3"/>
  <c r="S62" i="3"/>
  <c r="S72" i="3"/>
  <c r="S68" i="3"/>
  <c r="S74" i="3"/>
  <c r="AW24" i="1"/>
  <c r="G24" i="1" s="1"/>
  <c r="I142" i="22"/>
  <c r="I146" i="22" s="1"/>
  <c r="AF113" i="1"/>
  <c r="J50" i="20"/>
  <c r="D107" i="20"/>
  <c r="J83" i="1"/>
  <c r="AW49" i="1"/>
  <c r="G49" i="1" s="1"/>
  <c r="J49" i="1" s="1"/>
  <c r="S64" i="3"/>
  <c r="M60" i="20"/>
  <c r="J19" i="1"/>
  <c r="AW22" i="1"/>
  <c r="G22" i="1" s="1"/>
  <c r="J22" i="1" s="1"/>
  <c r="L27" i="22"/>
  <c r="I116" i="20"/>
  <c r="S91" i="10"/>
  <c r="T13" i="10"/>
  <c r="T91" i="10" s="1"/>
  <c r="W28" i="8"/>
  <c r="AW85" i="1"/>
  <c r="G85" i="1" s="1"/>
  <c r="J85" i="1" s="1"/>
  <c r="S60" i="3"/>
  <c r="T29" i="19"/>
  <c r="P113" i="17"/>
  <c r="S66" i="3"/>
  <c r="L93" i="22"/>
  <c r="AW67" i="1"/>
  <c r="G67" i="1" s="1"/>
  <c r="L108" i="22"/>
  <c r="J142" i="22"/>
  <c r="J146" i="22" s="1"/>
  <c r="L25" i="22"/>
  <c r="S57" i="4"/>
  <c r="AA115" i="1"/>
  <c r="AA116" i="1"/>
  <c r="S47" i="3"/>
  <c r="Z115" i="1"/>
  <c r="Z116" i="1"/>
  <c r="S49" i="3"/>
  <c r="S108" i="4"/>
  <c r="D42" i="18"/>
  <c r="S23" i="3"/>
  <c r="AW38" i="1"/>
  <c r="G38" i="1" s="1"/>
  <c r="S27" i="3"/>
  <c r="S33" i="3"/>
  <c r="AW30" i="1"/>
  <c r="G30" i="1" s="1"/>
  <c r="S104" i="4"/>
  <c r="J77" i="1"/>
  <c r="J13" i="1"/>
  <c r="G55" i="20"/>
  <c r="U116" i="1"/>
  <c r="U115" i="1"/>
  <c r="U121" i="1" s="1"/>
  <c r="P111" i="3"/>
  <c r="S93" i="4"/>
  <c r="J88" i="1"/>
  <c r="L19" i="22"/>
  <c r="O25" i="9"/>
  <c r="J84" i="1"/>
  <c r="S64" i="4"/>
  <c r="J81" i="1"/>
  <c r="AW108" i="1"/>
  <c r="G108" i="1" s="1"/>
  <c r="J108" i="1" s="1"/>
  <c r="C112" i="4"/>
  <c r="B18" i="6" s="1"/>
  <c r="G18" i="6" s="1"/>
  <c r="J78" i="1"/>
  <c r="D26" i="18"/>
  <c r="L73" i="22"/>
  <c r="S68" i="4"/>
  <c r="S13" i="3"/>
  <c r="X115" i="1"/>
  <c r="X116" i="1"/>
  <c r="D37" i="18"/>
  <c r="AW36" i="1"/>
  <c r="G36" i="1" s="1"/>
  <c r="J36" i="1" s="1"/>
  <c r="V121" i="1"/>
  <c r="D120" i="20"/>
  <c r="E112" i="4"/>
  <c r="B22" i="6" s="1"/>
  <c r="G22" i="6" s="1"/>
  <c r="S39" i="3"/>
  <c r="S37" i="3"/>
  <c r="S75" i="4"/>
  <c r="AT113" i="1"/>
  <c r="AR113" i="1"/>
  <c r="L128" i="22"/>
  <c r="L47" i="22"/>
  <c r="J90" i="1"/>
  <c r="S17" i="3"/>
  <c r="AW18" i="1"/>
  <c r="G18" i="1" s="1"/>
  <c r="AW34" i="1"/>
  <c r="G34" i="1" s="1"/>
  <c r="S100" i="4"/>
  <c r="S43" i="3"/>
  <c r="E15" i="3"/>
  <c r="AI113" i="1"/>
  <c r="S31" i="3"/>
  <c r="S82" i="4"/>
  <c r="J27" i="1"/>
  <c r="AD113" i="1"/>
  <c r="H112" i="4"/>
  <c r="B28" i="6" s="1"/>
  <c r="G28" i="6" s="1"/>
  <c r="AL113" i="1"/>
  <c r="D112" i="4"/>
  <c r="B20" i="6" s="1"/>
  <c r="G20" i="6" s="1"/>
  <c r="J30" i="1"/>
  <c r="J29" i="1"/>
  <c r="AW14" i="1"/>
  <c r="T31" i="19"/>
  <c r="T28" i="8"/>
  <c r="T39" i="19"/>
  <c r="T30" i="19"/>
  <c r="AM113" i="1"/>
  <c r="AW74" i="1"/>
  <c r="G74" i="1" s="1"/>
  <c r="J74" i="1" s="1"/>
  <c r="AB116" i="1"/>
  <c r="AB115" i="1"/>
  <c r="AB121" i="1" s="1"/>
  <c r="J89" i="1"/>
  <c r="L86" i="22"/>
  <c r="S45" i="3"/>
  <c r="R111" i="3"/>
  <c r="O111" i="3"/>
  <c r="G51" i="20"/>
  <c r="J28" i="1"/>
  <c r="AJ113" i="1"/>
  <c r="S79" i="4"/>
  <c r="Y115" i="1"/>
  <c r="Y116" i="1"/>
  <c r="S19" i="3"/>
  <c r="G52" i="20"/>
  <c r="AW90" i="1"/>
  <c r="G90" i="1" s="1"/>
  <c r="G41" i="20"/>
  <c r="G13" i="3"/>
  <c r="G111" i="3" s="1"/>
  <c r="AK113" i="1"/>
  <c r="AW52" i="1"/>
  <c r="G52" i="1" s="1"/>
  <c r="AW44" i="1"/>
  <c r="G44" i="1" s="1"/>
  <c r="J93" i="1"/>
  <c r="S21" i="3"/>
  <c r="S97" i="4"/>
  <c r="S25" i="3"/>
  <c r="AW26" i="1"/>
  <c r="G26" i="1" s="1"/>
  <c r="J26" i="1" s="1"/>
  <c r="S29" i="3"/>
  <c r="L95" i="22"/>
  <c r="H142" i="22"/>
  <c r="H146" i="22" s="1"/>
  <c r="J76" i="1"/>
  <c r="T115" i="1"/>
  <c r="T116" i="1"/>
  <c r="AW23" i="1"/>
  <c r="G23" i="1" s="1"/>
  <c r="J23" i="1" s="1"/>
  <c r="S115" i="1"/>
  <c r="S116" i="1"/>
  <c r="B16" i="17"/>
  <c r="AW29" i="1"/>
  <c r="G29" i="1" s="1"/>
  <c r="AW25" i="1"/>
  <c r="G25" i="1" s="1"/>
  <c r="D16" i="3"/>
  <c r="S16" i="3" s="1"/>
  <c r="AW17" i="1"/>
  <c r="G17" i="1" s="1"/>
  <c r="J17" i="1" s="1"/>
  <c r="S34" i="4"/>
  <c r="E73" i="3"/>
  <c r="S73" i="3" s="1"/>
  <c r="AW100" i="1"/>
  <c r="G100" i="1" s="1"/>
  <c r="S83" i="3"/>
  <c r="S81" i="3"/>
  <c r="S79" i="3"/>
  <c r="S14" i="3"/>
  <c r="S52" i="4"/>
  <c r="S16" i="4"/>
  <c r="S112" i="4" s="1"/>
  <c r="C10" i="11" s="1"/>
  <c r="S97" i="3"/>
  <c r="AW15" i="1"/>
  <c r="G15" i="1" s="1"/>
  <c r="J15" i="1" s="1"/>
  <c r="S12" i="3"/>
  <c r="B111" i="3"/>
  <c r="S30" i="4"/>
  <c r="G47" i="20"/>
  <c r="AW98" i="1"/>
  <c r="G98" i="1" s="1"/>
  <c r="J98" i="1" s="1"/>
  <c r="AW58" i="1"/>
  <c r="G58" i="1" s="1"/>
  <c r="J58" i="1" s="1"/>
  <c r="L98" i="22"/>
  <c r="S71" i="3"/>
  <c r="S70" i="4"/>
  <c r="AW27" i="1"/>
  <c r="G27" i="1" s="1"/>
  <c r="S85" i="3"/>
  <c r="G7" i="21"/>
  <c r="S48" i="4"/>
  <c r="S40" i="4"/>
  <c r="AW21" i="1"/>
  <c r="G21" i="1" s="1"/>
  <c r="J75" i="1"/>
  <c r="L137" i="22"/>
  <c r="AW96" i="1"/>
  <c r="G96" i="1" s="1"/>
  <c r="S44" i="4"/>
  <c r="R115" i="1"/>
  <c r="R116" i="1"/>
  <c r="L57" i="22"/>
  <c r="D20" i="18"/>
  <c r="G25" i="20"/>
  <c r="AC115" i="1"/>
  <c r="AC121" i="1" s="1"/>
  <c r="B26" i="17"/>
  <c r="S87" i="3"/>
  <c r="AW68" i="1"/>
  <c r="G68" i="1" s="1"/>
  <c r="J68" i="1" s="1"/>
  <c r="S91" i="3"/>
  <c r="S56" i="3"/>
  <c r="J112" i="4"/>
  <c r="B32" i="6" s="1"/>
  <c r="G32" i="6" s="1"/>
  <c r="G42" i="20"/>
  <c r="AW105" i="1"/>
  <c r="G105" i="1" s="1"/>
  <c r="J105" i="1" s="1"/>
  <c r="S96" i="4"/>
  <c r="AW28" i="1"/>
  <c r="G28" i="1" s="1"/>
  <c r="S48" i="3"/>
  <c r="J80" i="1"/>
  <c r="J79" i="1"/>
  <c r="AW66" i="1"/>
  <c r="G66" i="1" s="1"/>
  <c r="AW20" i="1"/>
  <c r="G20" i="1" s="1"/>
  <c r="J20" i="1" s="1"/>
  <c r="Q16" i="9"/>
  <c r="S84" i="3"/>
  <c r="S82" i="3"/>
  <c r="AW35" i="1"/>
  <c r="G35" i="1" s="1"/>
  <c r="J35" i="1" s="1"/>
  <c r="AW16" i="1"/>
  <c r="G16" i="1" s="1"/>
  <c r="J16" i="1" s="1"/>
  <c r="Q11" i="9"/>
  <c r="E58" i="20"/>
  <c r="I117" i="20" s="1"/>
  <c r="E59" i="20"/>
  <c r="I118" i="20" s="1"/>
  <c r="AW106" i="1"/>
  <c r="G106" i="1" s="1"/>
  <c r="J106" i="1" s="1"/>
  <c r="F23" i="7"/>
  <c r="Q10" i="9"/>
  <c r="AW104" i="1"/>
  <c r="G104" i="1" s="1"/>
  <c r="J104" i="1" s="1"/>
  <c r="S101" i="3"/>
  <c r="S32" i="3"/>
  <c r="L68" i="22"/>
  <c r="G58" i="18"/>
  <c r="X28" i="8"/>
  <c r="AW102" i="1"/>
  <c r="G102" i="1" s="1"/>
  <c r="AW33" i="1"/>
  <c r="G33" i="1" s="1"/>
  <c r="L94" i="22"/>
  <c r="L14" i="22"/>
  <c r="L142" i="22" s="1"/>
  <c r="L146" i="22" s="1"/>
  <c r="L152" i="22" s="1"/>
  <c r="C20" i="3"/>
  <c r="B98" i="3"/>
  <c r="S98" i="3" s="1"/>
  <c r="AW110" i="1"/>
  <c r="G110" i="1" s="1"/>
  <c r="AW32" i="1"/>
  <c r="G32" i="1" s="1"/>
  <c r="G114" i="3" l="1"/>
  <c r="G118" i="3" s="1"/>
  <c r="B25" i="6"/>
  <c r="I114" i="3"/>
  <c r="I118" i="3" s="1"/>
  <c r="B29" i="6"/>
  <c r="H114" i="3"/>
  <c r="H118" i="3" s="1"/>
  <c r="B27" i="6"/>
  <c r="Y121" i="1"/>
  <c r="I86" i="20"/>
  <c r="C58" i="20"/>
  <c r="H58" i="20" s="1"/>
  <c r="C55" i="20"/>
  <c r="H55" i="20" s="1"/>
  <c r="C41" i="20"/>
  <c r="H41" i="20" s="1"/>
  <c r="C52" i="20"/>
  <c r="H52" i="20" s="1"/>
  <c r="C51" i="20"/>
  <c r="H51" i="20" s="1"/>
  <c r="C40" i="20"/>
  <c r="H40" i="20" s="1"/>
  <c r="C28" i="20"/>
  <c r="H28" i="20" s="1"/>
  <c r="C35" i="20"/>
  <c r="H35" i="20" s="1"/>
  <c r="H77" i="20"/>
  <c r="H78" i="20"/>
  <c r="G123" i="17" s="1"/>
  <c r="R11" i="17"/>
  <c r="R25" i="17"/>
  <c r="H113" i="20"/>
  <c r="H114" i="20"/>
  <c r="G165" i="17" s="1"/>
  <c r="H115" i="20"/>
  <c r="G166" i="17" s="1"/>
  <c r="H108" i="20"/>
  <c r="G155" i="17" s="1"/>
  <c r="G159" i="17" s="1"/>
  <c r="R22" i="17"/>
  <c r="X121" i="1"/>
  <c r="I119" i="20"/>
  <c r="F114" i="3"/>
  <c r="F118" i="3" s="1"/>
  <c r="B23" i="6"/>
  <c r="D111" i="3"/>
  <c r="W30" i="8"/>
  <c r="B15" i="6"/>
  <c r="B114" i="3"/>
  <c r="B118" i="3" s="1"/>
  <c r="F34" i="7"/>
  <c r="X29" i="8" s="1"/>
  <c r="X30" i="8" s="1"/>
  <c r="Q111" i="3"/>
  <c r="H117" i="20"/>
  <c r="R26" i="17"/>
  <c r="H118" i="20"/>
  <c r="G169" i="17" s="1"/>
  <c r="P32" i="9"/>
  <c r="E11" i="6"/>
  <c r="C11" i="11"/>
  <c r="B11" i="6"/>
  <c r="G11" i="6" s="1"/>
  <c r="Q8" i="9"/>
  <c r="Q17" i="9"/>
  <c r="Q23" i="9"/>
  <c r="Q24" i="9"/>
  <c r="H100" i="20"/>
  <c r="H101" i="20"/>
  <c r="G148" i="17" s="1"/>
  <c r="R19" i="17"/>
  <c r="J114" i="3"/>
  <c r="J118" i="3" s="1"/>
  <c r="B31" i="6"/>
  <c r="Q19" i="9"/>
  <c r="H81" i="20"/>
  <c r="G126" i="17" s="1"/>
  <c r="H82" i="20"/>
  <c r="G127" i="17" s="1"/>
  <c r="H83" i="20"/>
  <c r="G128" i="17" s="1"/>
  <c r="H84" i="20"/>
  <c r="G129" i="17" s="1"/>
  <c r="R12" i="17"/>
  <c r="H80" i="20"/>
  <c r="H85" i="20"/>
  <c r="G130" i="17" s="1"/>
  <c r="S121" i="1"/>
  <c r="E111" i="3"/>
  <c r="D55" i="18"/>
  <c r="H112" i="20"/>
  <c r="G163" i="17" s="1"/>
  <c r="R24" i="17"/>
  <c r="Q21" i="9"/>
  <c r="B43" i="6"/>
  <c r="P114" i="3"/>
  <c r="P118" i="3" s="1"/>
  <c r="C44" i="20"/>
  <c r="H44" i="20" s="1"/>
  <c r="T121" i="1"/>
  <c r="Q12" i="9"/>
  <c r="S15" i="3"/>
  <c r="S111" i="3" s="1"/>
  <c r="I102" i="20"/>
  <c r="C54" i="20"/>
  <c r="H54" i="20" s="1"/>
  <c r="G60" i="20"/>
  <c r="C42" i="20"/>
  <c r="H42" i="20" s="1"/>
  <c r="F41" i="19"/>
  <c r="C47" i="20"/>
  <c r="H47" i="20" s="1"/>
  <c r="F40" i="19"/>
  <c r="Q9" i="9"/>
  <c r="B41" i="6"/>
  <c r="O114" i="3"/>
  <c r="O118" i="3" s="1"/>
  <c r="B47" i="6"/>
  <c r="R114" i="3"/>
  <c r="R118" i="3" s="1"/>
  <c r="C34" i="20"/>
  <c r="H34" i="20" s="1"/>
  <c r="S115" i="4"/>
  <c r="B16" i="6"/>
  <c r="G16" i="6" s="1"/>
  <c r="AW113" i="1"/>
  <c r="G14" i="1"/>
  <c r="K42" i="19"/>
  <c r="D27" i="18"/>
  <c r="B27" i="17"/>
  <c r="C16" i="17"/>
  <c r="J14" i="17"/>
  <c r="Q107" i="17" s="1"/>
  <c r="B52" i="6"/>
  <c r="J25" i="17"/>
  <c r="B12" i="6"/>
  <c r="G12" i="6" s="1"/>
  <c r="C12" i="11"/>
  <c r="Q22" i="9"/>
  <c r="C45" i="20"/>
  <c r="H45" i="20" s="1"/>
  <c r="H105" i="20"/>
  <c r="G151" i="17" s="1"/>
  <c r="H103" i="20"/>
  <c r="H104" i="20"/>
  <c r="G152" i="17" s="1"/>
  <c r="R20" i="17"/>
  <c r="C42" i="19"/>
  <c r="F25" i="19"/>
  <c r="F42" i="19" s="1"/>
  <c r="F39" i="6"/>
  <c r="F24" i="21" s="1"/>
  <c r="N114" i="3"/>
  <c r="N118" i="3" s="1"/>
  <c r="Q14" i="9"/>
  <c r="Q13" i="9"/>
  <c r="L114" i="3"/>
  <c r="L118" i="3" s="1"/>
  <c r="C111" i="3"/>
  <c r="T111" i="3" s="1"/>
  <c r="S20" i="3"/>
  <c r="F39" i="19"/>
  <c r="H88" i="20"/>
  <c r="F30" i="19"/>
  <c r="F26" i="19"/>
  <c r="H87" i="20"/>
  <c r="G132" i="17" s="1"/>
  <c r="R13" i="17"/>
  <c r="F27" i="19"/>
  <c r="H97" i="20"/>
  <c r="G142" i="17" s="1"/>
  <c r="H96" i="20"/>
  <c r="R17" i="17"/>
  <c r="F29" i="19"/>
  <c r="F34" i="19"/>
  <c r="C10" i="12"/>
  <c r="B13" i="6"/>
  <c r="G13" i="6" s="1"/>
  <c r="B35" i="7"/>
  <c r="H99" i="20"/>
  <c r="G144" i="17" s="1"/>
  <c r="G146" i="17" s="1"/>
  <c r="R18" i="17"/>
  <c r="H95" i="20"/>
  <c r="G140" i="17" s="1"/>
  <c r="R16" i="17"/>
  <c r="B8" i="6"/>
  <c r="E121" i="1"/>
  <c r="E123" i="1" s="1"/>
  <c r="J152" i="22"/>
  <c r="J154" i="22" s="1"/>
  <c r="C4" i="11"/>
  <c r="H94" i="20"/>
  <c r="G139" i="17" s="1"/>
  <c r="R15" i="17"/>
  <c r="F37" i="6"/>
  <c r="F23" i="21" s="1"/>
  <c r="G37" i="6"/>
  <c r="Q21" i="17" s="1"/>
  <c r="F154" i="17" s="1"/>
  <c r="F28" i="19"/>
  <c r="I106" i="20"/>
  <c r="Z121" i="1"/>
  <c r="R121" i="1"/>
  <c r="K114" i="3"/>
  <c r="K118" i="3" s="1"/>
  <c r="B33" i="6"/>
  <c r="F35" i="6"/>
  <c r="F22" i="21" s="1"/>
  <c r="F32" i="19"/>
  <c r="AA121" i="1"/>
  <c r="F31" i="19"/>
  <c r="C50" i="20"/>
  <c r="H50" i="20" s="1"/>
  <c r="F35" i="19"/>
  <c r="F36" i="19"/>
  <c r="C25" i="20"/>
  <c r="B10" i="6"/>
  <c r="G10" i="6" s="1"/>
  <c r="P30" i="17" s="1"/>
  <c r="J2" i="17"/>
  <c r="J5" i="17" s="1"/>
  <c r="C6" i="11"/>
  <c r="H110" i="20"/>
  <c r="G161" i="17" s="1"/>
  <c r="H109" i="20"/>
  <c r="R23" i="17"/>
  <c r="Q15" i="9"/>
  <c r="C8" i="11" l="1"/>
  <c r="S114" i="3"/>
  <c r="S118" i="3" s="1"/>
  <c r="H86" i="20"/>
  <c r="G125" i="17"/>
  <c r="G131" i="17" s="1"/>
  <c r="H106" i="20"/>
  <c r="G150" i="17"/>
  <c r="G153" i="17" s="1"/>
  <c r="H111" i="20"/>
  <c r="G160" i="17"/>
  <c r="G162" i="17" s="1"/>
  <c r="J8" i="17"/>
  <c r="J7" i="17"/>
  <c r="J9" i="17"/>
  <c r="F31" i="6"/>
  <c r="F20" i="21" s="1"/>
  <c r="E53" i="6"/>
  <c r="C13" i="12" s="1"/>
  <c r="P25" i="9"/>
  <c r="G168" i="17"/>
  <c r="G170" i="17" s="1"/>
  <c r="H120" i="20"/>
  <c r="F41" i="6"/>
  <c r="F25" i="21" s="1"/>
  <c r="B37" i="7"/>
  <c r="C13" i="11"/>
  <c r="C17" i="11" s="1"/>
  <c r="C29" i="11" s="1"/>
  <c r="H98" i="20"/>
  <c r="G141" i="17"/>
  <c r="G143" i="17" s="1"/>
  <c r="C114" i="3"/>
  <c r="C118" i="3" s="1"/>
  <c r="B17" i="6"/>
  <c r="R109" i="17"/>
  <c r="R107" i="17"/>
  <c r="R108" i="17"/>
  <c r="R112" i="17"/>
  <c r="R111" i="17"/>
  <c r="B45" i="6"/>
  <c r="Q114" i="3"/>
  <c r="Q118" i="3" s="1"/>
  <c r="B19" i="6"/>
  <c r="D114" i="3"/>
  <c r="D118" i="3" s="1"/>
  <c r="G8" i="6"/>
  <c r="F43" i="6"/>
  <c r="F26" i="21" s="1"/>
  <c r="F29" i="6"/>
  <c r="F19" i="21" s="1"/>
  <c r="H25" i="20"/>
  <c r="H60" i="20" s="1"/>
  <c r="C60" i="20"/>
  <c r="C16" i="11"/>
  <c r="C18" i="12"/>
  <c r="G52" i="6"/>
  <c r="F15" i="6"/>
  <c r="G113" i="1"/>
  <c r="G115" i="1" s="1"/>
  <c r="J14" i="1"/>
  <c r="J113" i="1" s="1"/>
  <c r="J115" i="1" s="1"/>
  <c r="J121" i="1" s="1"/>
  <c r="H76" i="20"/>
  <c r="G121" i="17" s="1"/>
  <c r="R10" i="17"/>
  <c r="R27" i="17" s="1"/>
  <c r="H116" i="20"/>
  <c r="G164" i="17"/>
  <c r="G167" i="17" s="1"/>
  <c r="H79" i="20"/>
  <c r="G122" i="17"/>
  <c r="G124" i="17" s="1"/>
  <c r="F27" i="6"/>
  <c r="F18" i="21" s="1"/>
  <c r="E55" i="18"/>
  <c r="Q25" i="9"/>
  <c r="C27" i="17"/>
  <c r="C13" i="17"/>
  <c r="C23" i="17"/>
  <c r="C21" i="17"/>
  <c r="C11" i="17"/>
  <c r="C18" i="17"/>
  <c r="C10" i="17"/>
  <c r="C25" i="17"/>
  <c r="C14" i="17"/>
  <c r="C12" i="17"/>
  <c r="C22" i="17"/>
  <c r="C17" i="17"/>
  <c r="C19" i="17"/>
  <c r="C24" i="17"/>
  <c r="C20" i="17"/>
  <c r="C15" i="17"/>
  <c r="G35" i="6"/>
  <c r="Q20" i="17" s="1"/>
  <c r="F23" i="6"/>
  <c r="F16" i="21" s="1"/>
  <c r="H93" i="20"/>
  <c r="G133" i="17"/>
  <c r="G138" i="17" s="1"/>
  <c r="C26" i="17"/>
  <c r="F25" i="6"/>
  <c r="F17" i="21" s="1"/>
  <c r="G39" i="6"/>
  <c r="Q22" i="17" s="1"/>
  <c r="H102" i="20"/>
  <c r="G147" i="17"/>
  <c r="G149" i="17" s="1"/>
  <c r="F33" i="6"/>
  <c r="F21" i="21" s="1"/>
  <c r="D58" i="18"/>
  <c r="F47" i="6"/>
  <c r="F28" i="21" s="1"/>
  <c r="G47" i="6"/>
  <c r="Q26" i="17" s="1"/>
  <c r="E114" i="3"/>
  <c r="E118" i="3" s="1"/>
  <c r="B21" i="6"/>
  <c r="B49" i="11" l="1"/>
  <c r="C31" i="11"/>
  <c r="E32" i="11"/>
  <c r="G29" i="6"/>
  <c r="Q17" i="17" s="1"/>
  <c r="G31" i="6"/>
  <c r="Q18" i="17" s="1"/>
  <c r="F21" i="6"/>
  <c r="F15" i="21" s="1"/>
  <c r="F45" i="6"/>
  <c r="F27" i="21" s="1"/>
  <c r="F170" i="17"/>
  <c r="F168" i="17"/>
  <c r="D87" i="17"/>
  <c r="C121" i="20"/>
  <c r="B3" i="20"/>
  <c r="C4" i="20" s="1"/>
  <c r="F53" i="6"/>
  <c r="C12" i="12" s="1"/>
  <c r="F12" i="21"/>
  <c r="G15" i="6"/>
  <c r="Q10" i="17" s="1"/>
  <c r="G43" i="6"/>
  <c r="Q24" i="17" s="1"/>
  <c r="F163" i="17" s="1"/>
  <c r="R12" i="9"/>
  <c r="S12" i="9" s="1"/>
  <c r="U12" i="9" s="1"/>
  <c r="R23" i="9"/>
  <c r="S23" i="9" s="1"/>
  <c r="U23" i="9" s="1"/>
  <c r="R24" i="9"/>
  <c r="S24" i="9" s="1"/>
  <c r="U24" i="9" s="1"/>
  <c r="R22" i="9"/>
  <c r="S22" i="9" s="1"/>
  <c r="U22" i="9" s="1"/>
  <c r="R8" i="9"/>
  <c r="R17" i="9"/>
  <c r="S17" i="9" s="1"/>
  <c r="U17" i="9" s="1"/>
  <c r="R19" i="9"/>
  <c r="S19" i="9" s="1"/>
  <c r="U19" i="9" s="1"/>
  <c r="R18" i="9"/>
  <c r="S18" i="9" s="1"/>
  <c r="U18" i="9" s="1"/>
  <c r="R20" i="9"/>
  <c r="S20" i="9" s="1"/>
  <c r="U20" i="9" s="1"/>
  <c r="R21" i="9"/>
  <c r="S21" i="9" s="1"/>
  <c r="U21" i="9" s="1"/>
  <c r="R10" i="9"/>
  <c r="S10" i="9" s="1"/>
  <c r="U10" i="9" s="1"/>
  <c r="R16" i="9"/>
  <c r="S16" i="9" s="1"/>
  <c r="U16" i="9" s="1"/>
  <c r="R9" i="9"/>
  <c r="S9" i="9" s="1"/>
  <c r="U9" i="9" s="1"/>
  <c r="R11" i="9"/>
  <c r="S11" i="9" s="1"/>
  <c r="U11" i="9" s="1"/>
  <c r="R14" i="9"/>
  <c r="S14" i="9" s="1"/>
  <c r="U14" i="9" s="1"/>
  <c r="R13" i="9"/>
  <c r="S13" i="9" s="1"/>
  <c r="U13" i="9" s="1"/>
  <c r="R15" i="9"/>
  <c r="S15" i="9" s="1"/>
  <c r="U15" i="9" s="1"/>
  <c r="Q28" i="9"/>
  <c r="N35" i="9" s="1"/>
  <c r="W25" i="9"/>
  <c r="C5" i="12" s="1"/>
  <c r="D19" i="17"/>
  <c r="D24" i="17"/>
  <c r="D10" i="17"/>
  <c r="D29" i="17"/>
  <c r="D20" i="17"/>
  <c r="J11" i="17"/>
  <c r="D22" i="17"/>
  <c r="D16" i="17"/>
  <c r="D14" i="17"/>
  <c r="D21" i="17"/>
  <c r="D18" i="17"/>
  <c r="D12" i="17"/>
  <c r="D17" i="17"/>
  <c r="D13" i="17"/>
  <c r="D25" i="17"/>
  <c r="D15" i="17"/>
  <c r="D23" i="17"/>
  <c r="D11" i="17"/>
  <c r="D26" i="17"/>
  <c r="G172" i="17"/>
  <c r="D56" i="17"/>
  <c r="B3" i="19"/>
  <c r="C4" i="19" s="1"/>
  <c r="C7" i="12"/>
  <c r="J53" i="18"/>
  <c r="M102" i="17" s="1"/>
  <c r="J52" i="18"/>
  <c r="M101" i="17" s="1"/>
  <c r="R110" i="17"/>
  <c r="J51" i="18"/>
  <c r="J17" i="17"/>
  <c r="G33" i="6"/>
  <c r="Q19" i="17" s="1"/>
  <c r="F19" i="6"/>
  <c r="F14" i="21" s="1"/>
  <c r="G19" i="6"/>
  <c r="Q12" i="17" s="1"/>
  <c r="N100" i="17"/>
  <c r="J18" i="17"/>
  <c r="R101" i="17"/>
  <c r="G175" i="17" s="1"/>
  <c r="R102" i="17"/>
  <c r="G176" i="17" s="1"/>
  <c r="R100" i="17"/>
  <c r="J22" i="17"/>
  <c r="F159" i="17"/>
  <c r="F155" i="17"/>
  <c r="H121" i="20"/>
  <c r="F17" i="6"/>
  <c r="F13" i="21" s="1"/>
  <c r="F153" i="17"/>
  <c r="F150" i="17"/>
  <c r="G27" i="6"/>
  <c r="Q16" i="17" s="1"/>
  <c r="F140" i="17" s="1"/>
  <c r="B53" i="6"/>
  <c r="O102" i="17"/>
  <c r="D176" i="17" s="1"/>
  <c r="O100" i="17"/>
  <c r="O101" i="17"/>
  <c r="J19" i="17"/>
  <c r="Q100" i="17"/>
  <c r="E34" i="18"/>
  <c r="E31" i="18"/>
  <c r="E51" i="18"/>
  <c r="E50" i="18"/>
  <c r="E41" i="18"/>
  <c r="E47" i="18"/>
  <c r="E9" i="18"/>
  <c r="E8" i="18"/>
  <c r="E19" i="18"/>
  <c r="E28" i="18"/>
  <c r="E12" i="18"/>
  <c r="E20" i="18"/>
  <c r="E37" i="18"/>
  <c r="E42" i="18"/>
  <c r="E26" i="18"/>
  <c r="G25" i="6"/>
  <c r="Q15" i="17" s="1"/>
  <c r="F139" i="17" s="1"/>
  <c r="G41" i="6"/>
  <c r="Q23" i="17" s="1"/>
  <c r="G23" i="6"/>
  <c r="Q14" i="17" s="1"/>
  <c r="E27" i="18"/>
  <c r="F47" i="18" l="1"/>
  <c r="F23" i="17"/>
  <c r="F160" i="17"/>
  <c r="F162" i="17"/>
  <c r="F18" i="17"/>
  <c r="F31" i="18"/>
  <c r="F24" i="17"/>
  <c r="F50" i="18"/>
  <c r="F121" i="17"/>
  <c r="B175" i="17"/>
  <c r="P101" i="17"/>
  <c r="S101" i="17" s="1"/>
  <c r="H175" i="17" s="1"/>
  <c r="F17" i="17"/>
  <c r="F28" i="18"/>
  <c r="G45" i="6"/>
  <c r="Q25" i="17" s="1"/>
  <c r="F15" i="17"/>
  <c r="F26" i="18"/>
  <c r="F174" i="17"/>
  <c r="F177" i="17" s="1"/>
  <c r="Q103" i="17"/>
  <c r="G17" i="6"/>
  <c r="B176" i="17"/>
  <c r="E176" i="17" s="1"/>
  <c r="P102" i="17"/>
  <c r="S102" i="17" s="1"/>
  <c r="H176" i="17" s="1"/>
  <c r="F12" i="17"/>
  <c r="F12" i="18"/>
  <c r="F8" i="18"/>
  <c r="F10" i="17"/>
  <c r="D27" i="17"/>
  <c r="E58" i="18"/>
  <c r="R25" i="9"/>
  <c r="R29" i="9" s="1"/>
  <c r="S8" i="9"/>
  <c r="C174" i="17"/>
  <c r="C177" i="17" s="1"/>
  <c r="N103" i="17"/>
  <c r="G21" i="6"/>
  <c r="Q13" i="17" s="1"/>
  <c r="F132" i="17" s="1"/>
  <c r="F14" i="17"/>
  <c r="F20" i="18"/>
  <c r="F54" i="21"/>
  <c r="F53" i="21"/>
  <c r="G53" i="21" s="1"/>
  <c r="F146" i="17"/>
  <c r="F144" i="17"/>
  <c r="F11" i="17"/>
  <c r="F9" i="18"/>
  <c r="F133" i="17"/>
  <c r="F138" i="17"/>
  <c r="G174" i="17"/>
  <c r="G177" i="17" s="1"/>
  <c r="G178" i="17" s="1"/>
  <c r="R103" i="17"/>
  <c r="F141" i="17"/>
  <c r="F143" i="17"/>
  <c r="R113" i="17"/>
  <c r="J20" i="17"/>
  <c r="F55" i="18"/>
  <c r="F26" i="17"/>
  <c r="F19" i="18"/>
  <c r="F13" i="17"/>
  <c r="F16" i="17"/>
  <c r="F27" i="18"/>
  <c r="F147" i="17"/>
  <c r="F149" i="17"/>
  <c r="F51" i="17"/>
  <c r="W42" i="19"/>
  <c r="F53" i="17"/>
  <c r="F43" i="17"/>
  <c r="F48" i="17"/>
  <c r="R24" i="19"/>
  <c r="F38" i="17"/>
  <c r="F45" i="17"/>
  <c r="F49" i="17"/>
  <c r="G2" i="19"/>
  <c r="F42" i="17"/>
  <c r="F46" i="17"/>
  <c r="F41" i="17"/>
  <c r="F44" i="17"/>
  <c r="C23" i="19"/>
  <c r="F51" i="18"/>
  <c r="F25" i="17"/>
  <c r="F22" i="17"/>
  <c r="F42" i="18"/>
  <c r="D174" i="17"/>
  <c r="O103" i="17"/>
  <c r="C23" i="20"/>
  <c r="T24" i="20"/>
  <c r="Y60" i="20"/>
  <c r="G2" i="20"/>
  <c r="F125" i="17"/>
  <c r="F131" i="17"/>
  <c r="F21" i="17"/>
  <c r="F41" i="18"/>
  <c r="F20" i="17"/>
  <c r="F37" i="18"/>
  <c r="F19" i="17"/>
  <c r="F34" i="18"/>
  <c r="J54" i="18"/>
  <c r="M100" i="17"/>
  <c r="G40" i="19" l="1"/>
  <c r="I40" i="19" s="1"/>
  <c r="G35" i="19"/>
  <c r="I35" i="19" s="1"/>
  <c r="G36" i="19"/>
  <c r="I36" i="19" s="1"/>
  <c r="G34" i="19"/>
  <c r="I34" i="19" s="1"/>
  <c r="G26" i="19"/>
  <c r="I26" i="19" s="1"/>
  <c r="G27" i="19"/>
  <c r="I27" i="19" s="1"/>
  <c r="G39" i="19"/>
  <c r="I39" i="19" s="1"/>
  <c r="G32" i="19"/>
  <c r="I32" i="19" s="1"/>
  <c r="G30" i="19"/>
  <c r="I30" i="19" s="1"/>
  <c r="G31" i="19"/>
  <c r="I31" i="19" s="1"/>
  <c r="G41" i="19"/>
  <c r="I41" i="19" s="1"/>
  <c r="G28" i="19"/>
  <c r="I28" i="19" s="1"/>
  <c r="G29" i="19"/>
  <c r="I29" i="19" s="1"/>
  <c r="G33" i="19"/>
  <c r="I33" i="19" s="1"/>
  <c r="G38" i="19"/>
  <c r="I38" i="19" s="1"/>
  <c r="G25" i="19"/>
  <c r="G37" i="19"/>
  <c r="I37" i="19" s="1"/>
  <c r="M12" i="17"/>
  <c r="H12" i="18"/>
  <c r="N19" i="17"/>
  <c r="C147" i="17"/>
  <c r="C149" i="17" s="1"/>
  <c r="D46" i="17"/>
  <c r="N16" i="17"/>
  <c r="D43" i="17"/>
  <c r="C140" i="17"/>
  <c r="B174" i="17"/>
  <c r="M103" i="17"/>
  <c r="P100" i="17"/>
  <c r="M20" i="17"/>
  <c r="H37" i="18"/>
  <c r="M25" i="17"/>
  <c r="H51" i="18"/>
  <c r="M17" i="17"/>
  <c r="H28" i="18"/>
  <c r="U8" i="9"/>
  <c r="U25" i="9" s="1"/>
  <c r="S25" i="9"/>
  <c r="I41" i="20"/>
  <c r="K41" i="20" s="1"/>
  <c r="I52" i="20"/>
  <c r="K52" i="20" s="1"/>
  <c r="I25" i="20"/>
  <c r="I42" i="20"/>
  <c r="K42" i="20" s="1"/>
  <c r="I28" i="20"/>
  <c r="K28" i="20" s="1"/>
  <c r="I47" i="20"/>
  <c r="K47" i="20" s="1"/>
  <c r="I35" i="20"/>
  <c r="K35" i="20" s="1"/>
  <c r="I55" i="20"/>
  <c r="K55" i="20" s="1"/>
  <c r="I44" i="20"/>
  <c r="K44" i="20" s="1"/>
  <c r="I45" i="20"/>
  <c r="K45" i="20" s="1"/>
  <c r="I58" i="20"/>
  <c r="K58" i="20" s="1"/>
  <c r="I26" i="20"/>
  <c r="K26" i="20" s="1"/>
  <c r="I50" i="20"/>
  <c r="K50" i="20" s="1"/>
  <c r="I51" i="20"/>
  <c r="K51" i="20" s="1"/>
  <c r="I34" i="20"/>
  <c r="K34" i="20" s="1"/>
  <c r="I54" i="20"/>
  <c r="K54" i="20" s="1"/>
  <c r="I40" i="20"/>
  <c r="K40" i="20" s="1"/>
  <c r="G14" i="19"/>
  <c r="I14" i="19" s="1"/>
  <c r="G15" i="19"/>
  <c r="I15" i="19" s="1"/>
  <c r="G17" i="19"/>
  <c r="I17" i="19" s="1"/>
  <c r="G16" i="19"/>
  <c r="I16" i="19" s="1"/>
  <c r="G18" i="19"/>
  <c r="I18" i="19" s="1"/>
  <c r="G19" i="19"/>
  <c r="I19" i="19" s="1"/>
  <c r="G20" i="19"/>
  <c r="I20" i="19" s="1"/>
  <c r="G6" i="19"/>
  <c r="G12" i="19"/>
  <c r="I12" i="19" s="1"/>
  <c r="G5" i="19"/>
  <c r="I5" i="19" s="1"/>
  <c r="G7" i="19"/>
  <c r="I7" i="19" s="1"/>
  <c r="G13" i="19"/>
  <c r="I13" i="19" s="1"/>
  <c r="G8" i="19"/>
  <c r="I8" i="19" s="1"/>
  <c r="G4" i="19"/>
  <c r="G9" i="19"/>
  <c r="I9" i="19" s="1"/>
  <c r="G10" i="19"/>
  <c r="I10" i="19" s="1"/>
  <c r="G11" i="19"/>
  <c r="I11" i="19" s="1"/>
  <c r="H27" i="18"/>
  <c r="K27" i="18" s="1"/>
  <c r="B140" i="17" s="1"/>
  <c r="M16" i="17"/>
  <c r="H42" i="18"/>
  <c r="M22" i="17"/>
  <c r="M13" i="17"/>
  <c r="H19" i="18"/>
  <c r="K19" i="18" s="1"/>
  <c r="B132" i="17" s="1"/>
  <c r="M19" i="17"/>
  <c r="H34" i="18"/>
  <c r="M21" i="17"/>
  <c r="H41" i="18"/>
  <c r="K41" i="18" s="1"/>
  <c r="B154" i="17" s="1"/>
  <c r="H9" i="18"/>
  <c r="M11" i="17"/>
  <c r="G16" i="20"/>
  <c r="I16" i="20" s="1"/>
  <c r="G17" i="20"/>
  <c r="I17" i="20" s="1"/>
  <c r="G15" i="20"/>
  <c r="I15" i="20" s="1"/>
  <c r="G14" i="20"/>
  <c r="I14" i="20" s="1"/>
  <c r="G7" i="20"/>
  <c r="I7" i="20" s="1"/>
  <c r="G6" i="20"/>
  <c r="G4" i="20"/>
  <c r="G5" i="20"/>
  <c r="I5" i="20" s="1"/>
  <c r="G18" i="20"/>
  <c r="I18" i="20" s="1"/>
  <c r="G13" i="20"/>
  <c r="I13" i="20" s="1"/>
  <c r="G12" i="20"/>
  <c r="I12" i="20" s="1"/>
  <c r="G11" i="20"/>
  <c r="I11" i="20" s="1"/>
  <c r="G20" i="20"/>
  <c r="I20" i="20" s="1"/>
  <c r="G9" i="20"/>
  <c r="I9" i="20" s="1"/>
  <c r="G8" i="20"/>
  <c r="I8" i="20" s="1"/>
  <c r="G19" i="20"/>
  <c r="I19" i="20" s="1"/>
  <c r="G10" i="20"/>
  <c r="I10" i="20" s="1"/>
  <c r="Q11" i="17"/>
  <c r="G53" i="6"/>
  <c r="H50" i="18"/>
  <c r="K50" i="18" s="1"/>
  <c r="B163" i="17" s="1"/>
  <c r="M24" i="17"/>
  <c r="H20" i="18"/>
  <c r="M14" i="17"/>
  <c r="N17" i="17"/>
  <c r="D44" i="17"/>
  <c r="C141" i="17"/>
  <c r="C143" i="17" s="1"/>
  <c r="N18" i="17"/>
  <c r="C144" i="17"/>
  <c r="C146" i="17" s="1"/>
  <c r="D45" i="17"/>
  <c r="M18" i="17"/>
  <c r="H31" i="18"/>
  <c r="N24" i="17"/>
  <c r="C163" i="17"/>
  <c r="D51" i="17"/>
  <c r="F58" i="18"/>
  <c r="F167" i="17"/>
  <c r="F164" i="17"/>
  <c r="D41" i="17"/>
  <c r="C133" i="17"/>
  <c r="C138" i="17" s="1"/>
  <c r="N14" i="17"/>
  <c r="D38" i="17"/>
  <c r="C122" i="17"/>
  <c r="C124" i="17" s="1"/>
  <c r="N11" i="17"/>
  <c r="J23" i="17"/>
  <c r="J26" i="17" s="1"/>
  <c r="S113" i="17"/>
  <c r="J21" i="17" s="1"/>
  <c r="H47" i="18"/>
  <c r="M23" i="17"/>
  <c r="N26" i="17"/>
  <c r="C168" i="17"/>
  <c r="C170" i="17" s="1"/>
  <c r="D53" i="17"/>
  <c r="M26" i="17"/>
  <c r="H55" i="18"/>
  <c r="H8" i="18"/>
  <c r="M10" i="17"/>
  <c r="F27" i="17"/>
  <c r="M15" i="17"/>
  <c r="H26" i="18"/>
  <c r="K26" i="18" s="1"/>
  <c r="B139" i="17" s="1"/>
  <c r="D42" i="17"/>
  <c r="C139" i="17"/>
  <c r="N15" i="17"/>
  <c r="N22" i="17"/>
  <c r="D49" i="17"/>
  <c r="C155" i="17"/>
  <c r="C159" i="17" s="1"/>
  <c r="D48" i="17"/>
  <c r="N21" i="17"/>
  <c r="C154" i="17"/>
  <c r="T17" i="17" l="1"/>
  <c r="P17" i="17"/>
  <c r="S17" i="17" s="1"/>
  <c r="N41" i="20"/>
  <c r="O41" i="20" s="1"/>
  <c r="P41" i="20"/>
  <c r="R41" i="20"/>
  <c r="S41" i="20" s="1"/>
  <c r="T41" i="20" s="1"/>
  <c r="L29" i="19"/>
  <c r="P29" i="19"/>
  <c r="Q29" i="19" s="1"/>
  <c r="R29" i="19" s="1"/>
  <c r="N29" i="19"/>
  <c r="P45" i="20"/>
  <c r="N45" i="20"/>
  <c r="O45" i="20" s="1"/>
  <c r="R45" i="20"/>
  <c r="S45" i="20" s="1"/>
  <c r="T45" i="20" s="1"/>
  <c r="P14" i="17"/>
  <c r="S14" i="17" s="1"/>
  <c r="T14" i="17"/>
  <c r="P37" i="19"/>
  <c r="Q37" i="19" s="1"/>
  <c r="R37" i="19" s="1"/>
  <c r="L37" i="19"/>
  <c r="N37" i="19"/>
  <c r="L28" i="19"/>
  <c r="P28" i="19"/>
  <c r="N28" i="19"/>
  <c r="R26" i="20"/>
  <c r="S26" i="20" s="1"/>
  <c r="T26" i="20" s="1"/>
  <c r="N26" i="20"/>
  <c r="O26" i="20" s="1"/>
  <c r="P26" i="20"/>
  <c r="R42" i="20"/>
  <c r="S42" i="20" s="1"/>
  <c r="T42" i="20" s="1"/>
  <c r="N42" i="20"/>
  <c r="O42" i="20" s="1"/>
  <c r="P42" i="20"/>
  <c r="G42" i="19"/>
  <c r="I25" i="19"/>
  <c r="P22" i="17"/>
  <c r="S22" i="17" s="1"/>
  <c r="T22" i="17"/>
  <c r="L41" i="19"/>
  <c r="P41" i="19"/>
  <c r="Q41" i="19" s="1"/>
  <c r="R41" i="19" s="1"/>
  <c r="N41" i="19"/>
  <c r="R55" i="20"/>
  <c r="N55" i="20"/>
  <c r="P55" i="20"/>
  <c r="P24" i="17"/>
  <c r="S24" i="17" s="1"/>
  <c r="T24" i="17"/>
  <c r="N36" i="18"/>
  <c r="M35" i="18"/>
  <c r="M34" i="18"/>
  <c r="M36" i="18" s="1"/>
  <c r="K35" i="18"/>
  <c r="B148" i="17" s="1"/>
  <c r="N46" i="18"/>
  <c r="M45" i="18"/>
  <c r="K43" i="18"/>
  <c r="B156" i="17" s="1"/>
  <c r="E156" i="17" s="1"/>
  <c r="K44" i="18"/>
  <c r="B157" i="17" s="1"/>
  <c r="E157" i="17" s="1"/>
  <c r="K45" i="18"/>
  <c r="B158" i="17" s="1"/>
  <c r="E158" i="17" s="1"/>
  <c r="M43" i="18"/>
  <c r="M42" i="18"/>
  <c r="M46" i="18" s="1"/>
  <c r="M44" i="18"/>
  <c r="L31" i="19"/>
  <c r="P31" i="19"/>
  <c r="Q31" i="19" s="1"/>
  <c r="R31" i="19" s="1"/>
  <c r="N31" i="19"/>
  <c r="F172" i="17"/>
  <c r="F178" i="17" s="1"/>
  <c r="R51" i="20"/>
  <c r="S51" i="20" s="1"/>
  <c r="T51" i="20" s="1"/>
  <c r="N51" i="20"/>
  <c r="O51" i="20" s="1"/>
  <c r="P51" i="20"/>
  <c r="N47" i="20"/>
  <c r="R47" i="20"/>
  <c r="P47" i="20"/>
  <c r="N30" i="18"/>
  <c r="K29" i="18"/>
  <c r="B142" i="17" s="1"/>
  <c r="M29" i="18"/>
  <c r="M28" i="18"/>
  <c r="M30" i="18" s="1"/>
  <c r="L33" i="19"/>
  <c r="P33" i="19"/>
  <c r="Q33" i="19" s="1"/>
  <c r="R33" i="19" s="1"/>
  <c r="N33" i="19"/>
  <c r="T16" i="17"/>
  <c r="P16" i="17"/>
  <c r="S16" i="17" s="1"/>
  <c r="P30" i="19"/>
  <c r="Q30" i="19" s="1"/>
  <c r="R30" i="19" s="1"/>
  <c r="L30" i="19"/>
  <c r="N30" i="19"/>
  <c r="R34" i="20"/>
  <c r="N34" i="20"/>
  <c r="P34" i="20"/>
  <c r="G21" i="20"/>
  <c r="J21" i="20" s="1"/>
  <c r="I4" i="20"/>
  <c r="P32" i="19"/>
  <c r="Q32" i="19" s="1"/>
  <c r="R32" i="19" s="1"/>
  <c r="L32" i="19"/>
  <c r="N32" i="19"/>
  <c r="K32" i="18"/>
  <c r="B145" i="17" s="1"/>
  <c r="E145" i="17" s="1"/>
  <c r="M31" i="18"/>
  <c r="N33" i="18"/>
  <c r="M32" i="18"/>
  <c r="T18" i="17"/>
  <c r="P18" i="17"/>
  <c r="S18" i="17" s="1"/>
  <c r="K22" i="18"/>
  <c r="B135" i="17" s="1"/>
  <c r="N25" i="18"/>
  <c r="M22" i="18"/>
  <c r="M20" i="18"/>
  <c r="M21" i="18"/>
  <c r="M24" i="18"/>
  <c r="M23" i="18"/>
  <c r="K23" i="18"/>
  <c r="B136" i="17" s="1"/>
  <c r="K21" i="18"/>
  <c r="B134" i="17" s="1"/>
  <c r="K24" i="18"/>
  <c r="B137" i="17" s="1"/>
  <c r="F122" i="17"/>
  <c r="F124" i="17"/>
  <c r="Q27" i="17"/>
  <c r="K52" i="18"/>
  <c r="B165" i="17" s="1"/>
  <c r="K53" i="18"/>
  <c r="B166" i="17" s="1"/>
  <c r="M53" i="18"/>
  <c r="M51" i="18"/>
  <c r="M52" i="18"/>
  <c r="N54" i="18"/>
  <c r="B177" i="17"/>
  <c r="E174" i="17"/>
  <c r="I6" i="20"/>
  <c r="T11" i="17"/>
  <c r="P11" i="17"/>
  <c r="S11" i="17" s="1"/>
  <c r="L39" i="19"/>
  <c r="N39" i="19"/>
  <c r="P39" i="19"/>
  <c r="Q39" i="19" s="1"/>
  <c r="R39" i="19" s="1"/>
  <c r="R44" i="20"/>
  <c r="S44" i="20" s="1"/>
  <c r="T44" i="20" s="1"/>
  <c r="N44" i="20"/>
  <c r="O44" i="20" s="1"/>
  <c r="P44" i="20"/>
  <c r="K25" i="20"/>
  <c r="I60" i="20"/>
  <c r="L38" i="19"/>
  <c r="P38" i="19"/>
  <c r="N38" i="19"/>
  <c r="P27" i="19"/>
  <c r="L27" i="19"/>
  <c r="N27" i="19"/>
  <c r="N58" i="20"/>
  <c r="O58" i="20" s="1"/>
  <c r="R58" i="20"/>
  <c r="S58" i="20" s="1"/>
  <c r="T58" i="20" s="1"/>
  <c r="P58" i="20"/>
  <c r="L26" i="19"/>
  <c r="P26" i="19"/>
  <c r="Q26" i="19" s="1"/>
  <c r="R26" i="19" s="1"/>
  <c r="N26" i="19"/>
  <c r="N40" i="20"/>
  <c r="O40" i="20" s="1"/>
  <c r="R40" i="20"/>
  <c r="S40" i="20" s="1"/>
  <c r="T40" i="20" s="1"/>
  <c r="P40" i="20"/>
  <c r="K38" i="18"/>
  <c r="B152" i="17" s="1"/>
  <c r="M39" i="18"/>
  <c r="K39" i="18"/>
  <c r="B151" i="17" s="1"/>
  <c r="N40" i="18"/>
  <c r="M37" i="18"/>
  <c r="M38" i="18"/>
  <c r="K56" i="18"/>
  <c r="B169" i="17" s="1"/>
  <c r="N57" i="18"/>
  <c r="M55" i="18"/>
  <c r="M57" i="18" s="1"/>
  <c r="M56" i="18"/>
  <c r="K48" i="18"/>
  <c r="B161" i="17" s="1"/>
  <c r="N49" i="18"/>
  <c r="M47" i="18"/>
  <c r="M49" i="18" s="1"/>
  <c r="M48" i="18"/>
  <c r="G21" i="19"/>
  <c r="J21" i="19" s="1"/>
  <c r="I6" i="19" s="1"/>
  <c r="I4" i="19"/>
  <c r="L34" i="19"/>
  <c r="P34" i="19"/>
  <c r="Q34" i="19" s="1"/>
  <c r="R34" i="19" s="1"/>
  <c r="N34" i="19"/>
  <c r="R35" i="20"/>
  <c r="S35" i="20" s="1"/>
  <c r="T35" i="20" s="1"/>
  <c r="N35" i="20"/>
  <c r="O35" i="20" s="1"/>
  <c r="P35" i="20"/>
  <c r="M14" i="18"/>
  <c r="M15" i="18"/>
  <c r="M17" i="18"/>
  <c r="M16" i="18"/>
  <c r="K13" i="18"/>
  <c r="B126" i="17" s="1"/>
  <c r="K16" i="18"/>
  <c r="B129" i="17" s="1"/>
  <c r="M12" i="18"/>
  <c r="M13" i="18"/>
  <c r="N18" i="18"/>
  <c r="K14" i="18"/>
  <c r="B127" i="17" s="1"/>
  <c r="K15" i="18"/>
  <c r="B128" i="17" s="1"/>
  <c r="K17" i="18"/>
  <c r="B130" i="17" s="1"/>
  <c r="P19" i="17"/>
  <c r="S19" i="17" s="1"/>
  <c r="T19" i="17"/>
  <c r="P36" i="19"/>
  <c r="Q36" i="19" s="1"/>
  <c r="R36" i="19" s="1"/>
  <c r="L36" i="19"/>
  <c r="N36" i="19"/>
  <c r="R50" i="20"/>
  <c r="S50" i="20" s="1"/>
  <c r="T50" i="20" s="1"/>
  <c r="N50" i="20"/>
  <c r="O50" i="20" s="1"/>
  <c r="P50" i="20"/>
  <c r="N28" i="20"/>
  <c r="R28" i="20"/>
  <c r="P28" i="20"/>
  <c r="N11" i="18"/>
  <c r="M10" i="18"/>
  <c r="K10" i="18"/>
  <c r="B123" i="17" s="1"/>
  <c r="M9" i="18"/>
  <c r="M11" i="18" s="1"/>
  <c r="P15" i="17"/>
  <c r="S15" i="17" s="1"/>
  <c r="T15" i="17"/>
  <c r="K8" i="18"/>
  <c r="H58" i="18"/>
  <c r="L35" i="19"/>
  <c r="P35" i="19"/>
  <c r="N35" i="19"/>
  <c r="N54" i="20"/>
  <c r="O54" i="20" s="1"/>
  <c r="R54" i="20"/>
  <c r="S54" i="20" s="1"/>
  <c r="T54" i="20" s="1"/>
  <c r="P54" i="20"/>
  <c r="N52" i="20"/>
  <c r="P52" i="20"/>
  <c r="R52" i="20"/>
  <c r="P103" i="17"/>
  <c r="S100" i="17"/>
  <c r="P21" i="17"/>
  <c r="S21" i="17" s="1"/>
  <c r="T21" i="17"/>
  <c r="M27" i="17"/>
  <c r="T26" i="17"/>
  <c r="P26" i="17"/>
  <c r="S26" i="17" s="1"/>
  <c r="L40" i="19"/>
  <c r="P40" i="19"/>
  <c r="N40" i="19"/>
  <c r="H158" i="17" l="1"/>
  <c r="D46" i="21"/>
  <c r="G46" i="21" s="1"/>
  <c r="O46" i="18"/>
  <c r="K42" i="18" s="1"/>
  <c r="B155" i="17" s="1"/>
  <c r="V37" i="19"/>
  <c r="S37" i="19"/>
  <c r="U37" i="19" s="1"/>
  <c r="M18" i="18"/>
  <c r="O18" i="18" s="1"/>
  <c r="K12" i="18" s="1"/>
  <c r="B125" i="17" s="1"/>
  <c r="O49" i="18"/>
  <c r="K47" i="18" s="1"/>
  <c r="B160" i="17" s="1"/>
  <c r="X51" i="20"/>
  <c r="U51" i="20"/>
  <c r="I21" i="19"/>
  <c r="S110" i="17"/>
  <c r="T110" i="17" s="1"/>
  <c r="D175" i="17" s="1"/>
  <c r="S103" i="17"/>
  <c r="T104" i="17" s="1"/>
  <c r="X26" i="20"/>
  <c r="U26" i="20"/>
  <c r="B121" i="17"/>
  <c r="X45" i="20"/>
  <c r="U45" i="20"/>
  <c r="R25" i="20"/>
  <c r="N25" i="20"/>
  <c r="K60" i="20"/>
  <c r="P25" i="20"/>
  <c r="P60" i="20" s="1"/>
  <c r="X40" i="20"/>
  <c r="U40" i="20"/>
  <c r="S30" i="19"/>
  <c r="U30" i="19" s="1"/>
  <c r="V30" i="19"/>
  <c r="U44" i="20"/>
  <c r="X44" i="20"/>
  <c r="H157" i="17"/>
  <c r="D45" i="21"/>
  <c r="G45" i="21" s="1"/>
  <c r="O36" i="18"/>
  <c r="K34" i="18" s="1"/>
  <c r="B147" i="17" s="1"/>
  <c r="L25" i="19"/>
  <c r="I42" i="19"/>
  <c r="P25" i="19"/>
  <c r="N25" i="19"/>
  <c r="N42" i="19" s="1"/>
  <c r="S26" i="19"/>
  <c r="U26" i="19" s="1"/>
  <c r="V26" i="19"/>
  <c r="U58" i="20"/>
  <c r="X58" i="20"/>
  <c r="O33" i="18"/>
  <c r="K31" i="18" s="1"/>
  <c r="B144" i="17" s="1"/>
  <c r="H145" i="17"/>
  <c r="D40" i="21"/>
  <c r="G40" i="21" s="1"/>
  <c r="S29" i="19"/>
  <c r="U29" i="19" s="1"/>
  <c r="V29" i="19"/>
  <c r="S32" i="19"/>
  <c r="U32" i="19" s="1"/>
  <c r="V32" i="19"/>
  <c r="I21" i="20"/>
  <c r="S33" i="19"/>
  <c r="U33" i="19" s="1"/>
  <c r="V33" i="19"/>
  <c r="M54" i="18"/>
  <c r="S34" i="19"/>
  <c r="U34" i="19" s="1"/>
  <c r="V34" i="19"/>
  <c r="O25" i="18"/>
  <c r="K20" i="18" s="1"/>
  <c r="B133" i="17" s="1"/>
  <c r="O57" i="18"/>
  <c r="K55" i="18" s="1"/>
  <c r="B168" i="17" s="1"/>
  <c r="H174" i="17"/>
  <c r="H177" i="17" s="1"/>
  <c r="S104" i="17"/>
  <c r="M33" i="18"/>
  <c r="X41" i="20"/>
  <c r="U41" i="20"/>
  <c r="V36" i="19"/>
  <c r="S36" i="19"/>
  <c r="U36" i="19" s="1"/>
  <c r="X35" i="20"/>
  <c r="U35" i="20"/>
  <c r="S31" i="19"/>
  <c r="U31" i="19" s="1"/>
  <c r="V31" i="19"/>
  <c r="O54" i="18"/>
  <c r="K51" i="18" s="1"/>
  <c r="B164" i="17" s="1"/>
  <c r="M40" i="18"/>
  <c r="X42" i="20"/>
  <c r="U42" i="20"/>
  <c r="O40" i="18"/>
  <c r="K37" i="18" s="1"/>
  <c r="B150" i="17" s="1"/>
  <c r="U54" i="20"/>
  <c r="X54" i="20"/>
  <c r="V39" i="19"/>
  <c r="S39" i="19"/>
  <c r="U39" i="19" s="1"/>
  <c r="V41" i="19"/>
  <c r="S41" i="19"/>
  <c r="U41" i="19" s="1"/>
  <c r="X50" i="20"/>
  <c r="U50" i="20"/>
  <c r="H156" i="17"/>
  <c r="D44" i="21"/>
  <c r="G44" i="21" s="1"/>
  <c r="O11" i="18"/>
  <c r="K9" i="18" s="1"/>
  <c r="B122" i="17" s="1"/>
  <c r="M25" i="18"/>
  <c r="O30" i="18"/>
  <c r="K28" i="18" s="1"/>
  <c r="B141" i="17" s="1"/>
  <c r="B131" i="17" l="1"/>
  <c r="L42" i="19"/>
  <c r="B124" i="17"/>
  <c r="B149" i="17"/>
  <c r="P42" i="19"/>
  <c r="Q25" i="19" s="1"/>
  <c r="B167" i="17"/>
  <c r="B162" i="17"/>
  <c r="E175" i="17"/>
  <c r="E177" i="17" s="1"/>
  <c r="D177" i="17"/>
  <c r="N60" i="20"/>
  <c r="O25" i="20" s="1"/>
  <c r="K58" i="18"/>
  <c r="B159" i="17"/>
  <c r="B143" i="17"/>
  <c r="R60" i="20"/>
  <c r="S25" i="20" s="1"/>
  <c r="B153" i="17"/>
  <c r="B170" i="17"/>
  <c r="B172" i="17" s="1"/>
  <c r="B178" i="17" s="1"/>
  <c r="B146" i="17"/>
  <c r="B138" i="17"/>
  <c r="T25" i="20" l="1"/>
  <c r="R25" i="19"/>
  <c r="S28" i="20"/>
  <c r="T28" i="20" s="1"/>
  <c r="S52" i="20"/>
  <c r="T52" i="20" s="1"/>
  <c r="S34" i="20"/>
  <c r="T34" i="20" s="1"/>
  <c r="S47" i="20"/>
  <c r="T47" i="20" s="1"/>
  <c r="S55" i="20"/>
  <c r="T55" i="20" s="1"/>
  <c r="O42" i="19"/>
  <c r="M27" i="19"/>
  <c r="M40" i="19"/>
  <c r="M35" i="19"/>
  <c r="M38" i="19"/>
  <c r="M28" i="19"/>
  <c r="Q60" i="20"/>
  <c r="O47" i="20"/>
  <c r="Q47" i="20" s="1"/>
  <c r="V47" i="20" s="1"/>
  <c r="E103" i="20" s="1"/>
  <c r="O28" i="20"/>
  <c r="Q28" i="20" s="1"/>
  <c r="V28" i="20" s="1"/>
  <c r="E80" i="20" s="1"/>
  <c r="O34" i="20"/>
  <c r="Q34" i="20" s="1"/>
  <c r="V34" i="20" s="1"/>
  <c r="E87" i="20" s="1"/>
  <c r="O55" i="20"/>
  <c r="Q55" i="20" s="1"/>
  <c r="V55" i="20" s="1"/>
  <c r="E113" i="20" s="1"/>
  <c r="O52" i="20"/>
  <c r="Q52" i="20" s="1"/>
  <c r="V52" i="20" s="1"/>
  <c r="E109" i="20" s="1"/>
  <c r="M25" i="19"/>
  <c r="M42" i="19" s="1"/>
  <c r="Q28" i="19"/>
  <c r="R28" i="19" s="1"/>
  <c r="Q27" i="19"/>
  <c r="R27" i="19" s="1"/>
  <c r="Q38" i="19"/>
  <c r="R38" i="19" s="1"/>
  <c r="Q40" i="19"/>
  <c r="R40" i="19" s="1"/>
  <c r="Q35" i="19"/>
  <c r="R35" i="19" s="1"/>
  <c r="V40" i="19" l="1"/>
  <c r="S40" i="19"/>
  <c r="V38" i="19"/>
  <c r="S38" i="19"/>
  <c r="G109" i="20"/>
  <c r="T110" i="20"/>
  <c r="C109" i="20"/>
  <c r="G110" i="20"/>
  <c r="D161" i="17" s="1"/>
  <c r="E161" i="17" s="1"/>
  <c r="T109" i="20"/>
  <c r="T111" i="20" s="1"/>
  <c r="U111" i="20"/>
  <c r="S35" i="19"/>
  <c r="V35" i="19"/>
  <c r="G87" i="20"/>
  <c r="D132" i="17" s="1"/>
  <c r="C87" i="20"/>
  <c r="T84" i="20"/>
  <c r="T85" i="20"/>
  <c r="G81" i="20"/>
  <c r="D126" i="17" s="1"/>
  <c r="E126" i="17" s="1"/>
  <c r="G82" i="20"/>
  <c r="D127" i="17" s="1"/>
  <c r="E127" i="17" s="1"/>
  <c r="U86" i="20"/>
  <c r="T82" i="20"/>
  <c r="C80" i="20"/>
  <c r="T81" i="20"/>
  <c r="T80" i="20"/>
  <c r="T83" i="20"/>
  <c r="G83" i="20"/>
  <c r="D128" i="17" s="1"/>
  <c r="E128" i="17" s="1"/>
  <c r="G85" i="20"/>
  <c r="D130" i="17" s="1"/>
  <c r="E130" i="17" s="1"/>
  <c r="G84" i="20"/>
  <c r="D129" i="17" s="1"/>
  <c r="E129" i="17" s="1"/>
  <c r="O25" i="19"/>
  <c r="T25" i="19" s="1"/>
  <c r="O27" i="19"/>
  <c r="T27" i="19" s="1"/>
  <c r="F39" i="17" s="1"/>
  <c r="O38" i="19"/>
  <c r="T38" i="19" s="1"/>
  <c r="F50" i="17" s="1"/>
  <c r="O40" i="19"/>
  <c r="T40" i="19" s="1"/>
  <c r="F52" i="17" s="1"/>
  <c r="O35" i="19"/>
  <c r="T35" i="19" s="1"/>
  <c r="F47" i="17" s="1"/>
  <c r="O28" i="19"/>
  <c r="T28" i="19" s="1"/>
  <c r="F40" i="17" s="1"/>
  <c r="Q42" i="20"/>
  <c r="V42" i="20" s="1"/>
  <c r="Q44" i="20"/>
  <c r="V44" i="20" s="1"/>
  <c r="Q26" i="20"/>
  <c r="V26" i="20" s="1"/>
  <c r="Q45" i="20"/>
  <c r="V45" i="20" s="1"/>
  <c r="Q50" i="20"/>
  <c r="V50" i="20" s="1"/>
  <c r="Q51" i="20"/>
  <c r="V51" i="20" s="1"/>
  <c r="Q35" i="20"/>
  <c r="V35" i="20" s="1"/>
  <c r="Q40" i="20"/>
  <c r="V40" i="20" s="1"/>
  <c r="Q54" i="20"/>
  <c r="V54" i="20" s="1"/>
  <c r="Q58" i="20"/>
  <c r="V58" i="20" s="1"/>
  <c r="Q41" i="20"/>
  <c r="V41" i="20" s="1"/>
  <c r="U34" i="20"/>
  <c r="W34" i="20" s="1"/>
  <c r="X34" i="20"/>
  <c r="T115" i="20"/>
  <c r="G114" i="20"/>
  <c r="D165" i="17" s="1"/>
  <c r="E165" i="17" s="1"/>
  <c r="T114" i="20"/>
  <c r="U116" i="20"/>
  <c r="T113" i="20"/>
  <c r="T116" i="20" s="1"/>
  <c r="C113" i="20"/>
  <c r="G115" i="20"/>
  <c r="D166" i="17" s="1"/>
  <c r="E166" i="17" s="1"/>
  <c r="U47" i="20"/>
  <c r="W47" i="20" s="1"/>
  <c r="X47" i="20"/>
  <c r="Q25" i="20"/>
  <c r="V28" i="19"/>
  <c r="S28" i="19"/>
  <c r="U28" i="19" s="1"/>
  <c r="X28" i="20"/>
  <c r="U28" i="20"/>
  <c r="W28" i="20" s="1"/>
  <c r="O60" i="20"/>
  <c r="S27" i="19"/>
  <c r="U27" i="19" s="1"/>
  <c r="V27" i="19"/>
  <c r="U52" i="20"/>
  <c r="W52" i="20" s="1"/>
  <c r="X52" i="20"/>
  <c r="Q42" i="19"/>
  <c r="S60" i="20"/>
  <c r="G104" i="20"/>
  <c r="D152" i="17" s="1"/>
  <c r="E152" i="17" s="1"/>
  <c r="G105" i="20"/>
  <c r="D151" i="17" s="1"/>
  <c r="E151" i="17" s="1"/>
  <c r="U106" i="20"/>
  <c r="T103" i="20"/>
  <c r="T104" i="20"/>
  <c r="T105" i="20"/>
  <c r="C103" i="20"/>
  <c r="X55" i="20"/>
  <c r="U55" i="20"/>
  <c r="W55" i="20" s="1"/>
  <c r="R42" i="19"/>
  <c r="V42" i="19" s="1"/>
  <c r="X42" i="19" s="1"/>
  <c r="S25" i="19"/>
  <c r="V25" i="19"/>
  <c r="T60" i="20"/>
  <c r="X60" i="20" s="1"/>
  <c r="Z60" i="20" s="1"/>
  <c r="X25" i="20"/>
  <c r="U25" i="20"/>
  <c r="E112" i="20" l="1"/>
  <c r="W54" i="20"/>
  <c r="E117" i="20"/>
  <c r="W58" i="20"/>
  <c r="E95" i="20"/>
  <c r="W41" i="20"/>
  <c r="E96" i="20"/>
  <c r="W42" i="20"/>
  <c r="E77" i="20"/>
  <c r="W26" i="20"/>
  <c r="Q61" i="20"/>
  <c r="V25" i="20"/>
  <c r="E99" i="20"/>
  <c r="W44" i="20"/>
  <c r="E107" i="20"/>
  <c r="W50" i="20"/>
  <c r="D48" i="21"/>
  <c r="G48" i="21" s="1"/>
  <c r="H165" i="17"/>
  <c r="E100" i="20"/>
  <c r="W45" i="20"/>
  <c r="V116" i="20"/>
  <c r="G113" i="20" s="1"/>
  <c r="E88" i="20"/>
  <c r="W35" i="20"/>
  <c r="U25" i="19"/>
  <c r="S42" i="19"/>
  <c r="E108" i="20"/>
  <c r="W51" i="20"/>
  <c r="U35" i="19"/>
  <c r="C164" i="17"/>
  <c r="N25" i="17"/>
  <c r="D52" i="17"/>
  <c r="V86" i="20"/>
  <c r="G80" i="20" s="1"/>
  <c r="V111" i="20"/>
  <c r="H130" i="17"/>
  <c r="D34" i="21"/>
  <c r="G34" i="21" s="1"/>
  <c r="D49" i="21"/>
  <c r="G49" i="21" s="1"/>
  <c r="H166" i="17"/>
  <c r="T42" i="19"/>
  <c r="F37" i="17"/>
  <c r="U60" i="20"/>
  <c r="W25" i="20"/>
  <c r="H161" i="17"/>
  <c r="D47" i="21"/>
  <c r="G47" i="21" s="1"/>
  <c r="D39" i="17"/>
  <c r="C125" i="17"/>
  <c r="N12" i="17"/>
  <c r="D30" i="21"/>
  <c r="G30" i="21" s="1"/>
  <c r="H126" i="17"/>
  <c r="D43" i="21"/>
  <c r="G43" i="21" s="1"/>
  <c r="H151" i="17"/>
  <c r="C160" i="17"/>
  <c r="D50" i="17"/>
  <c r="N23" i="17"/>
  <c r="D42" i="21"/>
  <c r="G42" i="21" s="1"/>
  <c r="H152" i="17"/>
  <c r="E94" i="20"/>
  <c r="W40" i="20"/>
  <c r="D160" i="17"/>
  <c r="G111" i="20"/>
  <c r="D162" i="17" s="1"/>
  <c r="D32" i="21"/>
  <c r="G32" i="21" s="1"/>
  <c r="H128" i="17"/>
  <c r="U38" i="19"/>
  <c r="D40" i="17"/>
  <c r="N13" i="17"/>
  <c r="C132" i="17"/>
  <c r="E132" i="17" s="1"/>
  <c r="T86" i="20"/>
  <c r="N20" i="17"/>
  <c r="D47" i="17"/>
  <c r="C150" i="17"/>
  <c r="D31" i="21"/>
  <c r="G31" i="21" s="1"/>
  <c r="H127" i="17"/>
  <c r="U40" i="19"/>
  <c r="D33" i="21"/>
  <c r="G33" i="21" s="1"/>
  <c r="H129" i="17"/>
  <c r="T106" i="20"/>
  <c r="V106" i="20" s="1"/>
  <c r="G103" i="20" s="1"/>
  <c r="G106" i="20" l="1"/>
  <c r="D153" i="17" s="1"/>
  <c r="D150" i="17"/>
  <c r="G94" i="20"/>
  <c r="D139" i="17" s="1"/>
  <c r="E139" i="17" s="1"/>
  <c r="C94" i="20"/>
  <c r="C121" i="17"/>
  <c r="N10" i="17"/>
  <c r="D37" i="17"/>
  <c r="D54" i="17" s="1"/>
  <c r="F54" i="17"/>
  <c r="T23" i="17"/>
  <c r="P23" i="17"/>
  <c r="S23" i="17" s="1"/>
  <c r="G116" i="20"/>
  <c r="D167" i="17" s="1"/>
  <c r="D164" i="17"/>
  <c r="C162" i="17"/>
  <c r="E160" i="17"/>
  <c r="P12" i="17"/>
  <c r="S12" i="17" s="1"/>
  <c r="T12" i="17"/>
  <c r="V60" i="20"/>
  <c r="E76" i="20"/>
  <c r="U42" i="19"/>
  <c r="G107" i="20"/>
  <c r="D154" i="17" s="1"/>
  <c r="E154" i="17" s="1"/>
  <c r="C107" i="20"/>
  <c r="T96" i="20"/>
  <c r="T97" i="20"/>
  <c r="G97" i="20"/>
  <c r="D142" i="17" s="1"/>
  <c r="E142" i="17" s="1"/>
  <c r="C96" i="20"/>
  <c r="U98" i="20"/>
  <c r="C131" i="17"/>
  <c r="C167" i="17"/>
  <c r="C172" i="17" s="1"/>
  <c r="C178" i="17" s="1"/>
  <c r="E164" i="17"/>
  <c r="G95" i="20"/>
  <c r="D140" i="17" s="1"/>
  <c r="E140" i="17" s="1"/>
  <c r="C95" i="20"/>
  <c r="D125" i="17"/>
  <c r="E125" i="17" s="1"/>
  <c r="G86" i="20"/>
  <c r="D131" i="17" s="1"/>
  <c r="T101" i="20"/>
  <c r="U102" i="20"/>
  <c r="T100" i="20"/>
  <c r="T102" i="20" s="1"/>
  <c r="G101" i="20"/>
  <c r="D148" i="17" s="1"/>
  <c r="E148" i="17" s="1"/>
  <c r="C100" i="20"/>
  <c r="U79" i="20"/>
  <c r="T77" i="20"/>
  <c r="T79" i="20" s="1"/>
  <c r="T78" i="20"/>
  <c r="G78" i="20"/>
  <c r="D123" i="17" s="1"/>
  <c r="E123" i="17" s="1"/>
  <c r="C77" i="20"/>
  <c r="T25" i="17"/>
  <c r="P25" i="17"/>
  <c r="S25" i="17" s="1"/>
  <c r="T20" i="17"/>
  <c r="P20" i="17"/>
  <c r="S20" i="17" s="1"/>
  <c r="U119" i="20"/>
  <c r="T117" i="20"/>
  <c r="G118" i="20"/>
  <c r="D169" i="17" s="1"/>
  <c r="E169" i="17" s="1"/>
  <c r="T118" i="20"/>
  <c r="C117" i="20"/>
  <c r="W60" i="20"/>
  <c r="T91" i="20"/>
  <c r="T92" i="20"/>
  <c r="G89" i="20"/>
  <c r="D134" i="17" s="1"/>
  <c r="E134" i="17" s="1"/>
  <c r="G90" i="20"/>
  <c r="D135" i="17" s="1"/>
  <c r="E135" i="17" s="1"/>
  <c r="G91" i="20"/>
  <c r="D136" i="17" s="1"/>
  <c r="E136" i="17" s="1"/>
  <c r="G92" i="20"/>
  <c r="D137" i="17" s="1"/>
  <c r="E137" i="17" s="1"/>
  <c r="T88" i="20"/>
  <c r="T90" i="20"/>
  <c r="U93" i="20"/>
  <c r="T89" i="20"/>
  <c r="C88" i="20"/>
  <c r="P13" i="17"/>
  <c r="S13" i="17" s="1"/>
  <c r="T13" i="17"/>
  <c r="G108" i="20"/>
  <c r="C108" i="20"/>
  <c r="G99" i="20"/>
  <c r="C99" i="20"/>
  <c r="C153" i="17"/>
  <c r="E150" i="17"/>
  <c r="H132" i="17"/>
  <c r="D15" i="21"/>
  <c r="G15" i="21" s="1"/>
  <c r="C112" i="20"/>
  <c r="G112" i="20"/>
  <c r="D163" i="17" s="1"/>
  <c r="E163" i="17" s="1"/>
  <c r="H125" i="17" l="1"/>
  <c r="E131" i="17"/>
  <c r="H131" i="17" s="1"/>
  <c r="D14" i="21"/>
  <c r="G14" i="21" s="1"/>
  <c r="D37" i="21"/>
  <c r="G37" i="21" s="1"/>
  <c r="H136" i="17"/>
  <c r="T119" i="20"/>
  <c r="V102" i="20"/>
  <c r="G100" i="20" s="1"/>
  <c r="D27" i="21"/>
  <c r="G27" i="21" s="1"/>
  <c r="H164" i="17"/>
  <c r="E167" i="17"/>
  <c r="H167" i="17" s="1"/>
  <c r="D50" i="21"/>
  <c r="G50" i="21" s="1"/>
  <c r="H169" i="17"/>
  <c r="V79" i="20"/>
  <c r="G77" i="20" s="1"/>
  <c r="H134" i="17"/>
  <c r="D35" i="21"/>
  <c r="G35" i="21" s="1"/>
  <c r="D41" i="21"/>
  <c r="G41" i="21" s="1"/>
  <c r="H148" i="17"/>
  <c r="H137" i="17"/>
  <c r="D38" i="21"/>
  <c r="G38" i="21" s="1"/>
  <c r="V119" i="20"/>
  <c r="G117" i="20" s="1"/>
  <c r="D29" i="21"/>
  <c r="G29" i="21" s="1"/>
  <c r="H123" i="17"/>
  <c r="H140" i="17"/>
  <c r="D18" i="21"/>
  <c r="G18" i="21" s="1"/>
  <c r="H135" i="17"/>
  <c r="D36" i="21"/>
  <c r="G36" i="21" s="1"/>
  <c r="H142" i="17"/>
  <c r="D39" i="21"/>
  <c r="G39" i="21" s="1"/>
  <c r="T98" i="20"/>
  <c r="V98" i="20" s="1"/>
  <c r="G96" i="20" s="1"/>
  <c r="H154" i="17"/>
  <c r="D23" i="21"/>
  <c r="G23" i="21" s="1"/>
  <c r="D26" i="21"/>
  <c r="G26" i="21" s="1"/>
  <c r="H163" i="17"/>
  <c r="E120" i="20"/>
  <c r="G76" i="20"/>
  <c r="D121" i="17" s="1"/>
  <c r="C76" i="20"/>
  <c r="C120" i="20" s="1"/>
  <c r="E153" i="17"/>
  <c r="H153" i="17" s="1"/>
  <c r="H150" i="17"/>
  <c r="D22" i="21"/>
  <c r="G22" i="21" s="1"/>
  <c r="H160" i="17"/>
  <c r="D25" i="21"/>
  <c r="G25" i="21" s="1"/>
  <c r="E162" i="17"/>
  <c r="H162" i="17" s="1"/>
  <c r="D144" i="17"/>
  <c r="E144" i="17" s="1"/>
  <c r="D146" i="17"/>
  <c r="D159" i="17"/>
  <c r="D155" i="17"/>
  <c r="E155" i="17" s="1"/>
  <c r="N27" i="17"/>
  <c r="P10" i="17"/>
  <c r="T10" i="17"/>
  <c r="E121" i="17"/>
  <c r="D17" i="21"/>
  <c r="G17" i="21" s="1"/>
  <c r="H139" i="17"/>
  <c r="T93" i="20"/>
  <c r="V93" i="20" s="1"/>
  <c r="G88" i="20" s="1"/>
  <c r="G93" i="20" l="1"/>
  <c r="D138" i="17" s="1"/>
  <c r="D133" i="17"/>
  <c r="E133" i="17" s="1"/>
  <c r="G98" i="20"/>
  <c r="D143" i="17" s="1"/>
  <c r="D141" i="17"/>
  <c r="E141" i="17" s="1"/>
  <c r="H155" i="17"/>
  <c r="D24" i="21"/>
  <c r="G24" i="21" s="1"/>
  <c r="E159" i="17"/>
  <c r="H159" i="17" s="1"/>
  <c r="G120" i="20"/>
  <c r="D168" i="17"/>
  <c r="E168" i="17" s="1"/>
  <c r="G102" i="20"/>
  <c r="D149" i="17" s="1"/>
  <c r="D147" i="17"/>
  <c r="E147" i="17" s="1"/>
  <c r="H121" i="17"/>
  <c r="D12" i="21"/>
  <c r="E146" i="17"/>
  <c r="H146" i="17" s="1"/>
  <c r="H144" i="17"/>
  <c r="D20" i="21"/>
  <c r="G20" i="21" s="1"/>
  <c r="D122" i="17"/>
  <c r="E122" i="17" s="1"/>
  <c r="G79" i="20"/>
  <c r="D124" i="17" s="1"/>
  <c r="S10" i="17"/>
  <c r="S27" i="17" s="1"/>
  <c r="P27" i="17"/>
  <c r="S30" i="17" s="1"/>
  <c r="H147" i="17" l="1"/>
  <c r="E149" i="17"/>
  <c r="H149" i="17" s="1"/>
  <c r="D21" i="21"/>
  <c r="G21" i="21" s="1"/>
  <c r="G121" i="20"/>
  <c r="D170" i="17"/>
  <c r="D172" i="17" s="1"/>
  <c r="D178" i="17" s="1"/>
  <c r="G12" i="21"/>
  <c r="H141" i="17"/>
  <c r="E143" i="17"/>
  <c r="H143" i="17" s="1"/>
  <c r="D19" i="21"/>
  <c r="G19" i="21" s="1"/>
  <c r="D28" i="21"/>
  <c r="G28" i="21" s="1"/>
  <c r="H168" i="17"/>
  <c r="E170" i="17"/>
  <c r="D16" i="21"/>
  <c r="G16" i="21" s="1"/>
  <c r="H133" i="17"/>
  <c r="E138" i="17"/>
  <c r="H138" i="17" s="1"/>
  <c r="H122" i="17"/>
  <c r="E124" i="17"/>
  <c r="H124" i="17" s="1"/>
  <c r="D13" i="21"/>
  <c r="G13" i="21" s="1"/>
  <c r="H170" i="17" l="1"/>
  <c r="H172" i="17" s="1"/>
  <c r="E172" i="17"/>
  <c r="D51" i="21"/>
  <c r="G51" i="21" s="1"/>
  <c r="G55" i="21" s="1"/>
  <c r="D54" i="21"/>
  <c r="G54" i="21" s="1"/>
  <c r="H173" i="17" l="1"/>
  <c r="E178" i="17"/>
  <c r="H178" i="17"/>
  <c r="C4" i="12"/>
  <c r="C19" i="12" s="1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<sst xmlns="http://schemas.openxmlformats.org/spreadsheetml/2006/main" count="1754" uniqueCount="805">
  <si>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</si>
  <si>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</si>
  <si>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</si>
  <si>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</si>
  <si>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</si>
  <si>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</si>
  <si>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</si>
  <si>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</si>
  <si>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</si>
  <si>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</si>
  <si>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</si>
  <si>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</si>
  <si>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</si>
  <si>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</si>
  <si>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</si>
  <si>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</si>
  <si>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</si>
  <si>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</si>
  <si>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</si>
  <si>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</si>
  <si>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</si>
  <si>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</si>
  <si>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</si>
  <si>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</si>
  <si>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</si>
  <si>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</si>
  <si>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</si>
  <si>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</si>
  <si>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</si>
  <si>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</si>
  <si>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</si>
  <si>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</si>
  <si>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</si>
  <si>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</si>
  <si>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</si>
  <si>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</si>
  <si>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</si>
  <si>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</si>
  <si>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Al Park Petroleum Inc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</si>
  <si>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</si>
  <si>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</si>
  <si>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</si>
  <si>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</si>
  <si>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</si>
  <si>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</si>
  <si>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</si>
  <si>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</si>
  <si>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</si>
  <si>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</si>
  <si>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</si>
  <si>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</si>
  <si>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</si>
  <si>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</si>
  <si>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</si>
  <si>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</si>
  <si>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</si>
  <si>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</si>
  <si>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</si>
  <si>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</si>
  <si>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</si>
  <si>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</si>
  <si>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</si>
  <si>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</si>
  <si>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</si>
  <si>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</si>
  <si>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</si>
  <si>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</si>
  <si>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Time Oil Co</t>
  </si>
  <si>
    <t>Tom's Sierra Co Inc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</si>
  <si>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</si>
  <si>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</si>
  <si>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</si>
  <si>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</si>
  <si>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</si>
  <si>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</si>
  <si>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</si>
  <si>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</si>
  <si>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</si>
  <si>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</si>
  <si>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</si>
  <si>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</si>
  <si>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</si>
  <si>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</si>
  <si>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</si>
  <si>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</si>
  <si>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</si>
  <si>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</si>
  <si>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</si>
  <si>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</si>
  <si>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</si>
  <si>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</si>
  <si>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</si>
  <si>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</si>
  <si>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</si>
  <si>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Haycock Distributing Co.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</si>
  <si>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</si>
  <si>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</si>
  <si>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</si>
  <si>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</si>
  <si>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</si>
  <si>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</si>
  <si>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Al Park Petroleum</t>
  </si>
  <si>
    <t>Rebel Oil Co., Inc.</t>
  </si>
  <si>
    <t>River City Petroleum</t>
  </si>
  <si>
    <t>Sevier Valley Oil Co, Inc</t>
  </si>
  <si>
    <t>check figure</t>
  </si>
  <si>
    <t>SCHEDULE 3</t>
  </si>
  <si>
    <t>5.35 county gross tax</t>
  </si>
  <si>
    <t>Page 1</t>
  </si>
  <si>
    <t>Less wildlife</t>
  </si>
  <si>
    <t>Page 4</t>
  </si>
  <si>
    <t>1.75 CENT STATE TAX (COUNTY ALLOCATION)</t>
  </si>
  <si>
    <t>Less Admin Fees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</si>
  <si>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</si>
  <si>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</si>
  <si>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</si>
  <si>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</si>
  <si>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</si>
  <si>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1.75=32.7103%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</si>
  <si>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</si>
  <si>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</si>
  <si>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</si>
  <si>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</si>
  <si>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</si>
  <si>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</si>
  <si>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</si>
  <si>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</si>
  <si>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1.25=23.3645%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</si>
  <si>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</si>
  <si>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</si>
  <si>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</si>
  <si>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</si>
  <si>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</si>
  <si>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</si>
  <si>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</si>
  <si>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2.35=43.9252%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</si>
  <si>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</si>
  <si>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</si>
  <si>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</si>
  <si>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</si>
  <si>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</si>
  <si>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</si>
  <si>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</si>
  <si>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</si>
  <si>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</si>
  <si>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</si>
  <si>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</si>
  <si>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</si>
  <si>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</si>
  <si>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</si>
  <si>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</si>
  <si>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</si>
  <si>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</si>
  <si>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</si>
  <si>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</si>
  <si>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</si>
  <si>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</si>
  <si>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</si>
  <si>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</si>
  <si>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</si>
  <si>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</si>
  <si>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</si>
  <si>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</si>
  <si>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</si>
  <si>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</si>
  <si>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</si>
  <si>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</si>
  <si>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</si>
  <si>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</si>
  <si>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</si>
  <si>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</si>
  <si>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</si>
  <si>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</si>
  <si>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</si>
  <si>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</si>
  <si>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</si>
  <si>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</si>
  <si>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</si>
  <si>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</si>
  <si>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</si>
  <si>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</si>
  <si>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</si>
  <si>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</si>
  <si>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</si>
  <si>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</si>
  <si>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</si>
  <si>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</si>
  <si>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</si>
  <si>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</si>
  <si>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</si>
  <si>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</si>
  <si>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</si>
  <si>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</si>
  <si>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</si>
  <si>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</si>
  <si>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</si>
  <si>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</si>
  <si>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</si>
  <si>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</si>
  <si>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</si>
  <si>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</si>
  <si>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</si>
  <si>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</si>
  <si>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</si>
  <si>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</si>
  <si>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</si>
  <si>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</si>
  <si>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</si>
  <si>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</si>
  <si>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</si>
  <si>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</si>
  <si>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</si>
  <si>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</si>
  <si>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</si>
  <si>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</si>
  <si>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</si>
  <si>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</si>
  <si>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</si>
  <si>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</si>
  <si>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</si>
  <si>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</si>
  <si>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</si>
  <si>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</si>
  <si>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</si>
  <si>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</si>
  <si>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</si>
  <si>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</si>
  <si>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</si>
  <si>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</si>
  <si>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</si>
  <si>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</si>
  <si>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</si>
  <si>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</si>
  <si>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</si>
  <si>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</si>
  <si>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</si>
  <si>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</si>
  <si>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</si>
  <si>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</si>
  <si>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</si>
  <si>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</si>
  <si>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</si>
  <si>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</si>
  <si>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</si>
  <si>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</si>
  <si>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</si>
  <si>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</si>
  <si>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North Las Vegas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</si>
  <si>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</si>
  <si>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</si>
  <si>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</si>
  <si>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</si>
  <si>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</si>
  <si>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</si>
  <si>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</si>
  <si>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</si>
  <si>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</si>
  <si>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</si>
  <si>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</si>
  <si>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</si>
  <si>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</si>
  <si>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</si>
  <si>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</si>
  <si>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</si>
  <si>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MERCURY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</si>
  <si>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</si>
  <si>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</si>
  <si>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</si>
  <si>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</si>
  <si>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</si>
  <si>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</si>
  <si>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</si>
  <si>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</si>
  <si>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</si>
  <si>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</si>
  <si>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</si>
  <si>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</si>
  <si>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</si>
  <si>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</si>
  <si>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</si>
  <si>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</si>
  <si>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</si>
  <si>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</si>
  <si>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</si>
  <si>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</si>
  <si>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</si>
  <si>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</si>
  <si>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</si>
  <si>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</si>
  <si>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</si>
  <si>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</si>
  <si>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</si>
  <si>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</si>
  <si>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</si>
  <si>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</si>
  <si>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</si>
  <si>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</si>
  <si>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</si>
  <si>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</si>
  <si>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</si>
  <si>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</si>
  <si>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</si>
  <si>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</si>
  <si>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</si>
  <si>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</si>
  <si>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</si>
  <si>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</si>
  <si>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</si>
  <si>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Sinclair Oil Corp.</t>
  </si>
  <si>
    <t>Sperry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</si>
  <si>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</si>
  <si>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</si>
  <si>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</si>
  <si>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</si>
  <si>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</si>
  <si>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</si>
  <si>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</si>
  <si>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</si>
  <si>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</si>
  <si>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</si>
  <si>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</si>
  <si>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</si>
  <si>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</si>
  <si>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</si>
  <si>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</si>
  <si>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</si>
  <si>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</si>
  <si>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</si>
  <si>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</si>
  <si>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</si>
  <si>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</si>
  <si>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</si>
  <si>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</si>
  <si>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</si>
  <si>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</si>
  <si>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</si>
  <si>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</si>
  <si>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</si>
  <si>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</si>
  <si>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</si>
  <si>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</si>
  <si>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</si>
  <si>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</si>
  <si>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</si>
  <si>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</si>
  <si>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</si>
  <si>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</si>
  <si>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</si>
  <si>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</si>
  <si>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</si>
  <si>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</si>
  <si>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</si>
  <si>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</si>
  <si>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</si>
  <si>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</si>
  <si>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</si>
  <si>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</si>
  <si>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</si>
  <si>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</si>
  <si>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</si>
  <si>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</si>
  <si>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</si>
  <si>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</si>
  <si>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</si>
  <si>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</si>
  <si>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</si>
  <si>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</si>
  <si>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</si>
  <si>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</si>
  <si>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</si>
  <si>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</si>
  <si>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</si>
  <si>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</si>
  <si>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</si>
  <si>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</si>
  <si>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</si>
  <si>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</si>
  <si>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</si>
  <si>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</si>
  <si>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</si>
  <si>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</si>
  <si>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</si>
  <si>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</si>
  <si>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</si>
  <si>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</si>
  <si>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</si>
  <si>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</si>
  <si>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</si>
  <si>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</si>
  <si>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</si>
  <si>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</si>
  <si>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</si>
  <si>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</si>
  <si>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</si>
  <si>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</si>
  <si>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</si>
  <si>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</si>
  <si>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</si>
  <si>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</si>
  <si>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</si>
  <si>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</si>
  <si>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-Total REFUNDS</t>
  </si>
  <si>
    <t>Counties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</si>
  <si>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</si>
  <si>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</si>
  <si>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</si>
  <si>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</si>
  <si>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</si>
  <si>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</si>
  <si>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</si>
  <si>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</si>
  <si>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</si>
  <si>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</si>
  <si>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</si>
  <si>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</si>
  <si>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</si>
  <si>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</si>
  <si>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</si>
  <si>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</si>
  <si>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</si>
  <si>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</si>
  <si>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</si>
  <si>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</si>
  <si>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</si>
  <si>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</si>
  <si>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</si>
  <si>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</si>
  <si>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</si>
  <si>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</si>
  <si>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</si>
  <si>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</si>
  <si>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</si>
  <si>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</si>
  <si>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</si>
  <si>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</si>
  <si>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</si>
  <si>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</si>
  <si>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</si>
  <si>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</si>
  <si>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</si>
  <si>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</si>
  <si>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</si>
  <si>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</si>
  <si>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</si>
  <si>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</si>
  <si>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</si>
  <si>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</si>
  <si>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</si>
  <si>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</si>
  <si>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</si>
  <si>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</si>
  <si>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</si>
  <si>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</si>
  <si>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</si>
  <si>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</si>
  <si>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</si>
  <si>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</si>
  <si>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</si>
  <si>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</si>
  <si>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Future Petroleum</t>
  </si>
  <si>
    <t>MF Barcellos Inc</t>
  </si>
  <si>
    <t>Pennzoil-Quaker State</t>
  </si>
  <si>
    <t>Reno Fuel</t>
  </si>
  <si>
    <t>Ron Menesini Petroleum</t>
  </si>
  <si>
    <t>Ron Menesini</t>
  </si>
  <si>
    <t>Mercury Air Group</t>
  </si>
  <si>
    <t>PHILLIPS</t>
  </si>
  <si>
    <t xml:space="preserve">Ed Staub and Sons Petro </t>
  </si>
  <si>
    <t>ExxonMobil Oil Corp.</t>
  </si>
  <si>
    <t>AGP Corn Processing</t>
  </si>
  <si>
    <t>No Return filed</t>
  </si>
  <si>
    <t>Bennett's &amp; Sons</t>
  </si>
  <si>
    <t>Bradco</t>
  </si>
  <si>
    <t>Cargill Inc</t>
  </si>
  <si>
    <t>Carver's Distributing</t>
  </si>
  <si>
    <t>Mobil Diesel Supply</t>
  </si>
  <si>
    <t>Morgan Stanley</t>
  </si>
  <si>
    <t>Ken Bettridge</t>
  </si>
  <si>
    <t>Southern Counties Oil</t>
  </si>
  <si>
    <t>Tesoro Northwest</t>
  </si>
  <si>
    <t>Ray Bell Oil Company</t>
  </si>
  <si>
    <t>Regent Marketing Company</t>
  </si>
  <si>
    <t>Sierra Tobacco</t>
  </si>
  <si>
    <t>Southwest Jet Fuel Co</t>
  </si>
  <si>
    <t>Tauber Oil Co</t>
  </si>
  <si>
    <t>Union Distributing Co</t>
  </si>
  <si>
    <t>United Aviation Fuels</t>
  </si>
  <si>
    <t>United Liquid Gas Co</t>
  </si>
  <si>
    <t>Westport Petroleum</t>
  </si>
  <si>
    <t>Woody's Enterprises</t>
  </si>
  <si>
    <t>Nobel Americas Corp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</si>
  <si>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</si>
  <si>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</si>
  <si>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</si>
  <si>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</si>
  <si>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</si>
  <si>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</si>
  <si>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</si>
  <si>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Rhinehart Oil Co</t>
  </si>
  <si>
    <t xml:space="preserve">Equilon </t>
  </si>
  <si>
    <t>OOR</t>
  </si>
  <si>
    <t>*State/County gallons discrepancies as a result of reporting error by Petroleum Distributors.</t>
  </si>
  <si>
    <t>Fastrip Oil Company</t>
  </si>
  <si>
    <t>THIRD</t>
  </si>
  <si>
    <t>Fearless Farris Wholesale</t>
  </si>
  <si>
    <t>EXXON</t>
  </si>
  <si>
    <t>MOBIL OIL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</si>
  <si>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</si>
  <si>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</si>
  <si>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</si>
  <si>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</si>
  <si>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</si>
  <si>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</si>
  <si>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</si>
  <si>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</si>
  <si>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</si>
  <si>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</si>
  <si>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</si>
  <si>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</si>
  <si>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</si>
  <si>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</si>
  <si>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</si>
  <si>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</si>
  <si>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</si>
  <si>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</si>
  <si>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</si>
  <si>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</si>
  <si>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</si>
  <si>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</si>
  <si>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</si>
  <si>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</si>
  <si>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</si>
  <si>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</si>
  <si>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</si>
  <si>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</si>
  <si>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</si>
  <si>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</si>
  <si>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</si>
  <si>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</si>
  <si>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</si>
  <si>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</si>
  <si>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</si>
  <si>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</si>
  <si>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</si>
  <si>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</si>
  <si>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</si>
  <si>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</si>
  <si>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</si>
  <si>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</si>
  <si>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</si>
  <si>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</si>
  <si>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</si>
  <si>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</si>
  <si>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</si>
  <si>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</si>
  <si>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</si>
  <si>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</si>
  <si>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</si>
  <si>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</si>
  <si>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</si>
  <si>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</si>
  <si>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</si>
  <si>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</si>
  <si>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</si>
  <si>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</si>
  <si>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</si>
  <si>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Douglas County AP</t>
  </si>
  <si>
    <t>Churchill Cnty Other</t>
  </si>
  <si>
    <t>Winnemucca AP</t>
  </si>
  <si>
    <t>Battle Mountain AP</t>
  </si>
  <si>
    <t>Tonopah AP</t>
  </si>
  <si>
    <t>Washoe Cnty Other</t>
  </si>
  <si>
    <t>Total Deposit</t>
  </si>
  <si>
    <t>Holding Acct</t>
  </si>
  <si>
    <t>Special Fuel</t>
  </si>
  <si>
    <t>OOR Total</t>
  </si>
  <si>
    <t>Sinclair Oil Corp</t>
  </si>
  <si>
    <t>Tower Energy</t>
  </si>
  <si>
    <t>Valero Marketing</t>
  </si>
  <si>
    <t>Elko Cnty Other</t>
  </si>
  <si>
    <t xml:space="preserve">WESTERN 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</si>
  <si>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</si>
  <si>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</si>
  <si>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</si>
  <si>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</si>
  <si>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</si>
  <si>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</si>
  <si>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</si>
  <si>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Shell Trading</t>
  </si>
  <si>
    <t>Big Sky Fuel Inc.</t>
  </si>
  <si>
    <t>Chevron Phillips Chemical Co. LP</t>
  </si>
  <si>
    <t>Falcon Fuels, Inc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</si>
  <si>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</si>
  <si>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</si>
  <si>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</si>
  <si>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</si>
  <si>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</si>
  <si>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</si>
  <si>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</si>
  <si>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</si>
  <si>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</si>
  <si>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</si>
  <si>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</si>
  <si>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</si>
  <si>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</si>
  <si>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</si>
  <si>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</si>
  <si>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</si>
  <si>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</si>
  <si>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ConocoPhillips</t>
  </si>
  <si>
    <t>Flying J Inc</t>
  </si>
  <si>
    <t>Pyramid Lake Paiute</t>
  </si>
  <si>
    <t>American Airlines</t>
  </si>
  <si>
    <t>Haycock Petroleum</t>
  </si>
  <si>
    <t>Pacific Fuel Trading</t>
  </si>
  <si>
    <t>CONOCO-</t>
  </si>
  <si>
    <t>Citgo Petroleum</t>
  </si>
  <si>
    <t>CL Bryant</t>
  </si>
  <si>
    <t>ConocoPhillips.</t>
  </si>
  <si>
    <t>Terry Oil</t>
  </si>
  <si>
    <t>Western Refining</t>
  </si>
  <si>
    <t>Beneto</t>
  </si>
  <si>
    <t>Flying J</t>
  </si>
  <si>
    <t>Nella Oil</t>
  </si>
  <si>
    <t>Nevada Yellow Cab</t>
  </si>
  <si>
    <t>Rhinehart Oil</t>
  </si>
  <si>
    <t xml:space="preserve">Cottams Oil Co. </t>
  </si>
  <si>
    <t>Clean Fuels</t>
  </si>
  <si>
    <t>GN Renn</t>
  </si>
  <si>
    <t xml:space="preserve">Green River Development </t>
  </si>
  <si>
    <t>Hallum Inc</t>
  </si>
  <si>
    <t>Premium Oil</t>
  </si>
  <si>
    <t>Ramos Strong</t>
  </si>
  <si>
    <t>Tauber Petrochemical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</si>
  <si>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</si>
  <si>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</si>
  <si>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</si>
  <si>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</si>
  <si>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</si>
  <si>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</si>
  <si>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</si>
  <si>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</si>
  <si>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FY03 Distr %</t>
  </si>
  <si>
    <t>Compare to FY03 averages</t>
  </si>
  <si>
    <t>Calculation based on Average Monthly FY03 Allocation</t>
  </si>
  <si>
    <t>Monthly Average (FY03)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</si>
  <si>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</si>
  <si>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</si>
  <si>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</si>
  <si>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</si>
  <si>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</si>
  <si>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</si>
  <si>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</si>
  <si>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</si>
  <si>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</si>
  <si>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</si>
  <si>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</si>
  <si>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</si>
  <si>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</si>
  <si>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</si>
  <si>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</si>
  <si>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</si>
  <si>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</si>
  <si>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</si>
  <si>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</si>
  <si>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</si>
  <si>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</si>
  <si>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</si>
  <si>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</si>
  <si>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</si>
  <si>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</si>
  <si>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</si>
  <si>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 xml:space="preserve">WC Index Gross </t>
  </si>
  <si>
    <t>CPI Multiplier</t>
  </si>
  <si>
    <t>CPI Rates</t>
  </si>
  <si>
    <t>.0175=0.0171402</t>
  </si>
  <si>
    <t>.0125 =0.012243</t>
  </si>
  <si>
    <t>.0235=0.0230168</t>
  </si>
  <si>
    <t>Total .0535=.0524</t>
  </si>
  <si>
    <t>.09=0.0882</t>
  </si>
  <si>
    <t>.01=0.0098</t>
  </si>
  <si>
    <t>Total .1535=.1504</t>
  </si>
  <si>
    <t>Total WCI Collected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</si>
  <si>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</si>
  <si>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</si>
  <si>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</si>
  <si>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</si>
  <si>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</si>
  <si>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</si>
  <si>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</si>
  <si>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</si>
  <si>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</si>
  <si>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</si>
  <si>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</si>
  <si>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</si>
  <si>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</si>
  <si>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</si>
  <si>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Special Fuel Refunds</t>
  </si>
  <si>
    <r>
      <t xml:space="preserve">Due to decimal placement between NDOT and DMV, a rounding adjustment was made to </t>
    </r>
    <r>
      <rPr>
        <i/>
        <sz val="10"/>
        <rFont val="Arial"/>
        <family val="2"/>
      </rPr>
      <t xml:space="preserve">italicized </t>
    </r>
    <r>
      <rPr>
        <sz val="10"/>
        <rFont val="Arial"/>
        <family val="2"/>
      </rPr>
      <t xml:space="preserve">Counties.  </t>
    </r>
  </si>
  <si>
    <t>For Mineral and Storey Counties, the adjustment = + .000015</t>
  </si>
  <si>
    <t>Adjustment represents .01% percent of difference, distributed between the 7 Counties receiving a smaller percentage than NDOT calculated as a result of the decimal placement.  (NDOT only carries decimal 3 places, DMV carries 4 places to lessen rounding errors.)</t>
  </si>
  <si>
    <t>For Clark, Douglas, Elko, Lander and Nye Counties, the adjustment = + .000014.</t>
  </si>
  <si>
    <t>Adjustments were added to each County receiving less than reported by NDOT as a result of the decimal placement.</t>
  </si>
  <si>
    <t>NDOT FY05 (2/3 of % population &amp; 1/3  of % of road miles)</t>
  </si>
  <si>
    <t>% applied to FY05 actuals</t>
  </si>
  <si>
    <t>Monthly Actual(FY05)</t>
  </si>
  <si>
    <t>If actuals are smaller, use FY03 percentages to distribute FY05 money</t>
  </si>
  <si>
    <t>FY05 Money</t>
  </si>
  <si>
    <t>If FY05 actuals are larger than the FY03 average, distribution is done using the table below</t>
  </si>
  <si>
    <t>Counties with positive figures received more via FY05 calc than FY03</t>
  </si>
  <si>
    <t>Diff between FY03 Avg and FY05 Actual</t>
  </si>
  <si>
    <t>Based on 1/4 Area, 1/4 Population, 1/4 Road Miles, 1/4 Vehicle Miles per NRS 365.550</t>
  </si>
  <si>
    <t>Percentages come from "Average Percent" Intracounty Distribution Part 2</t>
  </si>
  <si>
    <t>Adjustment made to Clark County and Boulder City to correct rounding error in Average Percent</t>
  </si>
  <si>
    <t>For Clark, Douglas, Elko, Lander and Nye Counties, the adjustment = + .000014.  Additional adjustment was made to Las Vegas +.000001 to correct percent of total county vs city population percentage.</t>
  </si>
  <si>
    <t>Lander 9¢</t>
  </si>
  <si>
    <t>County CP Index .0084484</t>
  </si>
  <si>
    <t>NEVADA DEPARTMENT OF MOTOR VEHICLES</t>
  </si>
  <si>
    <t>NOVEMBER 2004</t>
  </si>
  <si>
    <t>Aircraft Service International</t>
  </si>
  <si>
    <t>Duck Valley Reservation</t>
  </si>
  <si>
    <t>Penn Octane Corp</t>
  </si>
  <si>
    <t>Washoe Co</t>
  </si>
  <si>
    <t>off due to</t>
  </si>
  <si>
    <t>Trejo Oil Co</t>
  </si>
  <si>
    <t xml:space="preserve">Trejo Oil Co </t>
  </si>
  <si>
    <t>Bay Area Diablo</t>
  </si>
  <si>
    <t>Clean Fuel</t>
  </si>
  <si>
    <t>El Aero Services</t>
  </si>
  <si>
    <t>Henderson AP</t>
  </si>
  <si>
    <t>Epic Aviation</t>
  </si>
  <si>
    <t>Moapa Band of Paiutes</t>
  </si>
  <si>
    <t>Musket Corp</t>
  </si>
  <si>
    <t>Northwesr Airlines</t>
  </si>
  <si>
    <t>Clark off due</t>
  </si>
  <si>
    <t>to Moapa Band</t>
  </si>
  <si>
    <t>Olympic Petroleum LTD</t>
  </si>
  <si>
    <t>Petroleum Wholesale LP</t>
  </si>
  <si>
    <t>Petro Stopping Centers</t>
  </si>
  <si>
    <t>Simons Petroleum</t>
  </si>
  <si>
    <t>Washoe Fuels</t>
  </si>
  <si>
    <t>World Energy</t>
  </si>
  <si>
    <t>Avfuel Corp 2-04 AM</t>
  </si>
  <si>
    <t>Avfuel</t>
  </si>
  <si>
    <t>Avfuel 2-04 AM P &amp; I</t>
  </si>
  <si>
    <t>Maverik 7-03 AM</t>
  </si>
  <si>
    <t>Maverik 8-03 AM</t>
  </si>
  <si>
    <t>Maverik 9-03 AM</t>
  </si>
  <si>
    <t>Maverik 10-03 AM</t>
  </si>
  <si>
    <t>Maverik 11-03 AM</t>
  </si>
  <si>
    <t>Maverik 12-03 AM</t>
  </si>
  <si>
    <t>Maverik 1-04 AM</t>
  </si>
  <si>
    <t>Maverik 2-04 AM</t>
  </si>
  <si>
    <t>Maverik 3-04 AM</t>
  </si>
  <si>
    <t>Maverik 4-04 AM</t>
  </si>
  <si>
    <t>Maverik 5-04 AM</t>
  </si>
  <si>
    <t>Maverik 6-04 AM</t>
  </si>
  <si>
    <t>Maverik 7-04 AM</t>
  </si>
  <si>
    <t>Maverik 8-04 AM</t>
  </si>
  <si>
    <t>Maverik 9-04 AM</t>
  </si>
  <si>
    <t>Maverik 10-04 AM</t>
  </si>
  <si>
    <t>Penalty &amp; Interest</t>
  </si>
  <si>
    <t>Avfuel 2-04 AM Adj</t>
  </si>
  <si>
    <t>Bel-Court Service Adj</t>
  </si>
  <si>
    <t>Pyramid Lake</t>
  </si>
  <si>
    <t>Amends</t>
  </si>
  <si>
    <t>Maverik</t>
  </si>
  <si>
    <t>Berry Co ADJ</t>
  </si>
  <si>
    <t>Quik Stop Markets ADJ</t>
  </si>
  <si>
    <t>Sperry Oil Company ADJ</t>
  </si>
  <si>
    <t>SPerry Oil Company ADJ</t>
  </si>
  <si>
    <t>Valero Marketing ADJ</t>
  </si>
  <si>
    <t>Canyon State Oil Co ADJ</t>
  </si>
  <si>
    <t>Chevron USA ADJ</t>
  </si>
  <si>
    <t>Crawford Oil, Inc ADJ</t>
  </si>
  <si>
    <t>Exxon/Mobil Oil Corp ADJ</t>
  </si>
  <si>
    <t>Flying J ADJ</t>
  </si>
  <si>
    <t>Maverik Country Stores ADJ</t>
  </si>
  <si>
    <t>Moapa Band of Paiutes ADJ</t>
  </si>
  <si>
    <t>Petroleum Wholesale ADJ</t>
  </si>
  <si>
    <t xml:space="preserve">Cottam Oil </t>
  </si>
  <si>
    <t>Cottam Oil</t>
  </si>
  <si>
    <t>GN Renn Inc</t>
  </si>
  <si>
    <t>Haycock Distributing 6-04 Audit</t>
  </si>
  <si>
    <t>Haycock Dist 6-04 Audit P&amp;I</t>
  </si>
  <si>
    <t>Native Nations 3-04 Bishop</t>
  </si>
  <si>
    <t>Native Nations 3-04 Mooretown</t>
  </si>
  <si>
    <t>Walker River Paiute 12-04</t>
  </si>
  <si>
    <t>3903 Credits</t>
  </si>
  <si>
    <t>Cottams Oil</t>
  </si>
  <si>
    <t>Ed Staub</t>
  </si>
  <si>
    <t xml:space="preserve">Sevier Valley Oil </t>
  </si>
  <si>
    <t>Terry Oil Co</t>
  </si>
  <si>
    <t>SF Refunds</t>
  </si>
  <si>
    <t>Walker River Paiute       -            ($ 1,482.29)</t>
  </si>
  <si>
    <t>Native Nations       -           ($ 11,563.55)</t>
  </si>
  <si>
    <t>Audits</t>
  </si>
  <si>
    <t>**  Difference of 12,133.66 due to clean up fee refunds **</t>
  </si>
  <si>
    <t>Eastern Aviation Fuels of NC</t>
  </si>
  <si>
    <t>Holly Refining &amp; Marketing Co</t>
  </si>
  <si>
    <t>Inyo Crude Inc</t>
  </si>
  <si>
    <t>Koch Supply &amp; trading LP</t>
  </si>
  <si>
    <t>Nevada Petroleum</t>
  </si>
  <si>
    <t>Sierra Petroleum Co</t>
  </si>
  <si>
    <t>Sunoco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</si>
</sst>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  <numFmt numFmtId="212" formatCode="&quot;$&quot;#,##0.00"/>
  </numFmts>
  <fonts count="3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20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37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10" xfId="4" applyNumberFormat="1" applyBorder="1"/>
    <xf numFmtId="43" fontId="2" fillId="0" borderId="11" xfId="1" applyBorder="1"/>
    <xf numFmtId="165" fontId="2" fillId="0" borderId="12" xfId="4" applyNumberForma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 applyProtection="1">
      <alignment horizontal="right"/>
    </xf>
    <xf numFmtId="0" fontId="4" fillId="0" borderId="0" xfId="0" applyFon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40" fontId="2" fillId="0" borderId="0" xfId="1" applyNumberFormat="1"/>
    <xf numFmtId="40" fontId="18" fillId="0" borderId="10" xfId="0" applyNumberFormat="1" applyFont="1" applyBorder="1"/>
    <xf numFmtId="165" fontId="19" fillId="0" borderId="0" xfId="4" applyNumberFormat="1" applyFont="1"/>
    <xf numFmtId="165" fontId="19" fillId="0" borderId="0" xfId="0" applyNumberFormat="1" applyFont="1"/>
    <xf numFmtId="43" fontId="2" fillId="0" borderId="9" xfId="1" applyBorder="1" applyProtection="1"/>
    <xf numFmtId="38" fontId="0" fillId="7" borderId="0" xfId="0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65" fontId="19" fillId="0" borderId="0" xfId="0" applyNumberFormat="1" applyFont="1" applyFill="1" applyProtection="1">
      <protection locked="0"/>
    </xf>
    <xf numFmtId="165" fontId="2" fillId="7" borderId="11" xfId="4" applyNumberFormat="1" applyFill="1" applyBorder="1" applyProtection="1">
      <protection locked="0"/>
    </xf>
    <xf numFmtId="165" fontId="2" fillId="7" borderId="0" xfId="4" applyNumberFormat="1" applyFont="1" applyFill="1" applyProtection="1">
      <protection locked="0"/>
    </xf>
    <xf numFmtId="165" fontId="2" fillId="7" borderId="0" xfId="4" applyNumberFormat="1" applyFill="1" applyBorder="1" applyProtection="1">
      <protection locked="0"/>
    </xf>
    <xf numFmtId="165" fontId="2" fillId="7" borderId="10" xfId="4" applyNumberFormat="1" applyFill="1" applyBorder="1" applyProtection="1">
      <protection locked="0"/>
    </xf>
    <xf numFmtId="165" fontId="2" fillId="7" borderId="0" xfId="4" applyNumberFormat="1" applyFill="1" applyProtection="1">
      <protection locked="0"/>
    </xf>
    <xf numFmtId="165" fontId="2" fillId="7" borderId="12" xfId="4" applyNumberFormat="1" applyFill="1" applyBorder="1" applyProtection="1">
      <protection locked="0"/>
    </xf>
    <xf numFmtId="165" fontId="2" fillId="7" borderId="0" xfId="4" applyNumberFormat="1" applyFont="1" applyFill="1" applyBorder="1" applyProtection="1">
      <protection locked="0"/>
    </xf>
    <xf numFmtId="165" fontId="2" fillId="7" borderId="10" xfId="4" applyNumberFormat="1" applyFont="1" applyFill="1" applyBorder="1" applyProtection="1">
      <protection locked="0"/>
    </xf>
    <xf numFmtId="165" fontId="4" fillId="0" borderId="0" xfId="0" applyNumberFormat="1" applyFont="1" applyFill="1" applyProtection="1">
      <protection locked="0"/>
    </xf>
    <xf numFmtId="0" fontId="0" fillId="9" borderId="0" xfId="0" applyFill="1"/>
    <xf numFmtId="44" fontId="18" fillId="0" borderId="0" xfId="0" applyNumberFormat="1" applyFont="1"/>
    <xf numFmtId="39" fontId="4" fillId="0" borderId="0" xfId="0" applyNumberFormat="1" applyFont="1" applyFill="1" applyProtection="1"/>
    <xf numFmtId="212" fontId="37" fillId="0" borderId="0" xfId="0" applyNumberFormat="1" applyFont="1"/>
    <xf numFmtId="0" fontId="18" fillId="0" borderId="0" xfId="0" applyFont="1" applyFill="1"/>
    <xf numFmtId="7" fontId="0" fillId="9" borderId="0" xfId="0" applyNumberFormat="1" applyFill="1" applyProtection="1"/>
    <xf numFmtId="0" fontId="0" fillId="9" borderId="0" xfId="0" applyFill="1" applyProtection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49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6.855468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9.28515625" hidden="1" customWidth="1"/>
    <col min="49" max="49" width="14.28515625" hidden="1" customWidth="1"/>
    <col min="50" max="69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3" t="s">
        <v>718</v>
      </c>
      <c r="AP1" s="82"/>
    </row>
    <row r="2" spans="1:60" ht="15.75" x14ac:dyDescent="0.25">
      <c r="A2" s="113" t="str">
        <f>ReportMonth</f>
        <v>NOVEMBER 2004</v>
      </c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3" t="s">
        <v>718</v>
      </c>
    </row>
    <row r="3" spans="1:60" ht="15" x14ac:dyDescent="0.2">
      <c r="A3" s="87" t="s">
        <v>3</v>
      </c>
      <c r="B3" s="87"/>
      <c r="C3" s="43"/>
      <c r="D3" s="87"/>
      <c r="E3" s="87"/>
      <c r="F3" s="87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3"/>
    </row>
    <row r="4" spans="1:60" ht="15" x14ac:dyDescent="0.2">
      <c r="A4" s="87" t="s">
        <v>445</v>
      </c>
      <c r="B4" s="87"/>
      <c r="C4" s="43"/>
      <c r="D4" s="87"/>
      <c r="E4" s="87"/>
      <c r="F4" s="87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3"/>
    </row>
    <row r="5" spans="1:60" ht="15" x14ac:dyDescent="0.2">
      <c r="A5" s="87" t="s">
        <v>4</v>
      </c>
      <c r="B5" s="43"/>
      <c r="C5" s="87"/>
      <c r="D5" s="87"/>
      <c r="E5" s="87"/>
      <c r="F5" s="87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4" t="str">
        <f>CONCATENATE("EXCISE TAX COLLECTED IN ",ReportMonth," FOR ",ActivityMonth," FUEL TRANSACTIONS")</f>
        <v>EXCISE TAX COLLECTED IN NOVEMBER 2004 FOR NOVEMBER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6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653</v>
      </c>
      <c r="J10" s="378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409" t="s">
        <v>662</v>
      </c>
      <c r="AG10" s="409"/>
      <c r="AH10" s="409"/>
      <c r="AI10" s="409"/>
      <c r="AJ10" s="409"/>
      <c r="AK10" s="409"/>
      <c r="AL10" s="409"/>
      <c r="AM10" s="409"/>
      <c r="AN10" s="409"/>
      <c r="AO10" s="409"/>
      <c r="AP10" s="409"/>
      <c r="AQ10" s="409"/>
      <c r="AR10" s="409"/>
      <c r="AS10" s="409"/>
      <c r="AT10" s="409"/>
      <c r="AU10" s="409"/>
      <c r="AV10" s="409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>
        <v>8.5901999999999992E-3</v>
      </c>
      <c r="J11" s="379" t="s">
        <v>20</v>
      </c>
      <c r="K11" s="18"/>
      <c r="L11" s="80"/>
      <c r="M11" s="107" t="s">
        <v>21</v>
      </c>
      <c r="N11" s="107" t="s">
        <v>22</v>
      </c>
      <c r="O11" s="108" t="s">
        <v>23</v>
      </c>
      <c r="P11" s="107" t="s">
        <v>24</v>
      </c>
      <c r="Q11" s="108" t="s">
        <v>25</v>
      </c>
      <c r="R11" s="107" t="s">
        <v>26</v>
      </c>
      <c r="S11" s="107" t="s">
        <v>27</v>
      </c>
      <c r="T11" s="107" t="s">
        <v>28</v>
      </c>
      <c r="U11" s="107" t="s">
        <v>29</v>
      </c>
      <c r="V11" s="107" t="s">
        <v>30</v>
      </c>
      <c r="W11" s="108" t="s">
        <v>31</v>
      </c>
      <c r="X11" s="107" t="s">
        <v>32</v>
      </c>
      <c r="Y11" s="108" t="s">
        <v>33</v>
      </c>
      <c r="Z11" s="107" t="s">
        <v>34</v>
      </c>
      <c r="AA11" s="107" t="s">
        <v>35</v>
      </c>
      <c r="AB11" s="108" t="s">
        <v>36</v>
      </c>
      <c r="AC11" s="107" t="s">
        <v>37</v>
      </c>
      <c r="AD11" s="107" t="s">
        <v>5</v>
      </c>
      <c r="AE11" s="18"/>
      <c r="AF11" s="316" t="s">
        <v>21</v>
      </c>
      <c r="AG11" s="316" t="s">
        <v>22</v>
      </c>
      <c r="AH11" s="317" t="s">
        <v>23</v>
      </c>
      <c r="AI11" s="316" t="s">
        <v>24</v>
      </c>
      <c r="AJ11" s="317" t="s">
        <v>25</v>
      </c>
      <c r="AK11" s="316" t="s">
        <v>26</v>
      </c>
      <c r="AL11" s="316" t="s">
        <v>27</v>
      </c>
      <c r="AM11" s="316" t="s">
        <v>28</v>
      </c>
      <c r="AN11" s="316" t="s">
        <v>29</v>
      </c>
      <c r="AO11" s="316" t="s">
        <v>30</v>
      </c>
      <c r="AP11" s="317" t="s">
        <v>31</v>
      </c>
      <c r="AQ11" s="316" t="s">
        <v>32</v>
      </c>
      <c r="AR11" s="317" t="s">
        <v>33</v>
      </c>
      <c r="AS11" s="316" t="s">
        <v>34</v>
      </c>
      <c r="AT11" s="316" t="s">
        <v>35</v>
      </c>
      <c r="AU11" s="317" t="s">
        <v>36</v>
      </c>
      <c r="AV11" s="316" t="s">
        <v>37</v>
      </c>
      <c r="AW11" s="318" t="s">
        <v>663</v>
      </c>
      <c r="AX11" s="314"/>
      <c r="AY11" s="314"/>
      <c r="AZ11" s="314"/>
      <c r="BA11" s="314"/>
      <c r="BB11" s="314"/>
      <c r="BC11" s="314"/>
      <c r="BD11" s="314"/>
      <c r="BE11" s="314"/>
      <c r="BF11" s="314"/>
      <c r="BG11" s="314"/>
      <c r="BH11" s="314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80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8" t="s">
        <v>664</v>
      </c>
    </row>
    <row r="13" spans="1:60" ht="12.75" customHeight="1" x14ac:dyDescent="0.2">
      <c r="A13" s="1" t="s">
        <v>719</v>
      </c>
      <c r="B13" s="7">
        <v>3226</v>
      </c>
      <c r="C13" s="7">
        <v>0</v>
      </c>
      <c r="D13" s="2">
        <f>(B13+C13)*0.124+0.01</f>
        <v>400.03</v>
      </c>
      <c r="E13" s="2">
        <f>(B13+C13)*0.049</f>
        <v>158.07</v>
      </c>
      <c r="F13" s="2">
        <f>(B13+C13)*0.0524</f>
        <v>169.04</v>
      </c>
      <c r="G13" s="2">
        <f>+AW13</f>
        <v>284.52999999999997</v>
      </c>
      <c r="H13" s="2">
        <f>(B13+C13)*0.0098</f>
        <v>31.61</v>
      </c>
      <c r="I13" s="2">
        <f>(AB13)*0.0084484</f>
        <v>0</v>
      </c>
      <c r="J13" s="381">
        <f>SUM(D13:I13)</f>
        <v>1043.28</v>
      </c>
      <c r="K13" s="1"/>
      <c r="L13" s="7"/>
      <c r="M13" s="7"/>
      <c r="N13" s="7"/>
      <c r="O13" s="7">
        <v>3226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3226</v>
      </c>
      <c r="AE13" s="1"/>
      <c r="AF13" s="283">
        <f>+M13*$AF$12</f>
        <v>0</v>
      </c>
      <c r="AG13" s="283">
        <f>+N13*$AG$12</f>
        <v>0</v>
      </c>
      <c r="AH13" s="283">
        <f>+O13*$AH$12</f>
        <v>284.52999999999997</v>
      </c>
      <c r="AI13" s="283">
        <f>+P13*$AI$12</f>
        <v>0</v>
      </c>
      <c r="AJ13" s="283">
        <f>+Q13*$AJ$12</f>
        <v>0</v>
      </c>
      <c r="AK13" s="283">
        <f>+R13*$AK$12</f>
        <v>0</v>
      </c>
      <c r="AL13" s="283">
        <f>+S13*$AL$12</f>
        <v>0</v>
      </c>
      <c r="AM13" s="283">
        <f>+T13*$AM$12</f>
        <v>0</v>
      </c>
      <c r="AN13" s="283">
        <f>+U13*$AN$12</f>
        <v>0</v>
      </c>
      <c r="AO13" s="283">
        <f>+V13*$AO$12</f>
        <v>0</v>
      </c>
      <c r="AP13" s="283">
        <f>+W13*$AP$12</f>
        <v>0</v>
      </c>
      <c r="AQ13" s="283">
        <f>+X13*$AQ$12</f>
        <v>0</v>
      </c>
      <c r="AR13" s="283">
        <f>+Y13*$AR$12</f>
        <v>0</v>
      </c>
      <c r="AS13" s="283">
        <f>+Z13*$AS$12</f>
        <v>0</v>
      </c>
      <c r="AT13" s="283">
        <f>+AA13*$AT$12</f>
        <v>0</v>
      </c>
      <c r="AU13" s="283">
        <f>+AB13*$AU$12</f>
        <v>0</v>
      </c>
      <c r="AV13" s="283">
        <f>+AC13*$AV$12</f>
        <v>0</v>
      </c>
      <c r="AW13" s="319">
        <f>SUM(AF13:AV13)</f>
        <v>284.52999999999997</v>
      </c>
    </row>
    <row r="14" spans="1:60" ht="12.75" customHeight="1" x14ac:dyDescent="0.2">
      <c r="A14" s="1" t="s">
        <v>38</v>
      </c>
      <c r="B14" s="7">
        <v>298662</v>
      </c>
      <c r="C14" s="7">
        <v>0</v>
      </c>
      <c r="D14" s="2">
        <f>(B14+C14)*0.124-0.01</f>
        <v>37034.080000000002</v>
      </c>
      <c r="E14" s="2">
        <f t="shared" ref="E14:E22" si="0">(B14+C14)*0.049</f>
        <v>14634.44</v>
      </c>
      <c r="F14" s="2">
        <f t="shared" ref="F14:F22" si="1">(B14+C14)*0.0524</f>
        <v>15649.89</v>
      </c>
      <c r="G14" s="2">
        <f t="shared" ref="G14:G81" si="2">+AW14</f>
        <v>16045.67</v>
      </c>
      <c r="H14" s="2">
        <f>(B14+C14)*0.0098-0.01</f>
        <v>2926.88</v>
      </c>
      <c r="I14" s="2">
        <f t="shared" ref="I14:I81" si="3">(AB14)*0.0084484</f>
        <v>0</v>
      </c>
      <c r="J14" s="381">
        <f t="shared" ref="J14:J80" si="4">SUM(D14:I14)</f>
        <v>86290.96</v>
      </c>
      <c r="K14" s="1"/>
      <c r="L14" s="7"/>
      <c r="M14" s="7"/>
      <c r="N14" s="7"/>
      <c r="O14" s="7"/>
      <c r="P14" s="7"/>
      <c r="Q14" s="7">
        <v>199442</v>
      </c>
      <c r="R14" s="7"/>
      <c r="S14" s="7">
        <v>10687</v>
      </c>
      <c r="T14" s="7">
        <v>7501</v>
      </c>
      <c r="U14" s="7">
        <v>72732</v>
      </c>
      <c r="V14" s="7"/>
      <c r="W14" s="7"/>
      <c r="X14" s="7"/>
      <c r="Y14" s="7"/>
      <c r="Z14" s="7"/>
      <c r="AA14" s="7"/>
      <c r="AB14" s="7"/>
      <c r="AC14" s="7">
        <v>8300</v>
      </c>
      <c r="AD14" s="7">
        <f t="shared" ref="AD14:AD28" si="5">SUM(L14:AC14)</f>
        <v>298662</v>
      </c>
      <c r="AE14" s="1"/>
      <c r="AF14" s="283">
        <f t="shared" ref="AF14:AF81" si="6">+M14*$AF$12</f>
        <v>0</v>
      </c>
      <c r="AG14" s="283">
        <f t="shared" ref="AG14:AG81" si="7">+N14*$AG$12</f>
        <v>0</v>
      </c>
      <c r="AH14" s="283">
        <f t="shared" ref="AH14:AH81" si="8">+O14*$AH$12</f>
        <v>0</v>
      </c>
      <c r="AI14" s="283">
        <f t="shared" ref="AI14:AI81" si="9">+P14*$AI$12</f>
        <v>0</v>
      </c>
      <c r="AJ14" s="283">
        <f t="shared" ref="AJ14:AJ81" si="10">+Q14*$AJ$12</f>
        <v>7818.13</v>
      </c>
      <c r="AK14" s="283">
        <f t="shared" ref="AK14:AK81" si="11">+R14*$AK$12</f>
        <v>0</v>
      </c>
      <c r="AL14" s="283">
        <f t="shared" ref="AL14:AL81" si="12">+S14*$AL$12</f>
        <v>418.93</v>
      </c>
      <c r="AM14" s="283">
        <f t="shared" ref="AM14:AM81" si="13">+T14*$AM$12</f>
        <v>661.59</v>
      </c>
      <c r="AN14" s="283">
        <f t="shared" ref="AN14:AN81" si="14">+U14*$AN$12</f>
        <v>6414.96</v>
      </c>
      <c r="AO14" s="283">
        <f t="shared" ref="AO14:AO81" si="15">+V14*$AO$12</f>
        <v>0</v>
      </c>
      <c r="AP14" s="283">
        <f t="shared" ref="AP14:AP81" si="16">+W14*$AP$12</f>
        <v>0</v>
      </c>
      <c r="AQ14" s="283">
        <f t="shared" ref="AQ14:AQ81" si="17">+X14*$AQ$12</f>
        <v>0</v>
      </c>
      <c r="AR14" s="283">
        <f t="shared" ref="AR14:AR81" si="18">+Y14*$AR$12</f>
        <v>0</v>
      </c>
      <c r="AS14" s="283">
        <f t="shared" ref="AS14:AS81" si="19">+Z14*$AS$12</f>
        <v>0</v>
      </c>
      <c r="AT14" s="283">
        <f t="shared" ref="AT14:AT81" si="20">+AA14*$AT$12</f>
        <v>0</v>
      </c>
      <c r="AU14" s="283">
        <f t="shared" ref="AU14:AU81" si="21">+AB14*$AU$12</f>
        <v>0</v>
      </c>
      <c r="AV14" s="283">
        <f t="shared" ref="AV14:AV81" si="22">+AC14*$AV$12</f>
        <v>732.06</v>
      </c>
      <c r="AW14" s="319">
        <f t="shared" ref="AW14:AW81" si="23">SUM(AF14:AV14)</f>
        <v>16045.67</v>
      </c>
    </row>
    <row r="15" spans="1:60" x14ac:dyDescent="0.2">
      <c r="A15" s="1" t="s">
        <v>349</v>
      </c>
      <c r="B15" s="7">
        <v>23258</v>
      </c>
      <c r="C15" s="7">
        <v>0</v>
      </c>
      <c r="D15" s="2">
        <f>(B15+C15)*0.124</f>
        <v>2883.99</v>
      </c>
      <c r="E15" s="2">
        <f t="shared" si="0"/>
        <v>1139.6400000000001</v>
      </c>
      <c r="F15" s="2">
        <f t="shared" si="1"/>
        <v>1218.72</v>
      </c>
      <c r="G15" s="2">
        <f t="shared" si="2"/>
        <v>2051.36</v>
      </c>
      <c r="H15" s="2">
        <f t="shared" ref="H15:H87" si="24">(B15+C15)*0.0098</f>
        <v>227.93</v>
      </c>
      <c r="I15" s="2">
        <f t="shared" si="3"/>
        <v>0</v>
      </c>
      <c r="J15" s="381">
        <f t="shared" si="4"/>
        <v>7521.64</v>
      </c>
      <c r="K15" s="1"/>
      <c r="L15" s="7"/>
      <c r="M15" s="7"/>
      <c r="N15" s="7"/>
      <c r="O15" s="7"/>
      <c r="P15" s="7"/>
      <c r="Q15" s="7"/>
      <c r="R15" s="7"/>
      <c r="S15" s="7"/>
      <c r="T15" s="7"/>
      <c r="U15" s="7">
        <v>23258</v>
      </c>
      <c r="V15" s="7"/>
      <c r="W15" s="7"/>
      <c r="X15" s="7"/>
      <c r="Y15" s="7"/>
      <c r="Z15" s="7"/>
      <c r="AA15" s="7"/>
      <c r="AB15" s="7"/>
      <c r="AC15" s="7"/>
      <c r="AD15" s="7">
        <f t="shared" si="5"/>
        <v>23258</v>
      </c>
      <c r="AE15" s="1"/>
      <c r="AF15" s="283">
        <f t="shared" si="6"/>
        <v>0</v>
      </c>
      <c r="AG15" s="283">
        <f t="shared" si="7"/>
        <v>0</v>
      </c>
      <c r="AH15" s="283">
        <f t="shared" si="8"/>
        <v>0</v>
      </c>
      <c r="AI15" s="283">
        <f t="shared" si="9"/>
        <v>0</v>
      </c>
      <c r="AJ15" s="283">
        <f t="shared" si="10"/>
        <v>0</v>
      </c>
      <c r="AK15" s="283">
        <f t="shared" si="11"/>
        <v>0</v>
      </c>
      <c r="AL15" s="283">
        <f t="shared" si="12"/>
        <v>0</v>
      </c>
      <c r="AM15" s="283">
        <f t="shared" si="13"/>
        <v>0</v>
      </c>
      <c r="AN15" s="283">
        <f t="shared" si="14"/>
        <v>2051.36</v>
      </c>
      <c r="AO15" s="283">
        <f t="shared" si="15"/>
        <v>0</v>
      </c>
      <c r="AP15" s="283">
        <f t="shared" si="16"/>
        <v>0</v>
      </c>
      <c r="AQ15" s="283">
        <f t="shared" si="17"/>
        <v>0</v>
      </c>
      <c r="AR15" s="283">
        <f t="shared" si="18"/>
        <v>0</v>
      </c>
      <c r="AS15" s="283">
        <f t="shared" si="19"/>
        <v>0</v>
      </c>
      <c r="AT15" s="283">
        <f t="shared" si="20"/>
        <v>0</v>
      </c>
      <c r="AU15" s="283">
        <f t="shared" si="21"/>
        <v>0</v>
      </c>
      <c r="AV15" s="283">
        <f t="shared" si="22"/>
        <v>0</v>
      </c>
      <c r="AW15" s="319">
        <f t="shared" si="23"/>
        <v>2051.36</v>
      </c>
    </row>
    <row r="16" spans="1:60" x14ac:dyDescent="0.2">
      <c r="A16" s="7" t="s">
        <v>39</v>
      </c>
      <c r="B16" s="7">
        <v>176</v>
      </c>
      <c r="C16" s="7">
        <v>0</v>
      </c>
      <c r="D16" s="2">
        <f>(B16+C16)*0.124+0.01</f>
        <v>21.83</v>
      </c>
      <c r="E16" s="2">
        <f t="shared" si="0"/>
        <v>8.6199999999999992</v>
      </c>
      <c r="F16" s="2">
        <f t="shared" si="1"/>
        <v>9.2200000000000006</v>
      </c>
      <c r="G16" s="2">
        <f t="shared" si="2"/>
        <v>15.52</v>
      </c>
      <c r="H16" s="2">
        <f t="shared" si="24"/>
        <v>1.72</v>
      </c>
      <c r="I16" s="2">
        <f t="shared" si="3"/>
        <v>0</v>
      </c>
      <c r="J16" s="381">
        <f t="shared" si="4"/>
        <v>56.91</v>
      </c>
      <c r="K16" s="1"/>
      <c r="L16" s="7"/>
      <c r="M16" s="7"/>
      <c r="N16" s="7"/>
      <c r="O16" s="7">
        <v>176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f t="shared" si="5"/>
        <v>176</v>
      </c>
      <c r="AF16" s="283">
        <f t="shared" si="6"/>
        <v>0</v>
      </c>
      <c r="AG16" s="283">
        <f t="shared" si="7"/>
        <v>0</v>
      </c>
      <c r="AH16" s="283">
        <f t="shared" si="8"/>
        <v>15.52</v>
      </c>
      <c r="AI16" s="283">
        <f t="shared" si="9"/>
        <v>0</v>
      </c>
      <c r="AJ16" s="283">
        <f t="shared" si="10"/>
        <v>0</v>
      </c>
      <c r="AK16" s="283">
        <f t="shared" si="11"/>
        <v>0</v>
      </c>
      <c r="AL16" s="283">
        <f t="shared" si="12"/>
        <v>0</v>
      </c>
      <c r="AM16" s="283">
        <f t="shared" si="13"/>
        <v>0</v>
      </c>
      <c r="AN16" s="283">
        <f t="shared" si="14"/>
        <v>0</v>
      </c>
      <c r="AO16" s="283">
        <f t="shared" si="15"/>
        <v>0</v>
      </c>
      <c r="AP16" s="283">
        <f t="shared" si="16"/>
        <v>0</v>
      </c>
      <c r="AQ16" s="283">
        <f t="shared" si="17"/>
        <v>0</v>
      </c>
      <c r="AR16" s="283">
        <f t="shared" si="18"/>
        <v>0</v>
      </c>
      <c r="AS16" s="283">
        <f t="shared" si="19"/>
        <v>0</v>
      </c>
      <c r="AT16" s="283">
        <f t="shared" si="20"/>
        <v>0</v>
      </c>
      <c r="AU16" s="283">
        <f t="shared" si="21"/>
        <v>0</v>
      </c>
      <c r="AV16" s="283">
        <f t="shared" si="22"/>
        <v>0</v>
      </c>
      <c r="AW16" s="319">
        <f t="shared" si="23"/>
        <v>15.52</v>
      </c>
    </row>
    <row r="17" spans="1:49" x14ac:dyDescent="0.2">
      <c r="A17" s="18" t="s">
        <v>612</v>
      </c>
      <c r="B17" s="7">
        <v>5185</v>
      </c>
      <c r="C17" s="7">
        <v>0</v>
      </c>
      <c r="D17" s="2">
        <f>(B17+C17)*0.124</f>
        <v>642.94000000000005</v>
      </c>
      <c r="E17" s="2">
        <f>(B17+C17)*0.049</f>
        <v>254.07</v>
      </c>
      <c r="F17" s="2">
        <f>(B17+C17)*0.0524</f>
        <v>271.69</v>
      </c>
      <c r="G17" s="2">
        <f>+AW17</f>
        <v>457.31</v>
      </c>
      <c r="H17" s="2">
        <f>(B17+C17)*0.0098+0.01</f>
        <v>50.82</v>
      </c>
      <c r="I17" s="2">
        <f t="shared" si="3"/>
        <v>1.82</v>
      </c>
      <c r="J17" s="381">
        <f t="shared" si="4"/>
        <v>1678.65</v>
      </c>
      <c r="K17" s="1"/>
      <c r="L17" s="7"/>
      <c r="M17" s="7"/>
      <c r="N17" s="7"/>
      <c r="O17" s="7">
        <v>4970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>
        <v>215</v>
      </c>
      <c r="AC17" s="7"/>
      <c r="AD17" s="7">
        <f t="shared" si="5"/>
        <v>5185</v>
      </c>
      <c r="AF17" s="283">
        <f t="shared" si="6"/>
        <v>0</v>
      </c>
      <c r="AG17" s="283">
        <f t="shared" si="7"/>
        <v>0</v>
      </c>
      <c r="AH17" s="283">
        <f t="shared" si="8"/>
        <v>438.35</v>
      </c>
      <c r="AI17" s="283">
        <f t="shared" si="9"/>
        <v>0</v>
      </c>
      <c r="AJ17" s="283">
        <f t="shared" si="10"/>
        <v>0</v>
      </c>
      <c r="AK17" s="283">
        <f t="shared" si="11"/>
        <v>0</v>
      </c>
      <c r="AL17" s="283">
        <f t="shared" si="12"/>
        <v>0</v>
      </c>
      <c r="AM17" s="283">
        <f t="shared" si="13"/>
        <v>0</v>
      </c>
      <c r="AN17" s="283">
        <f t="shared" si="14"/>
        <v>0</v>
      </c>
      <c r="AO17" s="283">
        <f t="shared" si="15"/>
        <v>0</v>
      </c>
      <c r="AP17" s="283">
        <f t="shared" si="16"/>
        <v>0</v>
      </c>
      <c r="AQ17" s="283">
        <f t="shared" si="17"/>
        <v>0</v>
      </c>
      <c r="AR17" s="283">
        <f t="shared" si="18"/>
        <v>0</v>
      </c>
      <c r="AS17" s="283">
        <f t="shared" si="19"/>
        <v>0</v>
      </c>
      <c r="AT17" s="283">
        <f t="shared" si="20"/>
        <v>0</v>
      </c>
      <c r="AU17" s="283">
        <f t="shared" si="21"/>
        <v>18.96</v>
      </c>
      <c r="AV17" s="283">
        <f t="shared" si="22"/>
        <v>0</v>
      </c>
      <c r="AW17" s="319">
        <f t="shared" si="23"/>
        <v>457.31</v>
      </c>
    </row>
    <row r="18" spans="1:49" x14ac:dyDescent="0.2">
      <c r="A18" s="1" t="s">
        <v>492</v>
      </c>
      <c r="B18" s="7">
        <v>0</v>
      </c>
      <c r="C18" s="7">
        <v>189533</v>
      </c>
      <c r="D18" s="2">
        <f>(B18+C18)*0.124</f>
        <v>23502.09</v>
      </c>
      <c r="E18" s="2">
        <f t="shared" si="0"/>
        <v>9287.1200000000008</v>
      </c>
      <c r="F18" s="2">
        <f t="shared" si="1"/>
        <v>9931.5300000000007</v>
      </c>
      <c r="G18" s="2">
        <f t="shared" si="2"/>
        <v>16716.810000000001</v>
      </c>
      <c r="H18" s="2">
        <f t="shared" si="24"/>
        <v>1857.42</v>
      </c>
      <c r="I18" s="2">
        <f t="shared" si="3"/>
        <v>0</v>
      </c>
      <c r="J18" s="381">
        <f t="shared" si="4"/>
        <v>61294.97</v>
      </c>
      <c r="K18" s="1"/>
      <c r="L18" s="7"/>
      <c r="M18" s="7"/>
      <c r="N18" s="7"/>
      <c r="O18" s="7">
        <v>189533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f t="shared" si="5"/>
        <v>189533</v>
      </c>
      <c r="AE18" s="7"/>
      <c r="AF18" s="283">
        <f t="shared" si="6"/>
        <v>0</v>
      </c>
      <c r="AG18" s="283">
        <f t="shared" si="7"/>
        <v>0</v>
      </c>
      <c r="AH18" s="283">
        <f t="shared" si="8"/>
        <v>16716.810000000001</v>
      </c>
      <c r="AI18" s="283">
        <f t="shared" si="9"/>
        <v>0</v>
      </c>
      <c r="AJ18" s="283">
        <f t="shared" si="10"/>
        <v>0</v>
      </c>
      <c r="AK18" s="283">
        <f t="shared" si="11"/>
        <v>0</v>
      </c>
      <c r="AL18" s="283">
        <f t="shared" si="12"/>
        <v>0</v>
      </c>
      <c r="AM18" s="283">
        <f t="shared" si="13"/>
        <v>0</v>
      </c>
      <c r="AN18" s="283">
        <f t="shared" si="14"/>
        <v>0</v>
      </c>
      <c r="AO18" s="283">
        <f t="shared" si="15"/>
        <v>0</v>
      </c>
      <c r="AP18" s="283">
        <f t="shared" si="16"/>
        <v>0</v>
      </c>
      <c r="AQ18" s="283">
        <f t="shared" si="17"/>
        <v>0</v>
      </c>
      <c r="AR18" s="283">
        <f t="shared" si="18"/>
        <v>0</v>
      </c>
      <c r="AS18" s="283">
        <f t="shared" si="19"/>
        <v>0</v>
      </c>
      <c r="AT18" s="283">
        <f t="shared" si="20"/>
        <v>0</v>
      </c>
      <c r="AU18" s="283">
        <f t="shared" si="21"/>
        <v>0</v>
      </c>
      <c r="AV18" s="283">
        <f t="shared" si="22"/>
        <v>0</v>
      </c>
      <c r="AW18" s="319">
        <f t="shared" si="23"/>
        <v>16716.810000000001</v>
      </c>
    </row>
    <row r="19" spans="1:49" x14ac:dyDescent="0.2">
      <c r="A19" s="1" t="s">
        <v>726</v>
      </c>
      <c r="B19" s="7">
        <v>126460</v>
      </c>
      <c r="C19" s="7">
        <v>0</v>
      </c>
      <c r="D19" s="2">
        <f>(B19+C19)*0.124</f>
        <v>15681.04</v>
      </c>
      <c r="E19" s="2">
        <f>(B19+C19)*0.049</f>
        <v>6196.54</v>
      </c>
      <c r="F19" s="2">
        <f>(B19+C19)*0.0524</f>
        <v>6626.5</v>
      </c>
      <c r="G19" s="2">
        <f>+AW19</f>
        <v>11153.77</v>
      </c>
      <c r="H19" s="2">
        <f>(B19+C19)*0.0098-0.01</f>
        <v>1239.3</v>
      </c>
      <c r="I19" s="2">
        <f>(AB19)*0.0084484</f>
        <v>838.31</v>
      </c>
      <c r="J19" s="381">
        <f>SUM(D19:I19)</f>
        <v>41735.46</v>
      </c>
      <c r="K19" s="1"/>
      <c r="L19" s="7"/>
      <c r="M19" s="7"/>
      <c r="N19" s="7"/>
      <c r="O19" s="7"/>
      <c r="P19" s="7"/>
      <c r="Q19" s="7"/>
      <c r="R19" s="7"/>
      <c r="S19" s="7"/>
      <c r="T19" s="7">
        <v>27233</v>
      </c>
      <c r="U19" s="7"/>
      <c r="V19" s="7"/>
      <c r="W19" s="7"/>
      <c r="X19" s="7"/>
      <c r="Y19" s="7"/>
      <c r="Z19" s="7"/>
      <c r="AA19" s="7"/>
      <c r="AB19" s="7">
        <v>99227</v>
      </c>
      <c r="AC19" s="7"/>
      <c r="AD19" s="7">
        <f>SUM(L19:AC19)</f>
        <v>126460</v>
      </c>
      <c r="AE19" s="7"/>
      <c r="AF19" s="283">
        <f>+M19*$AF$12</f>
        <v>0</v>
      </c>
      <c r="AG19" s="283">
        <f>+N19*$AG$12</f>
        <v>0</v>
      </c>
      <c r="AH19" s="283">
        <f>+O19*$AH$12</f>
        <v>0</v>
      </c>
      <c r="AI19" s="283">
        <f>+P19*$AI$12</f>
        <v>0</v>
      </c>
      <c r="AJ19" s="283">
        <f>+Q19*$AJ$12</f>
        <v>0</v>
      </c>
      <c r="AK19" s="283">
        <f>+R19*$AK$12</f>
        <v>0</v>
      </c>
      <c r="AL19" s="283">
        <f>+S19*$AL$12</f>
        <v>0</v>
      </c>
      <c r="AM19" s="283">
        <f>+T19*$AM$12</f>
        <v>2401.9499999999998</v>
      </c>
      <c r="AN19" s="283">
        <f>+U19*$AN$12</f>
        <v>0</v>
      </c>
      <c r="AO19" s="283">
        <f>+V19*$AO$12</f>
        <v>0</v>
      </c>
      <c r="AP19" s="283">
        <f>+W19*$AP$12</f>
        <v>0</v>
      </c>
      <c r="AQ19" s="283">
        <f>+X19*$AQ$12</f>
        <v>0</v>
      </c>
      <c r="AR19" s="283">
        <f>+Y19*$AR$12</f>
        <v>0</v>
      </c>
      <c r="AS19" s="283">
        <f>+Z19*$AS$12</f>
        <v>0</v>
      </c>
      <c r="AT19" s="283">
        <f>+AA19*$AT$12</f>
        <v>0</v>
      </c>
      <c r="AU19" s="283">
        <f>+AB19*$AU$12</f>
        <v>8751.82</v>
      </c>
      <c r="AV19" s="283">
        <f>+AC19*$AV$12</f>
        <v>0</v>
      </c>
      <c r="AW19" s="319">
        <f>SUM(AF19:AV19)</f>
        <v>11153.77</v>
      </c>
    </row>
    <row r="20" spans="1:49" x14ac:dyDescent="0.2">
      <c r="A20" s="1" t="s">
        <v>40</v>
      </c>
      <c r="B20" s="7">
        <v>3300</v>
      </c>
      <c r="C20" s="7">
        <v>0</v>
      </c>
      <c r="D20" s="2">
        <f>(B20+C20)*0.124</f>
        <v>409.2</v>
      </c>
      <c r="E20" s="2">
        <f t="shared" si="0"/>
        <v>161.69999999999999</v>
      </c>
      <c r="F20" s="2">
        <f t="shared" si="1"/>
        <v>172.92</v>
      </c>
      <c r="G20" s="2">
        <f t="shared" si="2"/>
        <v>291.06</v>
      </c>
      <c r="H20" s="2">
        <f t="shared" si="24"/>
        <v>32.340000000000003</v>
      </c>
      <c r="I20" s="2">
        <f t="shared" si="3"/>
        <v>0</v>
      </c>
      <c r="J20" s="381">
        <f t="shared" si="4"/>
        <v>1067.22</v>
      </c>
      <c r="K20" s="1"/>
      <c r="L20" s="7"/>
      <c r="M20" s="7"/>
      <c r="N20" s="7"/>
      <c r="O20" s="7"/>
      <c r="P20" s="7"/>
      <c r="Q20" s="7"/>
      <c r="R20" s="7"/>
      <c r="S20" s="7"/>
      <c r="T20" s="7"/>
      <c r="U20" s="7">
        <v>3300</v>
      </c>
      <c r="V20" s="7"/>
      <c r="W20" s="7"/>
      <c r="X20" s="7"/>
      <c r="Y20" s="7"/>
      <c r="Z20" s="7"/>
      <c r="AA20" s="7"/>
      <c r="AB20" s="7"/>
      <c r="AC20" s="7"/>
      <c r="AD20" s="7">
        <f t="shared" si="5"/>
        <v>3300</v>
      </c>
      <c r="AE20" s="7"/>
      <c r="AF20" s="283">
        <f t="shared" si="6"/>
        <v>0</v>
      </c>
      <c r="AG20" s="283">
        <f t="shared" si="7"/>
        <v>0</v>
      </c>
      <c r="AH20" s="283">
        <f t="shared" si="8"/>
        <v>0</v>
      </c>
      <c r="AI20" s="283">
        <f t="shared" si="9"/>
        <v>0</v>
      </c>
      <c r="AJ20" s="283">
        <f t="shared" si="10"/>
        <v>0</v>
      </c>
      <c r="AK20" s="283">
        <f t="shared" si="11"/>
        <v>0</v>
      </c>
      <c r="AL20" s="283">
        <f t="shared" si="12"/>
        <v>0</v>
      </c>
      <c r="AM20" s="283">
        <f t="shared" si="13"/>
        <v>0</v>
      </c>
      <c r="AN20" s="283">
        <f t="shared" si="14"/>
        <v>291.06</v>
      </c>
      <c r="AO20" s="283">
        <f t="shared" si="15"/>
        <v>0</v>
      </c>
      <c r="AP20" s="283">
        <f t="shared" si="16"/>
        <v>0</v>
      </c>
      <c r="AQ20" s="283">
        <f t="shared" si="17"/>
        <v>0</v>
      </c>
      <c r="AR20" s="283">
        <f t="shared" si="18"/>
        <v>0</v>
      </c>
      <c r="AS20" s="283">
        <f t="shared" si="19"/>
        <v>0</v>
      </c>
      <c r="AT20" s="283">
        <f t="shared" si="20"/>
        <v>0</v>
      </c>
      <c r="AU20" s="283">
        <f t="shared" si="21"/>
        <v>0</v>
      </c>
      <c r="AV20" s="283">
        <f t="shared" si="22"/>
        <v>0</v>
      </c>
      <c r="AW20" s="319">
        <f t="shared" si="23"/>
        <v>291.06</v>
      </c>
    </row>
    <row r="21" spans="1:49" x14ac:dyDescent="0.2">
      <c r="A21" s="1" t="s">
        <v>433</v>
      </c>
      <c r="B21" s="7">
        <v>1234946</v>
      </c>
      <c r="C21" s="7">
        <v>0</v>
      </c>
      <c r="D21" s="2">
        <f>(B21+C21)*0.124+0.01</f>
        <v>153133.31</v>
      </c>
      <c r="E21" s="2">
        <f t="shared" si="0"/>
        <v>60512.35</v>
      </c>
      <c r="F21" s="2">
        <f t="shared" si="1"/>
        <v>64711.17</v>
      </c>
      <c r="G21" s="2">
        <f t="shared" si="2"/>
        <v>108922.24000000001</v>
      </c>
      <c r="H21" s="2">
        <f t="shared" si="24"/>
        <v>12102.47</v>
      </c>
      <c r="I21" s="2">
        <f t="shared" si="3"/>
        <v>2601.52</v>
      </c>
      <c r="J21" s="381">
        <f t="shared" si="4"/>
        <v>401983.06</v>
      </c>
      <c r="K21" s="1"/>
      <c r="L21" s="7"/>
      <c r="M21" s="7"/>
      <c r="N21" s="7"/>
      <c r="O21" s="7">
        <v>927016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v>307930</v>
      </c>
      <c r="AC21" s="7"/>
      <c r="AD21" s="7">
        <f t="shared" si="5"/>
        <v>1234946</v>
      </c>
      <c r="AE21" s="1"/>
      <c r="AF21" s="283">
        <f t="shared" si="6"/>
        <v>0</v>
      </c>
      <c r="AG21" s="283">
        <f t="shared" si="7"/>
        <v>0</v>
      </c>
      <c r="AH21" s="283">
        <f t="shared" si="8"/>
        <v>81762.81</v>
      </c>
      <c r="AI21" s="283">
        <f t="shared" si="9"/>
        <v>0</v>
      </c>
      <c r="AJ21" s="283">
        <f t="shared" si="10"/>
        <v>0</v>
      </c>
      <c r="AK21" s="283">
        <f t="shared" si="11"/>
        <v>0</v>
      </c>
      <c r="AL21" s="283">
        <f t="shared" si="12"/>
        <v>0</v>
      </c>
      <c r="AM21" s="283">
        <f t="shared" si="13"/>
        <v>0</v>
      </c>
      <c r="AN21" s="283">
        <f t="shared" si="14"/>
        <v>0</v>
      </c>
      <c r="AO21" s="283">
        <f t="shared" si="15"/>
        <v>0</v>
      </c>
      <c r="AP21" s="283">
        <f t="shared" si="16"/>
        <v>0</v>
      </c>
      <c r="AQ21" s="283">
        <f t="shared" si="17"/>
        <v>0</v>
      </c>
      <c r="AR21" s="283">
        <f t="shared" si="18"/>
        <v>0</v>
      </c>
      <c r="AS21" s="283">
        <f t="shared" si="19"/>
        <v>0</v>
      </c>
      <c r="AT21" s="283">
        <f t="shared" si="20"/>
        <v>0</v>
      </c>
      <c r="AU21" s="283">
        <f t="shared" si="21"/>
        <v>27159.43</v>
      </c>
      <c r="AV21" s="283">
        <f t="shared" si="22"/>
        <v>0</v>
      </c>
      <c r="AW21" s="319">
        <f t="shared" si="23"/>
        <v>108922.24000000001</v>
      </c>
    </row>
    <row r="22" spans="1:49" x14ac:dyDescent="0.2">
      <c r="A22" s="1" t="s">
        <v>621</v>
      </c>
      <c r="B22" s="7">
        <v>24422</v>
      </c>
      <c r="C22" s="7">
        <v>0</v>
      </c>
      <c r="D22" s="2">
        <f>(B22+C22)*0.124</f>
        <v>3028.33</v>
      </c>
      <c r="E22" s="2">
        <f t="shared" si="0"/>
        <v>1196.68</v>
      </c>
      <c r="F22" s="2">
        <f t="shared" si="1"/>
        <v>1279.71</v>
      </c>
      <c r="G22" s="2">
        <f>+AW22</f>
        <v>2154.02</v>
      </c>
      <c r="H22" s="2">
        <f>(B22+C22)*0.0098</f>
        <v>239.34</v>
      </c>
      <c r="I22" s="2">
        <f>(AB22)*0.0084484</f>
        <v>0</v>
      </c>
      <c r="J22" s="381">
        <f>SUM(D22:I22)</f>
        <v>7898.08</v>
      </c>
      <c r="K22" s="1"/>
      <c r="L22" s="7"/>
      <c r="M22" s="7">
        <v>24422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>
        <f>SUM(L22:AC22)</f>
        <v>24422</v>
      </c>
      <c r="AE22" s="7"/>
      <c r="AF22" s="283">
        <f>+M22*$AF$12</f>
        <v>2154.02</v>
      </c>
      <c r="AG22" s="283">
        <f>+N22*$AG$12</f>
        <v>0</v>
      </c>
      <c r="AH22" s="283">
        <f>+O22*$AH$12</f>
        <v>0</v>
      </c>
      <c r="AI22" s="283">
        <f>+P22*$AI$12</f>
        <v>0</v>
      </c>
      <c r="AJ22" s="283">
        <f>+Q22*$AJ$12</f>
        <v>0</v>
      </c>
      <c r="AK22" s="283">
        <f>+R22*$AK$12</f>
        <v>0</v>
      </c>
      <c r="AL22" s="283">
        <f>+S22*$AL$12</f>
        <v>0</v>
      </c>
      <c r="AM22" s="283">
        <f>+T22*$AM$12</f>
        <v>0</v>
      </c>
      <c r="AN22" s="283">
        <f>+U22*$AN$12</f>
        <v>0</v>
      </c>
      <c r="AO22" s="283">
        <f>+V22*$AO$12</f>
        <v>0</v>
      </c>
      <c r="AP22" s="283">
        <f>+W22*$AP$12</f>
        <v>0</v>
      </c>
      <c r="AQ22" s="283">
        <f>+X22*$AQ$12</f>
        <v>0</v>
      </c>
      <c r="AR22" s="283">
        <f>+Y22*$AR$12</f>
        <v>0</v>
      </c>
      <c r="AS22" s="283">
        <f>+Z22*$AS$12</f>
        <v>0</v>
      </c>
      <c r="AT22" s="283">
        <f>+AA22*$AT$12</f>
        <v>0</v>
      </c>
      <c r="AU22" s="283">
        <f>+AB22*$AU$12</f>
        <v>0</v>
      </c>
      <c r="AV22" s="283">
        <f>+AC22*$AV$12</f>
        <v>0</v>
      </c>
      <c r="AW22" s="319">
        <f>SUM(AF22:AV22)</f>
        <v>2154.02</v>
      </c>
    </row>
    <row r="23" spans="1:49" x14ac:dyDescent="0.2">
      <c r="A23" s="1" t="s">
        <v>447</v>
      </c>
      <c r="B23" s="7">
        <v>329725</v>
      </c>
      <c r="C23" s="7">
        <v>0</v>
      </c>
      <c r="D23" s="2">
        <f>(B23+C23)*0.124-0.01</f>
        <v>40885.89</v>
      </c>
      <c r="E23" s="2">
        <f t="shared" ref="E23:E29" si="25">(B23+C23)*0.049</f>
        <v>16156.53</v>
      </c>
      <c r="F23" s="2">
        <f t="shared" ref="F23:F29" si="26">(B23+C23)*0.0524</f>
        <v>17277.59</v>
      </c>
      <c r="G23" s="2">
        <f t="shared" si="2"/>
        <v>26753.119999999999</v>
      </c>
      <c r="H23" s="2">
        <f t="shared" si="24"/>
        <v>3231.31</v>
      </c>
      <c r="I23" s="2">
        <f t="shared" si="3"/>
        <v>0</v>
      </c>
      <c r="J23" s="381">
        <f t="shared" si="4"/>
        <v>104304.44</v>
      </c>
      <c r="K23" s="1"/>
      <c r="L23" s="7"/>
      <c r="M23" s="7"/>
      <c r="N23" s="7">
        <v>282202</v>
      </c>
      <c r="O23" s="7"/>
      <c r="P23" s="7">
        <v>47523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f t="shared" si="5"/>
        <v>329725</v>
      </c>
      <c r="AE23" s="7"/>
      <c r="AF23" s="283">
        <f t="shared" si="6"/>
        <v>0</v>
      </c>
      <c r="AG23" s="283">
        <f t="shared" si="7"/>
        <v>24890.22</v>
      </c>
      <c r="AH23" s="283">
        <f t="shared" si="8"/>
        <v>0</v>
      </c>
      <c r="AI23" s="283">
        <f t="shared" si="9"/>
        <v>1862.9</v>
      </c>
      <c r="AJ23" s="283">
        <f t="shared" si="10"/>
        <v>0</v>
      </c>
      <c r="AK23" s="283">
        <f t="shared" si="11"/>
        <v>0</v>
      </c>
      <c r="AL23" s="283">
        <f t="shared" si="12"/>
        <v>0</v>
      </c>
      <c r="AM23" s="283">
        <f t="shared" si="13"/>
        <v>0</v>
      </c>
      <c r="AN23" s="283">
        <f t="shared" si="14"/>
        <v>0</v>
      </c>
      <c r="AO23" s="283">
        <f t="shared" si="15"/>
        <v>0</v>
      </c>
      <c r="AP23" s="283">
        <f t="shared" si="16"/>
        <v>0</v>
      </c>
      <c r="AQ23" s="283">
        <f t="shared" si="17"/>
        <v>0</v>
      </c>
      <c r="AR23" s="283">
        <f t="shared" si="18"/>
        <v>0</v>
      </c>
      <c r="AS23" s="283">
        <f t="shared" si="19"/>
        <v>0</v>
      </c>
      <c r="AT23" s="283">
        <f t="shared" si="20"/>
        <v>0</v>
      </c>
      <c r="AU23" s="283">
        <f t="shared" si="21"/>
        <v>0</v>
      </c>
      <c r="AV23" s="283">
        <f t="shared" si="22"/>
        <v>0</v>
      </c>
      <c r="AW23" s="319">
        <f t="shared" si="23"/>
        <v>26753.119999999999</v>
      </c>
    </row>
    <row r="24" spans="1:49" ht="12.75" customHeight="1" x14ac:dyDescent="0.2">
      <c r="A24" s="1" t="s">
        <v>767</v>
      </c>
      <c r="B24" s="7"/>
      <c r="C24" s="7"/>
      <c r="D24" s="2">
        <f>(B24+C24)*0.124+0.01</f>
        <v>0.01</v>
      </c>
      <c r="E24" s="2">
        <f>(B24+C24)*0.049</f>
        <v>0</v>
      </c>
      <c r="F24" s="2">
        <f>(B24+C24)*0.0524</f>
        <v>0</v>
      </c>
      <c r="G24" s="2">
        <f>+AW24</f>
        <v>0</v>
      </c>
      <c r="H24" s="2">
        <f>(B24+C24)*0.0098</f>
        <v>0</v>
      </c>
      <c r="I24" s="2">
        <f>(AB24)*0.0084484</f>
        <v>0</v>
      </c>
      <c r="J24" s="381">
        <f>SUM(D24:I24)</f>
        <v>0.01</v>
      </c>
      <c r="K24" s="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>
        <f>SUM(L24:AC24)</f>
        <v>0</v>
      </c>
      <c r="AE24" s="1"/>
      <c r="AF24" s="283">
        <f>+M24*$AF$12</f>
        <v>0</v>
      </c>
      <c r="AG24" s="283">
        <f>+N24*$AG$12</f>
        <v>0</v>
      </c>
      <c r="AH24" s="283">
        <f>+O24*$AH$12</f>
        <v>0</v>
      </c>
      <c r="AI24" s="283">
        <f>+P24*$AI$12</f>
        <v>0</v>
      </c>
      <c r="AJ24" s="283">
        <f>+Q24*$AJ$12</f>
        <v>0</v>
      </c>
      <c r="AK24" s="283">
        <f>+R24*$AK$12</f>
        <v>0</v>
      </c>
      <c r="AL24" s="283">
        <f>+S24*$AL$12</f>
        <v>0</v>
      </c>
      <c r="AM24" s="283">
        <f>+T24*$AM$12</f>
        <v>0</v>
      </c>
      <c r="AN24" s="283">
        <f>+U24*$AN$12</f>
        <v>0</v>
      </c>
      <c r="AO24" s="283">
        <f>+V24*$AO$12</f>
        <v>0</v>
      </c>
      <c r="AP24" s="283">
        <f>+W24*$AP$12</f>
        <v>0</v>
      </c>
      <c r="AQ24" s="283">
        <f>+X24*$AQ$12</f>
        <v>0</v>
      </c>
      <c r="AR24" s="283">
        <f>+Y24*$AR$12</f>
        <v>0</v>
      </c>
      <c r="AS24" s="283">
        <f>+Z24*$AS$12</f>
        <v>0</v>
      </c>
      <c r="AT24" s="283">
        <f>+AA24*$AT$12</f>
        <v>0</v>
      </c>
      <c r="AU24" s="283">
        <f>+AB24*$AU$12</f>
        <v>0</v>
      </c>
      <c r="AV24" s="283">
        <f>+AC24*$AV$12</f>
        <v>0</v>
      </c>
      <c r="AW24" s="319">
        <f>SUM(AF24:AV24)</f>
        <v>0</v>
      </c>
    </row>
    <row r="25" spans="1:49" x14ac:dyDescent="0.2">
      <c r="A25" s="1" t="s">
        <v>448</v>
      </c>
      <c r="B25" s="7">
        <v>4819453</v>
      </c>
      <c r="C25" s="7">
        <v>3299030</v>
      </c>
      <c r="D25" s="2">
        <f>(B25+C25)*0.124</f>
        <v>1006691.89</v>
      </c>
      <c r="E25" s="2">
        <f>(B25+C25)*0.049</f>
        <v>397805.67</v>
      </c>
      <c r="F25" s="2">
        <f>(B25+C25)*0.0524</f>
        <v>425408.51</v>
      </c>
      <c r="G25" s="2">
        <f t="shared" si="2"/>
        <v>676227.43</v>
      </c>
      <c r="H25" s="2">
        <f>(B25+C25)*0.0098+0.01</f>
        <v>79561.14</v>
      </c>
      <c r="I25" s="2">
        <f t="shared" si="3"/>
        <v>46978.59</v>
      </c>
      <c r="J25" s="381">
        <f t="shared" si="4"/>
        <v>2632673.23</v>
      </c>
      <c r="K25" s="1"/>
      <c r="L25" s="7"/>
      <c r="M25" s="7">
        <v>915673</v>
      </c>
      <c r="N25" s="7">
        <v>99752</v>
      </c>
      <c r="O25" s="7">
        <v>4874</v>
      </c>
      <c r="P25" s="7">
        <v>504373</v>
      </c>
      <c r="Q25" s="7">
        <v>264945</v>
      </c>
      <c r="R25" s="7"/>
      <c r="S25" s="7">
        <v>23887</v>
      </c>
      <c r="T25" s="7">
        <v>184757</v>
      </c>
      <c r="U25" s="7">
        <v>122568</v>
      </c>
      <c r="V25" s="7"/>
      <c r="W25" s="7">
        <v>254883</v>
      </c>
      <c r="X25" s="7">
        <v>34346</v>
      </c>
      <c r="Y25" s="7">
        <v>19505</v>
      </c>
      <c r="Z25" s="7">
        <v>72230</v>
      </c>
      <c r="AA25" s="7"/>
      <c r="AB25" s="7">
        <v>5560649</v>
      </c>
      <c r="AC25" s="7">
        <v>56041</v>
      </c>
      <c r="AD25" s="7">
        <f>SUM(L25:AC25)</f>
        <v>8118483</v>
      </c>
      <c r="AE25" s="7"/>
      <c r="AF25" s="283">
        <f t="shared" si="6"/>
        <v>80762.36</v>
      </c>
      <c r="AG25" s="283">
        <f t="shared" si="7"/>
        <v>8798.1299999999992</v>
      </c>
      <c r="AH25" s="283">
        <f t="shared" si="8"/>
        <v>429.89</v>
      </c>
      <c r="AI25" s="283">
        <f t="shared" si="9"/>
        <v>19771.419999999998</v>
      </c>
      <c r="AJ25" s="283">
        <f t="shared" si="10"/>
        <v>10385.84</v>
      </c>
      <c r="AK25" s="283">
        <f t="shared" si="11"/>
        <v>0</v>
      </c>
      <c r="AL25" s="283">
        <f t="shared" si="12"/>
        <v>936.37</v>
      </c>
      <c r="AM25" s="283">
        <f t="shared" si="13"/>
        <v>16295.57</v>
      </c>
      <c r="AN25" s="283">
        <f t="shared" si="14"/>
        <v>10810.5</v>
      </c>
      <c r="AO25" s="283">
        <f t="shared" si="15"/>
        <v>0</v>
      </c>
      <c r="AP25" s="283">
        <f t="shared" si="16"/>
        <v>22480.68</v>
      </c>
      <c r="AQ25" s="283">
        <f t="shared" si="17"/>
        <v>3029.32</v>
      </c>
      <c r="AR25" s="283">
        <f t="shared" si="18"/>
        <v>764.6</v>
      </c>
      <c r="AS25" s="283">
        <f t="shared" si="19"/>
        <v>6370.69</v>
      </c>
      <c r="AT25" s="283">
        <f t="shared" si="20"/>
        <v>0</v>
      </c>
      <c r="AU25" s="283">
        <f t="shared" si="21"/>
        <v>490449.24</v>
      </c>
      <c r="AV25" s="283">
        <f t="shared" si="22"/>
        <v>4942.82</v>
      </c>
      <c r="AW25" s="319">
        <f t="shared" si="23"/>
        <v>676227.43</v>
      </c>
    </row>
    <row r="26" spans="1:49" x14ac:dyDescent="0.2">
      <c r="A26" s="1" t="s">
        <v>368</v>
      </c>
      <c r="B26" s="7">
        <v>115602</v>
      </c>
      <c r="C26" s="7">
        <v>0</v>
      </c>
      <c r="D26" s="2">
        <f>(B26+C26)*0.124</f>
        <v>14334.65</v>
      </c>
      <c r="E26" s="2">
        <f t="shared" si="25"/>
        <v>5664.5</v>
      </c>
      <c r="F26" s="2">
        <f t="shared" si="26"/>
        <v>6057.54</v>
      </c>
      <c r="G26" s="2">
        <f t="shared" si="2"/>
        <v>10196.1</v>
      </c>
      <c r="H26" s="2">
        <f t="shared" si="24"/>
        <v>1132.9000000000001</v>
      </c>
      <c r="I26" s="2">
        <f t="shared" si="3"/>
        <v>0</v>
      </c>
      <c r="J26" s="381">
        <f t="shared" si="4"/>
        <v>37385.69</v>
      </c>
      <c r="K26" s="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>
        <v>115602</v>
      </c>
      <c r="X26" s="7"/>
      <c r="Y26" s="7"/>
      <c r="Z26" s="7"/>
      <c r="AA26" s="7"/>
      <c r="AB26" s="7"/>
      <c r="AC26" s="7"/>
      <c r="AD26" s="7">
        <f t="shared" si="5"/>
        <v>115602</v>
      </c>
      <c r="AE26" s="7"/>
      <c r="AF26" s="283">
        <f t="shared" si="6"/>
        <v>0</v>
      </c>
      <c r="AG26" s="283">
        <f t="shared" si="7"/>
        <v>0</v>
      </c>
      <c r="AH26" s="283">
        <f t="shared" si="8"/>
        <v>0</v>
      </c>
      <c r="AI26" s="283">
        <f t="shared" si="9"/>
        <v>0</v>
      </c>
      <c r="AJ26" s="283">
        <f t="shared" si="10"/>
        <v>0</v>
      </c>
      <c r="AK26" s="283">
        <f t="shared" si="11"/>
        <v>0</v>
      </c>
      <c r="AL26" s="283">
        <f t="shared" si="12"/>
        <v>0</v>
      </c>
      <c r="AM26" s="283">
        <f t="shared" si="13"/>
        <v>0</v>
      </c>
      <c r="AN26" s="283">
        <f t="shared" si="14"/>
        <v>0</v>
      </c>
      <c r="AO26" s="283">
        <f t="shared" si="15"/>
        <v>0</v>
      </c>
      <c r="AP26" s="283">
        <f t="shared" si="16"/>
        <v>10196.1</v>
      </c>
      <c r="AQ26" s="283">
        <f t="shared" si="17"/>
        <v>0</v>
      </c>
      <c r="AR26" s="283">
        <f t="shared" si="18"/>
        <v>0</v>
      </c>
      <c r="AS26" s="283">
        <f t="shared" si="19"/>
        <v>0</v>
      </c>
      <c r="AT26" s="283">
        <f t="shared" si="20"/>
        <v>0</v>
      </c>
      <c r="AU26" s="283">
        <f t="shared" si="21"/>
        <v>0</v>
      </c>
      <c r="AV26" s="283">
        <f t="shared" si="22"/>
        <v>0</v>
      </c>
      <c r="AW26" s="319">
        <f t="shared" si="23"/>
        <v>10196.1</v>
      </c>
    </row>
    <row r="27" spans="1:49" x14ac:dyDescent="0.2">
      <c r="A27" s="1" t="s">
        <v>449</v>
      </c>
      <c r="B27" s="7">
        <v>1823811</v>
      </c>
      <c r="C27" s="7">
        <v>11222867</v>
      </c>
      <c r="D27" s="2">
        <f>(B27+C27)*0.124</f>
        <v>1617788.07</v>
      </c>
      <c r="E27" s="2">
        <f t="shared" si="25"/>
        <v>639287.22</v>
      </c>
      <c r="F27" s="2">
        <f t="shared" si="26"/>
        <v>683645.93</v>
      </c>
      <c r="G27" s="2">
        <f t="shared" si="2"/>
        <v>1116612.27</v>
      </c>
      <c r="H27" s="2">
        <f t="shared" si="24"/>
        <v>127857.44</v>
      </c>
      <c r="I27" s="2">
        <f t="shared" si="3"/>
        <v>19039.62</v>
      </c>
      <c r="J27" s="381">
        <f t="shared" si="4"/>
        <v>4204230.55</v>
      </c>
      <c r="K27" s="1"/>
      <c r="L27" s="7"/>
      <c r="M27" s="7">
        <v>1109585</v>
      </c>
      <c r="N27" s="7"/>
      <c r="O27" s="7">
        <v>8987442</v>
      </c>
      <c r="P27" s="7">
        <v>696015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v>2253636</v>
      </c>
      <c r="AC27" s="7"/>
      <c r="AD27" s="7">
        <f t="shared" si="5"/>
        <v>13046678</v>
      </c>
      <c r="AE27" s="7"/>
      <c r="AF27" s="283">
        <f t="shared" si="6"/>
        <v>97865.4</v>
      </c>
      <c r="AG27" s="283">
        <f t="shared" si="7"/>
        <v>0</v>
      </c>
      <c r="AH27" s="283">
        <f t="shared" si="8"/>
        <v>792692.38</v>
      </c>
      <c r="AI27" s="283">
        <f t="shared" si="9"/>
        <v>27283.79</v>
      </c>
      <c r="AJ27" s="283">
        <f t="shared" si="10"/>
        <v>0</v>
      </c>
      <c r="AK27" s="283">
        <f t="shared" si="11"/>
        <v>0</v>
      </c>
      <c r="AL27" s="283">
        <f t="shared" si="12"/>
        <v>0</v>
      </c>
      <c r="AM27" s="283">
        <f t="shared" si="13"/>
        <v>0</v>
      </c>
      <c r="AN27" s="283">
        <f t="shared" si="14"/>
        <v>0</v>
      </c>
      <c r="AO27" s="283">
        <f t="shared" si="15"/>
        <v>0</v>
      </c>
      <c r="AP27" s="283">
        <f t="shared" si="16"/>
        <v>0</v>
      </c>
      <c r="AQ27" s="283">
        <f t="shared" si="17"/>
        <v>0</v>
      </c>
      <c r="AR27" s="283">
        <f t="shared" si="18"/>
        <v>0</v>
      </c>
      <c r="AS27" s="283">
        <f t="shared" si="19"/>
        <v>0</v>
      </c>
      <c r="AT27" s="283">
        <f t="shared" si="20"/>
        <v>0</v>
      </c>
      <c r="AU27" s="283">
        <f t="shared" si="21"/>
        <v>198770.7</v>
      </c>
      <c r="AV27" s="283">
        <f t="shared" si="22"/>
        <v>0</v>
      </c>
      <c r="AW27" s="319">
        <f t="shared" si="23"/>
        <v>1116612.27</v>
      </c>
    </row>
    <row r="28" spans="1:49" x14ac:dyDescent="0.2">
      <c r="A28" s="1" t="s">
        <v>353</v>
      </c>
      <c r="B28" s="7">
        <v>23787</v>
      </c>
      <c r="C28" s="7">
        <v>1072738</v>
      </c>
      <c r="D28" s="2">
        <f>(B28+C28)*0.124</f>
        <v>135969.1</v>
      </c>
      <c r="E28" s="2">
        <f t="shared" si="25"/>
        <v>53729.73</v>
      </c>
      <c r="F28" s="2">
        <f t="shared" si="26"/>
        <v>57457.91</v>
      </c>
      <c r="G28" s="2">
        <f t="shared" si="2"/>
        <v>96713.51</v>
      </c>
      <c r="H28" s="2">
        <f>(B28+C28)*0.0098-0.01</f>
        <v>10745.94</v>
      </c>
      <c r="I28" s="2">
        <f t="shared" si="3"/>
        <v>0</v>
      </c>
      <c r="J28" s="381">
        <f t="shared" si="4"/>
        <v>354616.19</v>
      </c>
      <c r="K28" s="1"/>
      <c r="L28" s="7"/>
      <c r="M28" s="7"/>
      <c r="N28" s="7"/>
      <c r="O28" s="7">
        <v>1092495</v>
      </c>
      <c r="P28" s="7"/>
      <c r="Q28" s="7"/>
      <c r="R28" s="7"/>
      <c r="S28" s="7"/>
      <c r="T28" s="7"/>
      <c r="U28" s="7"/>
      <c r="V28" s="7"/>
      <c r="W28" s="7">
        <v>4030</v>
      </c>
      <c r="X28" s="7"/>
      <c r="Y28" s="7"/>
      <c r="Z28" s="7"/>
      <c r="AA28" s="7"/>
      <c r="AB28" s="7"/>
      <c r="AC28" s="7"/>
      <c r="AD28" s="7">
        <f t="shared" si="5"/>
        <v>1096525</v>
      </c>
      <c r="AE28" s="7"/>
      <c r="AF28" s="283">
        <f t="shared" si="6"/>
        <v>0</v>
      </c>
      <c r="AG28" s="283">
        <f t="shared" si="7"/>
        <v>0</v>
      </c>
      <c r="AH28" s="283">
        <f t="shared" si="8"/>
        <v>96358.06</v>
      </c>
      <c r="AI28" s="283">
        <f t="shared" si="9"/>
        <v>0</v>
      </c>
      <c r="AJ28" s="283">
        <f t="shared" si="10"/>
        <v>0</v>
      </c>
      <c r="AK28" s="283">
        <f t="shared" si="11"/>
        <v>0</v>
      </c>
      <c r="AL28" s="283">
        <f t="shared" si="12"/>
        <v>0</v>
      </c>
      <c r="AM28" s="283">
        <f t="shared" si="13"/>
        <v>0</v>
      </c>
      <c r="AN28" s="283">
        <f t="shared" si="14"/>
        <v>0</v>
      </c>
      <c r="AO28" s="283">
        <f t="shared" si="15"/>
        <v>0</v>
      </c>
      <c r="AP28" s="283">
        <f t="shared" si="16"/>
        <v>355.45</v>
      </c>
      <c r="AQ28" s="283">
        <f t="shared" si="17"/>
        <v>0</v>
      </c>
      <c r="AR28" s="283">
        <f t="shared" si="18"/>
        <v>0</v>
      </c>
      <c r="AS28" s="283">
        <f t="shared" si="19"/>
        <v>0</v>
      </c>
      <c r="AT28" s="283">
        <f t="shared" si="20"/>
        <v>0</v>
      </c>
      <c r="AU28" s="283">
        <f t="shared" si="21"/>
        <v>0</v>
      </c>
      <c r="AV28" s="283">
        <f t="shared" si="22"/>
        <v>0</v>
      </c>
      <c r="AW28" s="319">
        <f t="shared" si="23"/>
        <v>96713.51</v>
      </c>
    </row>
    <row r="29" spans="1:49" s="20" customFormat="1" x14ac:dyDescent="0.2">
      <c r="A29" s="18" t="s">
        <v>493</v>
      </c>
      <c r="B29" s="243">
        <v>54262</v>
      </c>
      <c r="C29" s="243">
        <v>0</v>
      </c>
      <c r="D29" s="2">
        <f>(B29+C29)*0.124-0.01</f>
        <v>6728.48</v>
      </c>
      <c r="E29" s="78">
        <f t="shared" si="25"/>
        <v>2658.84</v>
      </c>
      <c r="F29" s="78">
        <f t="shared" si="26"/>
        <v>2843.33</v>
      </c>
      <c r="G29" s="2">
        <f t="shared" si="2"/>
        <v>2127.0700000000002</v>
      </c>
      <c r="H29" s="2">
        <f t="shared" si="24"/>
        <v>531.77</v>
      </c>
      <c r="I29" s="2">
        <f t="shared" si="3"/>
        <v>0</v>
      </c>
      <c r="J29" s="381">
        <f t="shared" si="4"/>
        <v>14889.49</v>
      </c>
      <c r="K29" s="18"/>
      <c r="L29" s="243"/>
      <c r="M29" s="243"/>
      <c r="N29" s="243"/>
      <c r="O29" s="243"/>
      <c r="P29" s="243"/>
      <c r="Q29" s="243">
        <v>54262</v>
      </c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>
        <f>SUM(L29:AC29)</f>
        <v>54262</v>
      </c>
      <c r="AE29" s="243"/>
      <c r="AF29" s="283">
        <f t="shared" si="6"/>
        <v>0</v>
      </c>
      <c r="AG29" s="283">
        <f t="shared" si="7"/>
        <v>0</v>
      </c>
      <c r="AH29" s="283">
        <f t="shared" si="8"/>
        <v>0</v>
      </c>
      <c r="AI29" s="283">
        <f t="shared" si="9"/>
        <v>0</v>
      </c>
      <c r="AJ29" s="283">
        <f t="shared" si="10"/>
        <v>2127.0700000000002</v>
      </c>
      <c r="AK29" s="283">
        <f t="shared" si="11"/>
        <v>0</v>
      </c>
      <c r="AL29" s="283">
        <f t="shared" si="12"/>
        <v>0</v>
      </c>
      <c r="AM29" s="283">
        <f t="shared" si="13"/>
        <v>0</v>
      </c>
      <c r="AN29" s="283">
        <f t="shared" si="14"/>
        <v>0</v>
      </c>
      <c r="AO29" s="283">
        <f t="shared" si="15"/>
        <v>0</v>
      </c>
      <c r="AP29" s="283">
        <f t="shared" si="16"/>
        <v>0</v>
      </c>
      <c r="AQ29" s="283">
        <f t="shared" si="17"/>
        <v>0</v>
      </c>
      <c r="AR29" s="283">
        <f t="shared" si="18"/>
        <v>0</v>
      </c>
      <c r="AS29" s="283">
        <f t="shared" si="19"/>
        <v>0</v>
      </c>
      <c r="AT29" s="283">
        <f t="shared" si="20"/>
        <v>0</v>
      </c>
      <c r="AU29" s="283">
        <f t="shared" si="21"/>
        <v>0</v>
      </c>
      <c r="AV29" s="283">
        <f t="shared" si="22"/>
        <v>0</v>
      </c>
      <c r="AW29" s="319">
        <f t="shared" si="23"/>
        <v>2127.0700000000002</v>
      </c>
    </row>
    <row r="30" spans="1:49" s="20" customFormat="1" x14ac:dyDescent="0.2">
      <c r="A30" s="1" t="s">
        <v>301</v>
      </c>
      <c r="B30" s="243">
        <v>0</v>
      </c>
      <c r="C30" s="243">
        <v>149233</v>
      </c>
      <c r="D30" s="2">
        <f>(B30+C30)*0.124</f>
        <v>18504.89</v>
      </c>
      <c r="E30" s="78">
        <f t="shared" ref="E30:E35" si="27">(B30+C30)*0.049</f>
        <v>7312.42</v>
      </c>
      <c r="F30" s="78">
        <f t="shared" ref="F30:F35" si="28">(B30+C30)*0.0524</f>
        <v>7819.81</v>
      </c>
      <c r="G30" s="2">
        <f t="shared" si="2"/>
        <v>13162.35</v>
      </c>
      <c r="H30" s="2">
        <f t="shared" si="24"/>
        <v>1462.48</v>
      </c>
      <c r="I30" s="2">
        <f t="shared" si="3"/>
        <v>0</v>
      </c>
      <c r="J30" s="381">
        <f t="shared" si="4"/>
        <v>48261.95</v>
      </c>
      <c r="K30" s="18"/>
      <c r="L30" s="243"/>
      <c r="M30" s="243"/>
      <c r="N30" s="243"/>
      <c r="O30" s="243">
        <v>149233</v>
      </c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>
        <f t="shared" ref="AD30:AD35" si="29">SUM(L30:AC30)</f>
        <v>149233</v>
      </c>
      <c r="AE30" s="243"/>
      <c r="AF30" s="283">
        <f t="shared" si="6"/>
        <v>0</v>
      </c>
      <c r="AG30" s="283">
        <f t="shared" si="7"/>
        <v>0</v>
      </c>
      <c r="AH30" s="283">
        <f t="shared" si="8"/>
        <v>13162.35</v>
      </c>
      <c r="AI30" s="283">
        <f t="shared" si="9"/>
        <v>0</v>
      </c>
      <c r="AJ30" s="283">
        <f t="shared" si="10"/>
        <v>0</v>
      </c>
      <c r="AK30" s="283">
        <f t="shared" si="11"/>
        <v>0</v>
      </c>
      <c r="AL30" s="283">
        <f t="shared" si="12"/>
        <v>0</v>
      </c>
      <c r="AM30" s="283">
        <f t="shared" si="13"/>
        <v>0</v>
      </c>
      <c r="AN30" s="283">
        <f t="shared" si="14"/>
        <v>0</v>
      </c>
      <c r="AO30" s="283">
        <f t="shared" si="15"/>
        <v>0</v>
      </c>
      <c r="AP30" s="283">
        <f t="shared" si="16"/>
        <v>0</v>
      </c>
      <c r="AQ30" s="283">
        <f t="shared" si="17"/>
        <v>0</v>
      </c>
      <c r="AR30" s="283">
        <f t="shared" si="18"/>
        <v>0</v>
      </c>
      <c r="AS30" s="283">
        <f t="shared" si="19"/>
        <v>0</v>
      </c>
      <c r="AT30" s="283">
        <f t="shared" si="20"/>
        <v>0</v>
      </c>
      <c r="AU30" s="283">
        <f t="shared" si="21"/>
        <v>0</v>
      </c>
      <c r="AV30" s="283">
        <f t="shared" si="22"/>
        <v>0</v>
      </c>
      <c r="AW30" s="319">
        <f t="shared" si="23"/>
        <v>13162.35</v>
      </c>
    </row>
    <row r="31" spans="1:49" x14ac:dyDescent="0.2">
      <c r="A31" s="18" t="s">
        <v>640</v>
      </c>
      <c r="B31" s="7">
        <v>868</v>
      </c>
      <c r="C31" s="7">
        <v>0</v>
      </c>
      <c r="D31" s="2">
        <f>(B31+C31)*0.124+0.01</f>
        <v>107.64</v>
      </c>
      <c r="E31" s="2">
        <f>(B31+C31)*0.049</f>
        <v>42.53</v>
      </c>
      <c r="F31" s="2">
        <f>(B31+C31)*0.0524</f>
        <v>45.48</v>
      </c>
      <c r="G31" s="2">
        <f t="shared" si="2"/>
        <v>34.03</v>
      </c>
      <c r="H31" s="2">
        <f t="shared" si="24"/>
        <v>8.51</v>
      </c>
      <c r="I31" s="2">
        <f t="shared" si="3"/>
        <v>0</v>
      </c>
      <c r="J31" s="381">
        <f t="shared" si="4"/>
        <v>238.19</v>
      </c>
      <c r="K31" s="1"/>
      <c r="L31" s="7"/>
      <c r="M31" s="7"/>
      <c r="N31" s="7"/>
      <c r="O31" s="7"/>
      <c r="P31" s="7"/>
      <c r="Q31" s="7">
        <v>868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>
        <f t="shared" si="29"/>
        <v>868</v>
      </c>
      <c r="AF31" s="283">
        <f t="shared" si="6"/>
        <v>0</v>
      </c>
      <c r="AG31" s="283">
        <f t="shared" si="7"/>
        <v>0</v>
      </c>
      <c r="AH31" s="283">
        <f t="shared" si="8"/>
        <v>0</v>
      </c>
      <c r="AI31" s="283">
        <f t="shared" si="9"/>
        <v>0</v>
      </c>
      <c r="AJ31" s="283">
        <f t="shared" si="10"/>
        <v>34.03</v>
      </c>
      <c r="AK31" s="283">
        <f t="shared" si="11"/>
        <v>0</v>
      </c>
      <c r="AL31" s="283">
        <f t="shared" si="12"/>
        <v>0</v>
      </c>
      <c r="AM31" s="283">
        <f t="shared" si="13"/>
        <v>0</v>
      </c>
      <c r="AN31" s="283">
        <f t="shared" si="14"/>
        <v>0</v>
      </c>
      <c r="AO31" s="283">
        <f t="shared" si="15"/>
        <v>0</v>
      </c>
      <c r="AP31" s="283">
        <f t="shared" si="16"/>
        <v>0</v>
      </c>
      <c r="AQ31" s="283">
        <f t="shared" si="17"/>
        <v>0</v>
      </c>
      <c r="AR31" s="283">
        <f t="shared" si="18"/>
        <v>0</v>
      </c>
      <c r="AS31" s="283">
        <f t="shared" si="19"/>
        <v>0</v>
      </c>
      <c r="AT31" s="283">
        <f t="shared" si="20"/>
        <v>0</v>
      </c>
      <c r="AU31" s="283">
        <f t="shared" si="21"/>
        <v>0</v>
      </c>
      <c r="AV31" s="283">
        <f t="shared" si="22"/>
        <v>0</v>
      </c>
      <c r="AW31" s="319">
        <f t="shared" si="23"/>
        <v>34.03</v>
      </c>
    </row>
    <row r="32" spans="1:49" x14ac:dyDescent="0.2">
      <c r="A32" s="1" t="s">
        <v>41</v>
      </c>
      <c r="B32" s="7">
        <v>491777</v>
      </c>
      <c r="C32" s="7">
        <v>0</v>
      </c>
      <c r="D32" s="2">
        <f>(B32+C32)*0.124+0.01</f>
        <v>60980.36</v>
      </c>
      <c r="E32" s="2">
        <f t="shared" si="27"/>
        <v>24097.07</v>
      </c>
      <c r="F32" s="2">
        <f t="shared" si="28"/>
        <v>25769.11</v>
      </c>
      <c r="G32" s="2">
        <f t="shared" si="2"/>
        <v>38436.44</v>
      </c>
      <c r="H32" s="2">
        <f>(B32+C32)*0.0098+0.01</f>
        <v>4819.42</v>
      </c>
      <c r="I32" s="2">
        <f t="shared" si="3"/>
        <v>637.70000000000005</v>
      </c>
      <c r="J32" s="381">
        <f t="shared" si="4"/>
        <v>154740.1</v>
      </c>
      <c r="K32" s="1"/>
      <c r="L32" s="7"/>
      <c r="M32" s="7">
        <v>155154</v>
      </c>
      <c r="N32" s="7">
        <v>4504</v>
      </c>
      <c r="O32" s="7"/>
      <c r="P32" s="7">
        <v>78874</v>
      </c>
      <c r="Q32" s="7"/>
      <c r="R32" s="7"/>
      <c r="S32" s="7"/>
      <c r="T32" s="7">
        <v>10003</v>
      </c>
      <c r="U32" s="7">
        <v>6999</v>
      </c>
      <c r="V32" s="7"/>
      <c r="W32" s="7">
        <v>114649</v>
      </c>
      <c r="X32" s="7"/>
      <c r="Y32" s="7"/>
      <c r="Z32" s="7">
        <v>24205</v>
      </c>
      <c r="AA32" s="7">
        <v>21907</v>
      </c>
      <c r="AB32" s="7">
        <v>75482</v>
      </c>
      <c r="AC32" s="7"/>
      <c r="AD32" s="7">
        <f t="shared" si="29"/>
        <v>491777</v>
      </c>
      <c r="AE32" s="7"/>
      <c r="AF32" s="283">
        <f t="shared" si="6"/>
        <v>13684.58</v>
      </c>
      <c r="AG32" s="283">
        <f t="shared" si="7"/>
        <v>397.25</v>
      </c>
      <c r="AH32" s="283">
        <f t="shared" si="8"/>
        <v>0</v>
      </c>
      <c r="AI32" s="283">
        <f t="shared" si="9"/>
        <v>3091.86</v>
      </c>
      <c r="AJ32" s="283">
        <f t="shared" si="10"/>
        <v>0</v>
      </c>
      <c r="AK32" s="283">
        <f t="shared" si="11"/>
        <v>0</v>
      </c>
      <c r="AL32" s="283">
        <f t="shared" si="12"/>
        <v>0</v>
      </c>
      <c r="AM32" s="283">
        <f t="shared" si="13"/>
        <v>882.26</v>
      </c>
      <c r="AN32" s="283">
        <f t="shared" si="14"/>
        <v>617.30999999999995</v>
      </c>
      <c r="AO32" s="283">
        <f t="shared" si="15"/>
        <v>0</v>
      </c>
      <c r="AP32" s="283">
        <f t="shared" si="16"/>
        <v>10112.040000000001</v>
      </c>
      <c r="AQ32" s="283">
        <f t="shared" si="17"/>
        <v>0</v>
      </c>
      <c r="AR32" s="283">
        <f t="shared" si="18"/>
        <v>0</v>
      </c>
      <c r="AS32" s="283">
        <f t="shared" si="19"/>
        <v>2134.88</v>
      </c>
      <c r="AT32" s="283">
        <f t="shared" si="20"/>
        <v>858.75</v>
      </c>
      <c r="AU32" s="283">
        <f t="shared" si="21"/>
        <v>6657.51</v>
      </c>
      <c r="AV32" s="283">
        <f t="shared" si="22"/>
        <v>0</v>
      </c>
      <c r="AW32" s="319">
        <f t="shared" si="23"/>
        <v>38436.44</v>
      </c>
    </row>
    <row r="33" spans="1:49" x14ac:dyDescent="0.2">
      <c r="A33" s="1" t="s">
        <v>450</v>
      </c>
      <c r="B33" s="7">
        <v>425904</v>
      </c>
      <c r="C33" s="7">
        <v>0</v>
      </c>
      <c r="D33" s="2">
        <f>(B33+C33)*0.124-0.01</f>
        <v>52812.09</v>
      </c>
      <c r="E33" s="2">
        <f>(B33+C33)*0.049</f>
        <v>20869.3</v>
      </c>
      <c r="F33" s="2">
        <f>(B33+C33)*0.0524</f>
        <v>22317.37</v>
      </c>
      <c r="G33" s="2">
        <f t="shared" si="2"/>
        <v>30071.31</v>
      </c>
      <c r="H33" s="2">
        <f>(B33+C33)*0.0098-0.01</f>
        <v>4173.8500000000004</v>
      </c>
      <c r="I33" s="2">
        <f t="shared" si="3"/>
        <v>0</v>
      </c>
      <c r="J33" s="381">
        <f t="shared" si="4"/>
        <v>130243.92</v>
      </c>
      <c r="K33" s="1"/>
      <c r="L33" s="7"/>
      <c r="M33" s="7"/>
      <c r="N33" s="7"/>
      <c r="O33" s="7"/>
      <c r="P33" s="7"/>
      <c r="Q33" s="7">
        <v>152927</v>
      </c>
      <c r="R33" s="7"/>
      <c r="S33" s="7"/>
      <c r="T33" s="7">
        <v>272977</v>
      </c>
      <c r="U33" s="7"/>
      <c r="V33" s="7"/>
      <c r="W33" s="7"/>
      <c r="X33" s="7"/>
      <c r="Y33" s="7"/>
      <c r="Z33" s="7"/>
      <c r="AA33" s="7"/>
      <c r="AB33" s="7"/>
      <c r="AC33" s="7"/>
      <c r="AD33" s="7">
        <f>SUM(L33:AC33)</f>
        <v>425904</v>
      </c>
      <c r="AE33" s="7"/>
      <c r="AF33" s="283">
        <f t="shared" si="6"/>
        <v>0</v>
      </c>
      <c r="AG33" s="283">
        <f t="shared" si="7"/>
        <v>0</v>
      </c>
      <c r="AH33" s="283">
        <f t="shared" si="8"/>
        <v>0</v>
      </c>
      <c r="AI33" s="283">
        <f t="shared" si="9"/>
        <v>0</v>
      </c>
      <c r="AJ33" s="283">
        <f t="shared" si="10"/>
        <v>5994.74</v>
      </c>
      <c r="AK33" s="283">
        <f t="shared" si="11"/>
        <v>0</v>
      </c>
      <c r="AL33" s="283">
        <f t="shared" si="12"/>
        <v>0</v>
      </c>
      <c r="AM33" s="283">
        <f t="shared" si="13"/>
        <v>24076.57</v>
      </c>
      <c r="AN33" s="283">
        <f t="shared" si="14"/>
        <v>0</v>
      </c>
      <c r="AO33" s="283">
        <f t="shared" si="15"/>
        <v>0</v>
      </c>
      <c r="AP33" s="283">
        <f t="shared" si="16"/>
        <v>0</v>
      </c>
      <c r="AQ33" s="283">
        <f t="shared" si="17"/>
        <v>0</v>
      </c>
      <c r="AR33" s="283">
        <f t="shared" si="18"/>
        <v>0</v>
      </c>
      <c r="AS33" s="283">
        <f t="shared" si="19"/>
        <v>0</v>
      </c>
      <c r="AT33" s="283">
        <f t="shared" si="20"/>
        <v>0</v>
      </c>
      <c r="AU33" s="283">
        <f t="shared" si="21"/>
        <v>0</v>
      </c>
      <c r="AV33" s="283">
        <f t="shared" si="22"/>
        <v>0</v>
      </c>
      <c r="AW33" s="319">
        <f t="shared" si="23"/>
        <v>30071.31</v>
      </c>
    </row>
    <row r="34" spans="1:49" x14ac:dyDescent="0.2">
      <c r="A34" s="1" t="s">
        <v>42</v>
      </c>
      <c r="B34" s="7">
        <v>3665321</v>
      </c>
      <c r="C34" s="7">
        <v>0</v>
      </c>
      <c r="D34" s="2">
        <f>(B34+C34)*0.124</f>
        <v>454499.8</v>
      </c>
      <c r="E34" s="2">
        <f>(B34+C34)*0.049</f>
        <v>179600.73</v>
      </c>
      <c r="F34" s="2">
        <f>(B34+C34)*0.0524</f>
        <v>192062.82</v>
      </c>
      <c r="G34" s="2">
        <f t="shared" si="2"/>
        <v>323281.31</v>
      </c>
      <c r="H34" s="2">
        <f t="shared" si="24"/>
        <v>35920.15</v>
      </c>
      <c r="I34" s="2">
        <f t="shared" si="3"/>
        <v>74.02</v>
      </c>
      <c r="J34" s="381">
        <f t="shared" si="4"/>
        <v>1185438.83</v>
      </c>
      <c r="K34" s="1"/>
      <c r="L34" s="7"/>
      <c r="M34" s="7"/>
      <c r="N34" s="7"/>
      <c r="O34" s="7">
        <v>3656559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>
        <v>8762</v>
      </c>
      <c r="AC34" s="7"/>
      <c r="AD34" s="7">
        <f>SUM(L34:AC34)</f>
        <v>3665321</v>
      </c>
      <c r="AE34" s="7"/>
      <c r="AF34" s="283">
        <f t="shared" si="6"/>
        <v>0</v>
      </c>
      <c r="AG34" s="283">
        <f t="shared" si="7"/>
        <v>0</v>
      </c>
      <c r="AH34" s="283">
        <f t="shared" si="8"/>
        <v>322508.5</v>
      </c>
      <c r="AI34" s="283">
        <f t="shared" si="9"/>
        <v>0</v>
      </c>
      <c r="AJ34" s="283">
        <f t="shared" si="10"/>
        <v>0</v>
      </c>
      <c r="AK34" s="283">
        <f t="shared" si="11"/>
        <v>0</v>
      </c>
      <c r="AL34" s="283">
        <f t="shared" si="12"/>
        <v>0</v>
      </c>
      <c r="AM34" s="283">
        <f t="shared" si="13"/>
        <v>0</v>
      </c>
      <c r="AN34" s="283">
        <f t="shared" si="14"/>
        <v>0</v>
      </c>
      <c r="AO34" s="283">
        <f t="shared" si="15"/>
        <v>0</v>
      </c>
      <c r="AP34" s="283">
        <f t="shared" si="16"/>
        <v>0</v>
      </c>
      <c r="AQ34" s="283">
        <f t="shared" si="17"/>
        <v>0</v>
      </c>
      <c r="AR34" s="283">
        <f t="shared" si="18"/>
        <v>0</v>
      </c>
      <c r="AS34" s="283">
        <f t="shared" si="19"/>
        <v>0</v>
      </c>
      <c r="AT34" s="283">
        <f t="shared" si="20"/>
        <v>0</v>
      </c>
      <c r="AU34" s="283">
        <f t="shared" si="21"/>
        <v>772.81</v>
      </c>
      <c r="AV34" s="283">
        <f t="shared" si="22"/>
        <v>0</v>
      </c>
      <c r="AW34" s="319">
        <f t="shared" si="23"/>
        <v>323281.31</v>
      </c>
    </row>
    <row r="35" spans="1:49" x14ac:dyDescent="0.2">
      <c r="A35" s="1" t="s">
        <v>43</v>
      </c>
      <c r="B35" s="7">
        <v>29958</v>
      </c>
      <c r="C35" s="7">
        <v>0</v>
      </c>
      <c r="D35" s="2">
        <f>(B35+C35)*0.124</f>
        <v>3714.79</v>
      </c>
      <c r="E35" s="2">
        <f t="shared" si="27"/>
        <v>1467.94</v>
      </c>
      <c r="F35" s="2">
        <f t="shared" si="28"/>
        <v>1569.8</v>
      </c>
      <c r="G35" s="2">
        <f t="shared" si="2"/>
        <v>2444.83</v>
      </c>
      <c r="H35" s="2">
        <f t="shared" si="24"/>
        <v>293.58999999999997</v>
      </c>
      <c r="I35" s="2">
        <f t="shared" si="3"/>
        <v>0</v>
      </c>
      <c r="J35" s="381">
        <f t="shared" si="4"/>
        <v>9490.9500000000007</v>
      </c>
      <c r="K35" s="1"/>
      <c r="L35" s="7"/>
      <c r="M35" s="7"/>
      <c r="N35" s="7"/>
      <c r="O35" s="7"/>
      <c r="P35" s="7"/>
      <c r="Q35" s="7"/>
      <c r="R35" s="7"/>
      <c r="S35" s="7">
        <v>1605</v>
      </c>
      <c r="T35" s="7"/>
      <c r="U35" s="7"/>
      <c r="V35" s="7"/>
      <c r="W35" s="7"/>
      <c r="X35" s="7"/>
      <c r="Y35" s="7">
        <v>2425</v>
      </c>
      <c r="Z35" s="7"/>
      <c r="AA35" s="7"/>
      <c r="AB35" s="7"/>
      <c r="AC35" s="7">
        <v>25928</v>
      </c>
      <c r="AD35" s="7">
        <f t="shared" si="29"/>
        <v>29958</v>
      </c>
      <c r="AE35" s="7"/>
      <c r="AF35" s="283">
        <f t="shared" si="6"/>
        <v>0</v>
      </c>
      <c r="AG35" s="283">
        <f t="shared" si="7"/>
        <v>0</v>
      </c>
      <c r="AH35" s="283">
        <f t="shared" si="8"/>
        <v>0</v>
      </c>
      <c r="AI35" s="283">
        <f t="shared" si="9"/>
        <v>0</v>
      </c>
      <c r="AJ35" s="283">
        <f t="shared" si="10"/>
        <v>0</v>
      </c>
      <c r="AK35" s="283">
        <f t="shared" si="11"/>
        <v>0</v>
      </c>
      <c r="AL35" s="283">
        <f t="shared" si="12"/>
        <v>62.92</v>
      </c>
      <c r="AM35" s="283">
        <f t="shared" si="13"/>
        <v>0</v>
      </c>
      <c r="AN35" s="283">
        <f t="shared" si="14"/>
        <v>0</v>
      </c>
      <c r="AO35" s="283">
        <f t="shared" si="15"/>
        <v>0</v>
      </c>
      <c r="AP35" s="283">
        <f t="shared" si="16"/>
        <v>0</v>
      </c>
      <c r="AQ35" s="283">
        <f t="shared" si="17"/>
        <v>0</v>
      </c>
      <c r="AR35" s="283">
        <f t="shared" si="18"/>
        <v>95.06</v>
      </c>
      <c r="AS35" s="283">
        <f t="shared" si="19"/>
        <v>0</v>
      </c>
      <c r="AT35" s="283">
        <f t="shared" si="20"/>
        <v>0</v>
      </c>
      <c r="AU35" s="283">
        <f t="shared" si="21"/>
        <v>0</v>
      </c>
      <c r="AV35" s="283">
        <f t="shared" si="22"/>
        <v>2286.85</v>
      </c>
      <c r="AW35" s="319">
        <f t="shared" si="23"/>
        <v>2444.83</v>
      </c>
    </row>
    <row r="36" spans="1:49" x14ac:dyDescent="0.2">
      <c r="A36" s="18" t="s">
        <v>44</v>
      </c>
      <c r="B36" s="7">
        <v>0</v>
      </c>
      <c r="C36" s="7">
        <v>1230245</v>
      </c>
      <c r="D36" s="2">
        <f>(B36+C36)*0.124-0.01</f>
        <v>152550.37</v>
      </c>
      <c r="E36" s="2">
        <f>(B36+C36)*0.049</f>
        <v>60282.01</v>
      </c>
      <c r="F36" s="2">
        <f>(B36+C36)*0.0524</f>
        <v>64464.84</v>
      </c>
      <c r="G36" s="2">
        <f t="shared" si="2"/>
        <v>108507.61</v>
      </c>
      <c r="H36" s="2">
        <f t="shared" si="24"/>
        <v>12056.4</v>
      </c>
      <c r="I36" s="2">
        <f t="shared" si="3"/>
        <v>0</v>
      </c>
      <c r="J36" s="381">
        <f t="shared" si="4"/>
        <v>397861.23</v>
      </c>
      <c r="K36" s="1"/>
      <c r="L36" s="7"/>
      <c r="M36" s="7"/>
      <c r="N36" s="7"/>
      <c r="O36" s="7">
        <v>1230245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>
        <f>SUM(L36:AC36)</f>
        <v>1230245</v>
      </c>
      <c r="AE36" s="7"/>
      <c r="AF36" s="283">
        <f t="shared" si="6"/>
        <v>0</v>
      </c>
      <c r="AG36" s="283">
        <f t="shared" si="7"/>
        <v>0</v>
      </c>
      <c r="AH36" s="283">
        <f t="shared" si="8"/>
        <v>108507.61</v>
      </c>
      <c r="AI36" s="283">
        <f t="shared" si="9"/>
        <v>0</v>
      </c>
      <c r="AJ36" s="283">
        <f t="shared" si="10"/>
        <v>0</v>
      </c>
      <c r="AK36" s="283">
        <f t="shared" si="11"/>
        <v>0</v>
      </c>
      <c r="AL36" s="283">
        <f t="shared" si="12"/>
        <v>0</v>
      </c>
      <c r="AM36" s="283">
        <f t="shared" si="13"/>
        <v>0</v>
      </c>
      <c r="AN36" s="283">
        <f t="shared" si="14"/>
        <v>0</v>
      </c>
      <c r="AO36" s="283">
        <f t="shared" si="15"/>
        <v>0</v>
      </c>
      <c r="AP36" s="283">
        <f t="shared" si="16"/>
        <v>0</v>
      </c>
      <c r="AQ36" s="283">
        <f t="shared" si="17"/>
        <v>0</v>
      </c>
      <c r="AR36" s="283">
        <f t="shared" si="18"/>
        <v>0</v>
      </c>
      <c r="AS36" s="283">
        <f t="shared" si="19"/>
        <v>0</v>
      </c>
      <c r="AT36" s="283">
        <f t="shared" si="20"/>
        <v>0</v>
      </c>
      <c r="AU36" s="283">
        <f t="shared" si="21"/>
        <v>0</v>
      </c>
      <c r="AV36" s="283">
        <f t="shared" si="22"/>
        <v>0</v>
      </c>
      <c r="AW36" s="319">
        <f t="shared" si="23"/>
        <v>108507.61</v>
      </c>
    </row>
    <row r="37" spans="1:49" x14ac:dyDescent="0.2">
      <c r="A37" s="18" t="s">
        <v>617</v>
      </c>
      <c r="B37" s="7">
        <v>894</v>
      </c>
      <c r="C37" s="7">
        <v>0</v>
      </c>
      <c r="D37" s="2">
        <f>(B37+C37)*0.124-0.01</f>
        <v>110.85</v>
      </c>
      <c r="E37" s="2">
        <f>(B37+C37)*0.049</f>
        <v>43.81</v>
      </c>
      <c r="F37" s="2">
        <f>(B37+C37)*0.0524</f>
        <v>46.85</v>
      </c>
      <c r="G37" s="2">
        <f t="shared" si="2"/>
        <v>78.849999999999994</v>
      </c>
      <c r="H37" s="2">
        <f t="shared" si="24"/>
        <v>8.76</v>
      </c>
      <c r="I37" s="2">
        <f t="shared" si="3"/>
        <v>3.9</v>
      </c>
      <c r="J37" s="381">
        <f t="shared" si="4"/>
        <v>293.02</v>
      </c>
      <c r="K37" s="1"/>
      <c r="L37" s="7"/>
      <c r="M37" s="7"/>
      <c r="N37" s="7"/>
      <c r="O37" s="7">
        <v>432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>
        <v>462</v>
      </c>
      <c r="AC37" s="7"/>
      <c r="AD37" s="7">
        <f>SUM(L37:AC37)</f>
        <v>894</v>
      </c>
      <c r="AF37" s="283">
        <f t="shared" si="6"/>
        <v>0</v>
      </c>
      <c r="AG37" s="283">
        <f t="shared" si="7"/>
        <v>0</v>
      </c>
      <c r="AH37" s="283">
        <f t="shared" si="8"/>
        <v>38.1</v>
      </c>
      <c r="AI37" s="283">
        <f t="shared" si="9"/>
        <v>0</v>
      </c>
      <c r="AJ37" s="283">
        <f t="shared" si="10"/>
        <v>0</v>
      </c>
      <c r="AK37" s="283">
        <f t="shared" si="11"/>
        <v>0</v>
      </c>
      <c r="AL37" s="283">
        <f t="shared" si="12"/>
        <v>0</v>
      </c>
      <c r="AM37" s="283">
        <f t="shared" si="13"/>
        <v>0</v>
      </c>
      <c r="AN37" s="283">
        <f t="shared" si="14"/>
        <v>0</v>
      </c>
      <c r="AO37" s="283">
        <f t="shared" si="15"/>
        <v>0</v>
      </c>
      <c r="AP37" s="283">
        <f t="shared" si="16"/>
        <v>0</v>
      </c>
      <c r="AQ37" s="283">
        <f t="shared" si="17"/>
        <v>0</v>
      </c>
      <c r="AR37" s="283">
        <f t="shared" si="18"/>
        <v>0</v>
      </c>
      <c r="AS37" s="283">
        <f t="shared" si="19"/>
        <v>0</v>
      </c>
      <c r="AT37" s="283">
        <f t="shared" si="20"/>
        <v>0</v>
      </c>
      <c r="AU37" s="283">
        <f t="shared" si="21"/>
        <v>40.75</v>
      </c>
      <c r="AV37" s="283">
        <f t="shared" si="22"/>
        <v>0</v>
      </c>
      <c r="AW37" s="319">
        <f t="shared" si="23"/>
        <v>78.849999999999994</v>
      </c>
    </row>
    <row r="38" spans="1:49" x14ac:dyDescent="0.2">
      <c r="A38" s="18" t="s">
        <v>609</v>
      </c>
      <c r="B38" s="7">
        <v>51621</v>
      </c>
      <c r="C38" s="7">
        <v>257284</v>
      </c>
      <c r="D38" s="2">
        <f>(B38+C38)*0.124-0.01</f>
        <v>38304.21</v>
      </c>
      <c r="E38" s="2">
        <f>(B38+C38)*0.049</f>
        <v>15136.35</v>
      </c>
      <c r="F38" s="2">
        <f>(B38+C38)*0.0524</f>
        <v>16186.62</v>
      </c>
      <c r="G38" s="2">
        <f t="shared" si="2"/>
        <v>27245.42</v>
      </c>
      <c r="H38" s="2">
        <f>(B38+C38)*0.0098</f>
        <v>3027.27</v>
      </c>
      <c r="I38" s="2">
        <f t="shared" si="3"/>
        <v>2173.64</v>
      </c>
      <c r="J38" s="381">
        <f t="shared" si="4"/>
        <v>102073.51</v>
      </c>
      <c r="K38" s="1"/>
      <c r="L38" s="7"/>
      <c r="M38" s="7"/>
      <c r="N38" s="7"/>
      <c r="O38" s="7">
        <v>51621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>
        <v>257284</v>
      </c>
      <c r="AC38" s="7"/>
      <c r="AD38" s="7">
        <f>SUM(L38:AC38)</f>
        <v>308905</v>
      </c>
      <c r="AE38" s="7"/>
      <c r="AF38" s="283">
        <f t="shared" si="6"/>
        <v>0</v>
      </c>
      <c r="AG38" s="283">
        <f t="shared" si="7"/>
        <v>0</v>
      </c>
      <c r="AH38" s="283">
        <f t="shared" si="8"/>
        <v>4552.97</v>
      </c>
      <c r="AI38" s="283">
        <f t="shared" si="9"/>
        <v>0</v>
      </c>
      <c r="AJ38" s="283">
        <f t="shared" si="10"/>
        <v>0</v>
      </c>
      <c r="AK38" s="283">
        <f t="shared" si="11"/>
        <v>0</v>
      </c>
      <c r="AL38" s="283">
        <f t="shared" si="12"/>
        <v>0</v>
      </c>
      <c r="AM38" s="283">
        <f t="shared" si="13"/>
        <v>0</v>
      </c>
      <c r="AN38" s="283">
        <f t="shared" si="14"/>
        <v>0</v>
      </c>
      <c r="AO38" s="283">
        <f t="shared" si="15"/>
        <v>0</v>
      </c>
      <c r="AP38" s="283">
        <f t="shared" si="16"/>
        <v>0</v>
      </c>
      <c r="AQ38" s="283">
        <f t="shared" si="17"/>
        <v>0</v>
      </c>
      <c r="AR38" s="283">
        <f t="shared" si="18"/>
        <v>0</v>
      </c>
      <c r="AS38" s="283">
        <f t="shared" si="19"/>
        <v>0</v>
      </c>
      <c r="AT38" s="283">
        <f t="shared" si="20"/>
        <v>0</v>
      </c>
      <c r="AU38" s="283">
        <f t="shared" si="21"/>
        <v>22692.45</v>
      </c>
      <c r="AV38" s="283">
        <f t="shared" si="22"/>
        <v>0</v>
      </c>
      <c r="AW38" s="319">
        <f t="shared" si="23"/>
        <v>27245.42</v>
      </c>
    </row>
    <row r="39" spans="1:49" x14ac:dyDescent="0.2">
      <c r="A39" s="1" t="s">
        <v>45</v>
      </c>
      <c r="B39" s="7">
        <v>117442</v>
      </c>
      <c r="C39" s="7">
        <v>0</v>
      </c>
      <c r="D39" s="2">
        <f>(B39+C39)*0.124</f>
        <v>14562.81</v>
      </c>
      <c r="E39" s="2">
        <f t="shared" ref="E39:E45" si="30">(B39+C39)*0.049</f>
        <v>5754.66</v>
      </c>
      <c r="F39" s="2">
        <f t="shared" ref="F39:F45" si="31">(B39+C39)*0.0524</f>
        <v>6153.96</v>
      </c>
      <c r="G39" s="2">
        <f t="shared" si="2"/>
        <v>4603.7299999999996</v>
      </c>
      <c r="H39" s="2">
        <f t="shared" si="24"/>
        <v>1150.93</v>
      </c>
      <c r="I39" s="2">
        <f t="shared" si="3"/>
        <v>0</v>
      </c>
      <c r="J39" s="381">
        <f t="shared" si="4"/>
        <v>32226.09</v>
      </c>
      <c r="K39" s="1"/>
      <c r="L39" s="7"/>
      <c r="M39" s="7"/>
      <c r="N39" s="7"/>
      <c r="O39" s="7"/>
      <c r="P39" s="7"/>
      <c r="Q39" s="7">
        <v>117442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>
        <f t="shared" ref="AD39:AD46" si="32">SUM(L39:AC39)</f>
        <v>117442</v>
      </c>
      <c r="AE39" s="1"/>
      <c r="AF39" s="283">
        <f t="shared" si="6"/>
        <v>0</v>
      </c>
      <c r="AG39" s="283">
        <f t="shared" si="7"/>
        <v>0</v>
      </c>
      <c r="AH39" s="283">
        <f t="shared" si="8"/>
        <v>0</v>
      </c>
      <c r="AI39" s="283">
        <f t="shared" si="9"/>
        <v>0</v>
      </c>
      <c r="AJ39" s="283">
        <f t="shared" si="10"/>
        <v>4603.7299999999996</v>
      </c>
      <c r="AK39" s="283">
        <f t="shared" si="11"/>
        <v>0</v>
      </c>
      <c r="AL39" s="283">
        <f t="shared" si="12"/>
        <v>0</v>
      </c>
      <c r="AM39" s="283">
        <f t="shared" si="13"/>
        <v>0</v>
      </c>
      <c r="AN39" s="283">
        <f t="shared" si="14"/>
        <v>0</v>
      </c>
      <c r="AO39" s="283">
        <f t="shared" si="15"/>
        <v>0</v>
      </c>
      <c r="AP39" s="283">
        <f t="shared" si="16"/>
        <v>0</v>
      </c>
      <c r="AQ39" s="283">
        <f t="shared" si="17"/>
        <v>0</v>
      </c>
      <c r="AR39" s="283">
        <f t="shared" si="18"/>
        <v>0</v>
      </c>
      <c r="AS39" s="283">
        <f t="shared" si="19"/>
        <v>0</v>
      </c>
      <c r="AT39" s="283">
        <f t="shared" si="20"/>
        <v>0</v>
      </c>
      <c r="AU39" s="283">
        <f t="shared" si="21"/>
        <v>0</v>
      </c>
      <c r="AV39" s="283">
        <f t="shared" si="22"/>
        <v>0</v>
      </c>
      <c r="AW39" s="319">
        <f t="shared" si="23"/>
        <v>4603.7299999999996</v>
      </c>
    </row>
    <row r="40" spans="1:49" x14ac:dyDescent="0.2">
      <c r="A40" s="1" t="s">
        <v>451</v>
      </c>
      <c r="B40" s="7">
        <v>0</v>
      </c>
      <c r="C40" s="7">
        <v>4971</v>
      </c>
      <c r="D40" s="2">
        <f>(B40+C40)*0.124</f>
        <v>616.4</v>
      </c>
      <c r="E40" s="2">
        <f t="shared" si="30"/>
        <v>243.58</v>
      </c>
      <c r="F40" s="2">
        <f t="shared" si="31"/>
        <v>260.48</v>
      </c>
      <c r="G40" s="2">
        <f t="shared" si="2"/>
        <v>438.44</v>
      </c>
      <c r="H40" s="2">
        <f t="shared" si="24"/>
        <v>48.72</v>
      </c>
      <c r="I40" s="2">
        <f t="shared" si="3"/>
        <v>0</v>
      </c>
      <c r="J40" s="381">
        <f t="shared" si="4"/>
        <v>1607.62</v>
      </c>
      <c r="K40" s="1"/>
      <c r="L40" s="7"/>
      <c r="M40" s="7"/>
      <c r="N40" s="7"/>
      <c r="O40" s="7">
        <v>4971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>
        <f t="shared" si="32"/>
        <v>4971</v>
      </c>
      <c r="AE40" s="1"/>
      <c r="AF40" s="283">
        <f t="shared" si="6"/>
        <v>0</v>
      </c>
      <c r="AG40" s="283">
        <f t="shared" si="7"/>
        <v>0</v>
      </c>
      <c r="AH40" s="283">
        <f t="shared" si="8"/>
        <v>438.44</v>
      </c>
      <c r="AI40" s="283">
        <f t="shared" si="9"/>
        <v>0</v>
      </c>
      <c r="AJ40" s="283">
        <f t="shared" si="10"/>
        <v>0</v>
      </c>
      <c r="AK40" s="283">
        <f t="shared" si="11"/>
        <v>0</v>
      </c>
      <c r="AL40" s="283">
        <f t="shared" si="12"/>
        <v>0</v>
      </c>
      <c r="AM40" s="283">
        <f t="shared" si="13"/>
        <v>0</v>
      </c>
      <c r="AN40" s="283">
        <f t="shared" si="14"/>
        <v>0</v>
      </c>
      <c r="AO40" s="283">
        <f t="shared" si="15"/>
        <v>0</v>
      </c>
      <c r="AP40" s="283">
        <f t="shared" si="16"/>
        <v>0</v>
      </c>
      <c r="AQ40" s="283">
        <f t="shared" si="17"/>
        <v>0</v>
      </c>
      <c r="AR40" s="283">
        <f t="shared" si="18"/>
        <v>0</v>
      </c>
      <c r="AS40" s="283">
        <f t="shared" si="19"/>
        <v>0</v>
      </c>
      <c r="AT40" s="283">
        <f t="shared" si="20"/>
        <v>0</v>
      </c>
      <c r="AU40" s="283">
        <f t="shared" si="21"/>
        <v>0</v>
      </c>
      <c r="AV40" s="283">
        <f t="shared" si="22"/>
        <v>0</v>
      </c>
      <c r="AW40" s="319">
        <f t="shared" si="23"/>
        <v>438.44</v>
      </c>
    </row>
    <row r="41" spans="1:49" x14ac:dyDescent="0.2">
      <c r="A41" s="1" t="s">
        <v>434</v>
      </c>
      <c r="B41" s="7">
        <v>132975</v>
      </c>
      <c r="C41" s="7">
        <v>4553366</v>
      </c>
      <c r="D41" s="2">
        <f>(B41+C41)*0.124+0.01</f>
        <v>581106.29</v>
      </c>
      <c r="E41" s="2">
        <f t="shared" si="30"/>
        <v>229630.71</v>
      </c>
      <c r="F41" s="2">
        <f t="shared" si="31"/>
        <v>245564.27</v>
      </c>
      <c r="G41" s="2">
        <f t="shared" si="2"/>
        <v>406819.5</v>
      </c>
      <c r="H41" s="2">
        <f>(B41+C41)*0.0098+0.01</f>
        <v>45926.15</v>
      </c>
      <c r="I41" s="2">
        <f t="shared" si="3"/>
        <v>0</v>
      </c>
      <c r="J41" s="381">
        <f t="shared" si="4"/>
        <v>1509046.92</v>
      </c>
      <c r="K41" s="1"/>
      <c r="L41" s="7"/>
      <c r="M41" s="7"/>
      <c r="N41" s="7"/>
      <c r="O41" s="7">
        <v>4553366</v>
      </c>
      <c r="P41" s="7"/>
      <c r="Q41" s="7"/>
      <c r="R41" s="7"/>
      <c r="S41" s="7"/>
      <c r="T41" s="7"/>
      <c r="U41" s="7"/>
      <c r="V41" s="7"/>
      <c r="W41" s="7"/>
      <c r="X41" s="7"/>
      <c r="Y41" s="7">
        <v>132975</v>
      </c>
      <c r="Z41" s="7"/>
      <c r="AA41" s="7"/>
      <c r="AB41" s="7"/>
      <c r="AC41" s="7"/>
      <c r="AD41" s="7">
        <f t="shared" si="32"/>
        <v>4686341</v>
      </c>
      <c r="AE41" s="1"/>
      <c r="AF41" s="283">
        <f t="shared" si="6"/>
        <v>0</v>
      </c>
      <c r="AG41" s="283">
        <f t="shared" si="7"/>
        <v>0</v>
      </c>
      <c r="AH41" s="283">
        <f t="shared" si="8"/>
        <v>401606.88</v>
      </c>
      <c r="AI41" s="283">
        <f t="shared" si="9"/>
        <v>0</v>
      </c>
      <c r="AJ41" s="283">
        <f t="shared" si="10"/>
        <v>0</v>
      </c>
      <c r="AK41" s="283">
        <f t="shared" si="11"/>
        <v>0</v>
      </c>
      <c r="AL41" s="283">
        <f t="shared" si="12"/>
        <v>0</v>
      </c>
      <c r="AM41" s="283">
        <f t="shared" si="13"/>
        <v>0</v>
      </c>
      <c r="AN41" s="283">
        <f t="shared" si="14"/>
        <v>0</v>
      </c>
      <c r="AO41" s="283">
        <f t="shared" si="15"/>
        <v>0</v>
      </c>
      <c r="AP41" s="283">
        <f t="shared" si="16"/>
        <v>0</v>
      </c>
      <c r="AQ41" s="283">
        <f t="shared" si="17"/>
        <v>0</v>
      </c>
      <c r="AR41" s="283">
        <f t="shared" si="18"/>
        <v>5212.62</v>
      </c>
      <c r="AS41" s="283">
        <f t="shared" si="19"/>
        <v>0</v>
      </c>
      <c r="AT41" s="283">
        <f t="shared" si="20"/>
        <v>0</v>
      </c>
      <c r="AU41" s="283">
        <f t="shared" si="21"/>
        <v>0</v>
      </c>
      <c r="AV41" s="283">
        <f t="shared" si="22"/>
        <v>0</v>
      </c>
      <c r="AW41" s="319">
        <f t="shared" si="23"/>
        <v>406819.5</v>
      </c>
    </row>
    <row r="42" spans="1:49" x14ac:dyDescent="0.2">
      <c r="A42" s="1" t="s">
        <v>452</v>
      </c>
      <c r="B42" s="7">
        <v>240816</v>
      </c>
      <c r="C42" s="7">
        <v>0</v>
      </c>
      <c r="D42" s="2">
        <f>(B42+C42)*0.124+0.01</f>
        <v>29861.19</v>
      </c>
      <c r="E42" s="2">
        <f t="shared" si="30"/>
        <v>11799.98</v>
      </c>
      <c r="F42" s="2">
        <f t="shared" si="31"/>
        <v>12618.76</v>
      </c>
      <c r="G42" s="2">
        <f t="shared" si="2"/>
        <v>19747.05</v>
      </c>
      <c r="H42" s="2">
        <f t="shared" si="24"/>
        <v>2360</v>
      </c>
      <c r="I42" s="2">
        <f t="shared" si="3"/>
        <v>260.08</v>
      </c>
      <c r="J42" s="381">
        <f t="shared" si="4"/>
        <v>76647.06</v>
      </c>
      <c r="K42" s="1"/>
      <c r="L42" s="7"/>
      <c r="M42" s="7"/>
      <c r="N42" s="7"/>
      <c r="O42" s="7">
        <v>179563</v>
      </c>
      <c r="P42" s="7"/>
      <c r="Q42" s="7">
        <v>30468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30785</v>
      </c>
      <c r="AC42" s="7"/>
      <c r="AD42" s="7">
        <f t="shared" si="32"/>
        <v>240816</v>
      </c>
      <c r="AE42" s="7"/>
      <c r="AF42" s="283">
        <f t="shared" si="6"/>
        <v>0</v>
      </c>
      <c r="AG42" s="283">
        <f t="shared" si="7"/>
        <v>0</v>
      </c>
      <c r="AH42" s="283">
        <f t="shared" si="8"/>
        <v>15837.46</v>
      </c>
      <c r="AI42" s="283">
        <f t="shared" si="9"/>
        <v>0</v>
      </c>
      <c r="AJ42" s="283">
        <f t="shared" si="10"/>
        <v>1194.3499999999999</v>
      </c>
      <c r="AK42" s="283">
        <f t="shared" si="11"/>
        <v>0</v>
      </c>
      <c r="AL42" s="283">
        <f t="shared" si="12"/>
        <v>0</v>
      </c>
      <c r="AM42" s="283">
        <f t="shared" si="13"/>
        <v>0</v>
      </c>
      <c r="AN42" s="283">
        <f t="shared" si="14"/>
        <v>0</v>
      </c>
      <c r="AO42" s="283">
        <f t="shared" si="15"/>
        <v>0</v>
      </c>
      <c r="AP42" s="283">
        <f t="shared" si="16"/>
        <v>0</v>
      </c>
      <c r="AQ42" s="283">
        <f t="shared" si="17"/>
        <v>0</v>
      </c>
      <c r="AR42" s="283">
        <f t="shared" si="18"/>
        <v>0</v>
      </c>
      <c r="AS42" s="283">
        <f t="shared" si="19"/>
        <v>0</v>
      </c>
      <c r="AT42" s="283">
        <f t="shared" si="20"/>
        <v>0</v>
      </c>
      <c r="AU42" s="283">
        <f t="shared" si="21"/>
        <v>2715.24</v>
      </c>
      <c r="AV42" s="283">
        <f t="shared" si="22"/>
        <v>0</v>
      </c>
      <c r="AW42" s="319">
        <f t="shared" si="23"/>
        <v>19747.05</v>
      </c>
    </row>
    <row r="43" spans="1:49" x14ac:dyDescent="0.2">
      <c r="A43" s="1" t="s">
        <v>720</v>
      </c>
      <c r="B43" s="7">
        <v>2380</v>
      </c>
      <c r="C43" s="7">
        <v>0</v>
      </c>
      <c r="D43" s="2">
        <f>(B43+C43)*0.124-24.16</f>
        <v>270.95999999999998</v>
      </c>
      <c r="E43" s="2">
        <f>(B43+C43)*0.049-9.52</f>
        <v>107.1</v>
      </c>
      <c r="F43" s="2">
        <f>(B43+C43)*0.0524-10.11</f>
        <v>114.6</v>
      </c>
      <c r="G43" s="2">
        <f>+AW43</f>
        <v>85.68</v>
      </c>
      <c r="H43" s="2">
        <f>(B43+C43)*0.0098-1.9</f>
        <v>21.42</v>
      </c>
      <c r="I43" s="2">
        <f>(AB43)*0.0084484</f>
        <v>0</v>
      </c>
      <c r="J43" s="381">
        <f>SUM(D43:I43)</f>
        <v>599.76</v>
      </c>
      <c r="K43" s="1"/>
      <c r="L43" s="7"/>
      <c r="M43" s="7"/>
      <c r="N43" s="7"/>
      <c r="O43" s="7"/>
      <c r="P43" s="7"/>
      <c r="Q43" s="7">
        <v>2380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f>SUM(L43:AC43)</f>
        <v>2380</v>
      </c>
      <c r="AE43" s="7"/>
      <c r="AF43" s="283">
        <f>+M43*$AF$12</f>
        <v>0</v>
      </c>
      <c r="AG43" s="283">
        <f>+N43*$AG$12</f>
        <v>0</v>
      </c>
      <c r="AH43" s="283">
        <f>+O43*$AH$12</f>
        <v>0</v>
      </c>
      <c r="AI43" s="283">
        <f>+P43*$AI$12</f>
        <v>0</v>
      </c>
      <c r="AJ43" s="283">
        <f>+Q43*$AJ$12-7.62</f>
        <v>85.68</v>
      </c>
      <c r="AK43" s="283">
        <f>+R43*$AK$12</f>
        <v>0</v>
      </c>
      <c r="AL43" s="283">
        <f>+S43*$AL$12</f>
        <v>0</v>
      </c>
      <c r="AM43" s="283">
        <f>+T43*$AM$12</f>
        <v>0</v>
      </c>
      <c r="AN43" s="283">
        <f>+U43*$AN$12</f>
        <v>0</v>
      </c>
      <c r="AO43" s="283">
        <f>+V43*$AO$12</f>
        <v>0</v>
      </c>
      <c r="AP43" s="283">
        <f>+W43*$AP$12</f>
        <v>0</v>
      </c>
      <c r="AQ43" s="283">
        <f>+X43*$AQ$12</f>
        <v>0</v>
      </c>
      <c r="AR43" s="283">
        <f>+Y43*$AR$12</f>
        <v>0</v>
      </c>
      <c r="AS43" s="283">
        <f>+Z43*$AS$12</f>
        <v>0</v>
      </c>
      <c r="AT43" s="283">
        <f>+AA43*$AT$12</f>
        <v>0</v>
      </c>
      <c r="AU43" s="283">
        <f>+AB43*$AU$12</f>
        <v>0</v>
      </c>
      <c r="AV43" s="283">
        <f>+AC43*$AV$12</f>
        <v>0</v>
      </c>
      <c r="AW43" s="319">
        <f>SUM(AF43:AV43)</f>
        <v>85.68</v>
      </c>
    </row>
    <row r="44" spans="1:49" x14ac:dyDescent="0.2">
      <c r="A44" s="1" t="s">
        <v>458</v>
      </c>
      <c r="B44" s="7">
        <v>1976</v>
      </c>
      <c r="C44" s="7">
        <v>0</v>
      </c>
      <c r="D44" s="2">
        <f>(B44+C44)*0.124+0.01</f>
        <v>245.03</v>
      </c>
      <c r="E44" s="2">
        <f t="shared" si="30"/>
        <v>96.82</v>
      </c>
      <c r="F44" s="2">
        <f t="shared" si="31"/>
        <v>103.54</v>
      </c>
      <c r="G44" s="2">
        <f t="shared" si="2"/>
        <v>174.29</v>
      </c>
      <c r="H44" s="2">
        <f t="shared" si="24"/>
        <v>19.36</v>
      </c>
      <c r="I44" s="2">
        <f t="shared" si="3"/>
        <v>12.22</v>
      </c>
      <c r="J44" s="381">
        <f t="shared" si="4"/>
        <v>651.26</v>
      </c>
      <c r="K44" s="1"/>
      <c r="L44" s="7"/>
      <c r="M44" s="7"/>
      <c r="N44" s="7"/>
      <c r="O44" s="7"/>
      <c r="P44" s="7"/>
      <c r="Q44" s="7"/>
      <c r="R44" s="7"/>
      <c r="S44" s="7"/>
      <c r="T44" s="7">
        <v>530</v>
      </c>
      <c r="U44" s="7"/>
      <c r="V44" s="7"/>
      <c r="W44" s="7"/>
      <c r="X44" s="7"/>
      <c r="Y44" s="7"/>
      <c r="Z44" s="7"/>
      <c r="AA44" s="7"/>
      <c r="AB44" s="7">
        <v>1446</v>
      </c>
      <c r="AC44" s="7"/>
      <c r="AD44" s="7">
        <f t="shared" si="32"/>
        <v>1976</v>
      </c>
      <c r="AE44" s="7"/>
      <c r="AF44" s="283">
        <f t="shared" si="6"/>
        <v>0</v>
      </c>
      <c r="AG44" s="283">
        <f t="shared" si="7"/>
        <v>0</v>
      </c>
      <c r="AH44" s="283">
        <f t="shared" si="8"/>
        <v>0</v>
      </c>
      <c r="AI44" s="283">
        <f t="shared" si="9"/>
        <v>0</v>
      </c>
      <c r="AJ44" s="283">
        <f t="shared" si="10"/>
        <v>0</v>
      </c>
      <c r="AK44" s="283">
        <f t="shared" si="11"/>
        <v>0</v>
      </c>
      <c r="AL44" s="283">
        <f t="shared" si="12"/>
        <v>0</v>
      </c>
      <c r="AM44" s="283">
        <f t="shared" si="13"/>
        <v>46.75</v>
      </c>
      <c r="AN44" s="283">
        <f t="shared" si="14"/>
        <v>0</v>
      </c>
      <c r="AO44" s="283">
        <f t="shared" si="15"/>
        <v>0</v>
      </c>
      <c r="AP44" s="283">
        <f t="shared" si="16"/>
        <v>0</v>
      </c>
      <c r="AQ44" s="283">
        <f t="shared" si="17"/>
        <v>0</v>
      </c>
      <c r="AR44" s="283">
        <f t="shared" si="18"/>
        <v>0</v>
      </c>
      <c r="AS44" s="283">
        <f t="shared" si="19"/>
        <v>0</v>
      </c>
      <c r="AT44" s="283">
        <f t="shared" si="20"/>
        <v>0</v>
      </c>
      <c r="AU44" s="283">
        <f t="shared" si="21"/>
        <v>127.54</v>
      </c>
      <c r="AV44" s="283">
        <f t="shared" si="22"/>
        <v>0</v>
      </c>
      <c r="AW44" s="319">
        <f t="shared" si="23"/>
        <v>174.29</v>
      </c>
    </row>
    <row r="45" spans="1:49" s="20" customFormat="1" x14ac:dyDescent="0.2">
      <c r="A45" s="18" t="s">
        <v>499</v>
      </c>
      <c r="B45" s="243">
        <v>53070</v>
      </c>
      <c r="C45" s="243">
        <v>165546</v>
      </c>
      <c r="D45" s="2">
        <f>(B45+C45)*0.124+0.01</f>
        <v>27108.39</v>
      </c>
      <c r="E45" s="78">
        <f t="shared" si="30"/>
        <v>10712.18</v>
      </c>
      <c r="F45" s="78">
        <f t="shared" si="31"/>
        <v>11455.48</v>
      </c>
      <c r="G45" s="2">
        <f t="shared" si="2"/>
        <v>19281.919999999998</v>
      </c>
      <c r="H45" s="2">
        <f t="shared" si="24"/>
        <v>2142.44</v>
      </c>
      <c r="I45" s="2">
        <f t="shared" si="3"/>
        <v>1327.28</v>
      </c>
      <c r="J45" s="381">
        <f t="shared" si="4"/>
        <v>72027.69</v>
      </c>
      <c r="K45" s="18"/>
      <c r="L45" s="243"/>
      <c r="M45" s="243"/>
      <c r="N45" s="243">
        <v>53070</v>
      </c>
      <c r="O45" s="243">
        <v>8442</v>
      </c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>
        <v>157104</v>
      </c>
      <c r="AC45" s="243"/>
      <c r="AD45" s="243">
        <f t="shared" si="32"/>
        <v>218616</v>
      </c>
      <c r="AE45" s="18"/>
      <c r="AF45" s="283">
        <f t="shared" si="6"/>
        <v>0</v>
      </c>
      <c r="AG45" s="283">
        <f t="shared" si="7"/>
        <v>4680.7700000000004</v>
      </c>
      <c r="AH45" s="283">
        <f t="shared" si="8"/>
        <v>744.58</v>
      </c>
      <c r="AI45" s="283">
        <f t="shared" si="9"/>
        <v>0</v>
      </c>
      <c r="AJ45" s="283">
        <f t="shared" si="10"/>
        <v>0</v>
      </c>
      <c r="AK45" s="283">
        <f t="shared" si="11"/>
        <v>0</v>
      </c>
      <c r="AL45" s="283">
        <f t="shared" si="12"/>
        <v>0</v>
      </c>
      <c r="AM45" s="283">
        <f t="shared" si="13"/>
        <v>0</v>
      </c>
      <c r="AN45" s="283">
        <f t="shared" si="14"/>
        <v>0</v>
      </c>
      <c r="AO45" s="283">
        <f t="shared" si="15"/>
        <v>0</v>
      </c>
      <c r="AP45" s="283">
        <f t="shared" si="16"/>
        <v>0</v>
      </c>
      <c r="AQ45" s="283">
        <f t="shared" si="17"/>
        <v>0</v>
      </c>
      <c r="AR45" s="283">
        <f t="shared" si="18"/>
        <v>0</v>
      </c>
      <c r="AS45" s="283">
        <f t="shared" si="19"/>
        <v>0</v>
      </c>
      <c r="AT45" s="283">
        <f t="shared" si="20"/>
        <v>0</v>
      </c>
      <c r="AU45" s="283">
        <f t="shared" si="21"/>
        <v>13856.57</v>
      </c>
      <c r="AV45" s="283">
        <f t="shared" si="22"/>
        <v>0</v>
      </c>
      <c r="AW45" s="319">
        <f t="shared" si="23"/>
        <v>19281.919999999998</v>
      </c>
    </row>
    <row r="46" spans="1:49" x14ac:dyDescent="0.2">
      <c r="A46" s="18" t="s">
        <v>142</v>
      </c>
      <c r="B46" s="7">
        <v>130996</v>
      </c>
      <c r="C46" s="7">
        <v>0</v>
      </c>
      <c r="D46" s="2">
        <f>(B46+C46)*0.124+0.01</f>
        <v>16243.51</v>
      </c>
      <c r="E46" s="2">
        <f>(B46+C46)*0.049</f>
        <v>6418.8</v>
      </c>
      <c r="F46" s="2">
        <f>(B46+C46)*0.0524</f>
        <v>6864.19</v>
      </c>
      <c r="G46" s="2">
        <f t="shared" si="2"/>
        <v>5135.04</v>
      </c>
      <c r="H46" s="2">
        <f t="shared" si="24"/>
        <v>1283.76</v>
      </c>
      <c r="I46" s="2">
        <f t="shared" si="3"/>
        <v>0</v>
      </c>
      <c r="J46" s="381">
        <f t="shared" si="4"/>
        <v>35945.300000000003</v>
      </c>
      <c r="K46" s="1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130996</v>
      </c>
      <c r="Z46" s="7"/>
      <c r="AA46" s="7"/>
      <c r="AB46" s="7"/>
      <c r="AC46" s="7"/>
      <c r="AD46" s="7">
        <f t="shared" si="32"/>
        <v>130996</v>
      </c>
      <c r="AF46" s="283">
        <f t="shared" si="6"/>
        <v>0</v>
      </c>
      <c r="AG46" s="283">
        <f t="shared" si="7"/>
        <v>0</v>
      </c>
      <c r="AH46" s="283">
        <f t="shared" si="8"/>
        <v>0</v>
      </c>
      <c r="AI46" s="283">
        <f t="shared" si="9"/>
        <v>0</v>
      </c>
      <c r="AJ46" s="283">
        <f t="shared" si="10"/>
        <v>0</v>
      </c>
      <c r="AK46" s="283">
        <f t="shared" si="11"/>
        <v>0</v>
      </c>
      <c r="AL46" s="283">
        <f t="shared" si="12"/>
        <v>0</v>
      </c>
      <c r="AM46" s="283">
        <f t="shared" si="13"/>
        <v>0</v>
      </c>
      <c r="AN46" s="283">
        <f t="shared" si="14"/>
        <v>0</v>
      </c>
      <c r="AO46" s="283">
        <f t="shared" si="15"/>
        <v>0</v>
      </c>
      <c r="AP46" s="283">
        <f t="shared" si="16"/>
        <v>0</v>
      </c>
      <c r="AQ46" s="283">
        <f t="shared" si="17"/>
        <v>0</v>
      </c>
      <c r="AR46" s="283">
        <f t="shared" si="18"/>
        <v>5135.04</v>
      </c>
      <c r="AS46" s="283">
        <f t="shared" si="19"/>
        <v>0</v>
      </c>
      <c r="AT46" s="283">
        <f t="shared" si="20"/>
        <v>0</v>
      </c>
      <c r="AU46" s="283">
        <f t="shared" si="21"/>
        <v>0</v>
      </c>
      <c r="AV46" s="283">
        <f t="shared" si="22"/>
        <v>0</v>
      </c>
      <c r="AW46" s="319">
        <f t="shared" si="23"/>
        <v>5135.04</v>
      </c>
    </row>
    <row r="47" spans="1:49" x14ac:dyDescent="0.2">
      <c r="A47" s="1" t="s">
        <v>435</v>
      </c>
      <c r="B47" s="7">
        <v>7705</v>
      </c>
      <c r="C47" s="7">
        <v>2487846</v>
      </c>
      <c r="D47" s="2">
        <f>(B47+C47)*0.124+0.01</f>
        <v>309448.33</v>
      </c>
      <c r="E47" s="2">
        <f>(B47+C47)*0.049</f>
        <v>122282</v>
      </c>
      <c r="F47" s="2">
        <f>(B47+C47)*0.0524</f>
        <v>130766.87</v>
      </c>
      <c r="G47" s="2">
        <f t="shared" si="2"/>
        <v>216520.26</v>
      </c>
      <c r="H47" s="2">
        <f>(B47+C47)*0.0098+2.5</f>
        <v>24458.9</v>
      </c>
      <c r="I47" s="2">
        <f t="shared" si="3"/>
        <v>0</v>
      </c>
      <c r="J47" s="381">
        <f t="shared" si="4"/>
        <v>803476.36</v>
      </c>
      <c r="K47" s="1"/>
      <c r="L47" s="7"/>
      <c r="M47" s="7"/>
      <c r="N47" s="7"/>
      <c r="O47" s="7">
        <v>2422136</v>
      </c>
      <c r="P47" s="7"/>
      <c r="Q47" s="7"/>
      <c r="R47" s="7"/>
      <c r="S47" s="7"/>
      <c r="T47" s="7"/>
      <c r="U47" s="7"/>
      <c r="V47" s="7"/>
      <c r="W47" s="7"/>
      <c r="X47" s="7"/>
      <c r="Y47" s="7">
        <v>73670</v>
      </c>
      <c r="Z47" s="7"/>
      <c r="AA47" s="7"/>
      <c r="AB47" s="7"/>
      <c r="AC47" s="7"/>
      <c r="AD47" s="7">
        <f t="shared" ref="AD47:AD60" si="33">SUM(L47:AC47)</f>
        <v>2495806</v>
      </c>
      <c r="AE47" s="1"/>
      <c r="AF47" s="283">
        <f t="shared" si="6"/>
        <v>0</v>
      </c>
      <c r="AG47" s="283">
        <f t="shared" si="7"/>
        <v>0</v>
      </c>
      <c r="AH47" s="283">
        <f t="shared" si="8"/>
        <v>213632.4</v>
      </c>
      <c r="AI47" s="283">
        <f t="shared" si="9"/>
        <v>0</v>
      </c>
      <c r="AJ47" s="283">
        <f t="shared" si="10"/>
        <v>0</v>
      </c>
      <c r="AK47" s="283">
        <f t="shared" si="11"/>
        <v>0</v>
      </c>
      <c r="AL47" s="283">
        <f t="shared" si="12"/>
        <v>0</v>
      </c>
      <c r="AM47" s="283">
        <f t="shared" si="13"/>
        <v>0</v>
      </c>
      <c r="AN47" s="283">
        <f t="shared" si="14"/>
        <v>0</v>
      </c>
      <c r="AO47" s="283">
        <f t="shared" si="15"/>
        <v>0</v>
      </c>
      <c r="AP47" s="283">
        <f t="shared" si="16"/>
        <v>0</v>
      </c>
      <c r="AQ47" s="283">
        <f t="shared" si="17"/>
        <v>0</v>
      </c>
      <c r="AR47" s="283">
        <f t="shared" si="18"/>
        <v>2887.86</v>
      </c>
      <c r="AS47" s="283">
        <f t="shared" si="19"/>
        <v>0</v>
      </c>
      <c r="AT47" s="283">
        <f t="shared" si="20"/>
        <v>0</v>
      </c>
      <c r="AU47" s="283">
        <f t="shared" si="21"/>
        <v>0</v>
      </c>
      <c r="AV47" s="283">
        <f t="shared" si="22"/>
        <v>0</v>
      </c>
      <c r="AW47" s="319">
        <f t="shared" si="23"/>
        <v>216520.26</v>
      </c>
    </row>
    <row r="48" spans="1:49" s="20" customFormat="1" x14ac:dyDescent="0.2">
      <c r="A48" s="18" t="s">
        <v>502</v>
      </c>
      <c r="B48" s="243">
        <v>133780</v>
      </c>
      <c r="C48" s="243">
        <v>0</v>
      </c>
      <c r="D48" s="2">
        <f>(B48+C48)*0.124</f>
        <v>16588.72</v>
      </c>
      <c r="E48" s="78">
        <f t="shared" ref="E48:E53" si="34">(B48+C48)*0.049</f>
        <v>6555.22</v>
      </c>
      <c r="F48" s="78">
        <f t="shared" ref="F48:F53" si="35">(B48+C48)*0.0524</f>
        <v>7010.07</v>
      </c>
      <c r="G48" s="2">
        <f t="shared" si="2"/>
        <v>5244.18</v>
      </c>
      <c r="H48" s="2">
        <f t="shared" si="24"/>
        <v>1311.04</v>
      </c>
      <c r="I48" s="2">
        <f t="shared" si="3"/>
        <v>0</v>
      </c>
      <c r="J48" s="381">
        <f t="shared" si="4"/>
        <v>36709.230000000003</v>
      </c>
      <c r="K48" s="18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>
        <v>133780</v>
      </c>
      <c r="Z48" s="243"/>
      <c r="AA48" s="243"/>
      <c r="AB48" s="243"/>
      <c r="AC48" s="243"/>
      <c r="AD48" s="243">
        <f>SUM(L48:AC48)</f>
        <v>133780</v>
      </c>
      <c r="AE48" s="18"/>
      <c r="AF48" s="283">
        <f t="shared" si="6"/>
        <v>0</v>
      </c>
      <c r="AG48" s="283">
        <f t="shared" si="7"/>
        <v>0</v>
      </c>
      <c r="AH48" s="283">
        <f t="shared" si="8"/>
        <v>0</v>
      </c>
      <c r="AI48" s="283">
        <f t="shared" si="9"/>
        <v>0</v>
      </c>
      <c r="AJ48" s="283">
        <f t="shared" si="10"/>
        <v>0</v>
      </c>
      <c r="AK48" s="283">
        <f t="shared" si="11"/>
        <v>0</v>
      </c>
      <c r="AL48" s="283">
        <f t="shared" si="12"/>
        <v>0</v>
      </c>
      <c r="AM48" s="283">
        <f t="shared" si="13"/>
        <v>0</v>
      </c>
      <c r="AN48" s="283">
        <f t="shared" si="14"/>
        <v>0</v>
      </c>
      <c r="AO48" s="283">
        <f t="shared" si="15"/>
        <v>0</v>
      </c>
      <c r="AP48" s="283">
        <f t="shared" si="16"/>
        <v>0</v>
      </c>
      <c r="AQ48" s="283">
        <f t="shared" si="17"/>
        <v>0</v>
      </c>
      <c r="AR48" s="283">
        <f t="shared" si="18"/>
        <v>5244.18</v>
      </c>
      <c r="AS48" s="283">
        <f t="shared" si="19"/>
        <v>0</v>
      </c>
      <c r="AT48" s="283">
        <f t="shared" si="20"/>
        <v>0</v>
      </c>
      <c r="AU48" s="283">
        <f t="shared" si="21"/>
        <v>0</v>
      </c>
      <c r="AV48" s="283">
        <f t="shared" si="22"/>
        <v>0</v>
      </c>
      <c r="AW48" s="319">
        <f t="shared" si="23"/>
        <v>5244.18</v>
      </c>
    </row>
    <row r="49" spans="1:49" s="20" customFormat="1" x14ac:dyDescent="0.2">
      <c r="A49" s="18" t="s">
        <v>610</v>
      </c>
      <c r="B49" s="243">
        <v>176996</v>
      </c>
      <c r="C49" s="243">
        <v>428448</v>
      </c>
      <c r="D49" s="2">
        <f>(B49+C49)*0.124-0.01</f>
        <v>75075.05</v>
      </c>
      <c r="E49" s="78">
        <f>(B49+C49)*0.049</f>
        <v>29666.76</v>
      </c>
      <c r="F49" s="78">
        <f>(B49+C49)*0.0524</f>
        <v>31725.27</v>
      </c>
      <c r="G49" s="2">
        <f t="shared" si="2"/>
        <v>46803.68</v>
      </c>
      <c r="H49" s="2">
        <f>(B49+C49)*0.0098+0.01</f>
        <v>5933.36</v>
      </c>
      <c r="I49" s="2">
        <f t="shared" si="3"/>
        <v>0</v>
      </c>
      <c r="J49" s="381">
        <f t="shared" si="4"/>
        <v>189204.12</v>
      </c>
      <c r="K49" s="18"/>
      <c r="L49" s="243"/>
      <c r="M49" s="243"/>
      <c r="N49" s="243"/>
      <c r="O49" s="243">
        <v>433748</v>
      </c>
      <c r="P49" s="243"/>
      <c r="Q49" s="243">
        <v>134622</v>
      </c>
      <c r="R49" s="243"/>
      <c r="S49" s="243"/>
      <c r="T49" s="243">
        <v>37074</v>
      </c>
      <c r="U49" s="243"/>
      <c r="V49" s="243"/>
      <c r="W49" s="243"/>
      <c r="X49" s="243"/>
      <c r="Y49" s="243"/>
      <c r="Z49" s="243"/>
      <c r="AA49" s="243"/>
      <c r="AB49" s="243"/>
      <c r="AC49" s="243"/>
      <c r="AD49" s="243">
        <f>SUM(L49:AC49)</f>
        <v>605444</v>
      </c>
      <c r="AE49" s="18"/>
      <c r="AF49" s="283">
        <f t="shared" si="6"/>
        <v>0</v>
      </c>
      <c r="AG49" s="283">
        <f t="shared" si="7"/>
        <v>0</v>
      </c>
      <c r="AH49" s="283">
        <f t="shared" si="8"/>
        <v>38256.57</v>
      </c>
      <c r="AI49" s="283">
        <f t="shared" si="9"/>
        <v>0</v>
      </c>
      <c r="AJ49" s="283">
        <f t="shared" si="10"/>
        <v>5277.18</v>
      </c>
      <c r="AK49" s="283">
        <f t="shared" si="11"/>
        <v>0</v>
      </c>
      <c r="AL49" s="283">
        <f t="shared" si="12"/>
        <v>0</v>
      </c>
      <c r="AM49" s="283">
        <f t="shared" si="13"/>
        <v>3269.93</v>
      </c>
      <c r="AN49" s="283">
        <f t="shared" si="14"/>
        <v>0</v>
      </c>
      <c r="AO49" s="283">
        <f t="shared" si="15"/>
        <v>0</v>
      </c>
      <c r="AP49" s="283">
        <f t="shared" si="16"/>
        <v>0</v>
      </c>
      <c r="AQ49" s="283">
        <f t="shared" si="17"/>
        <v>0</v>
      </c>
      <c r="AR49" s="283">
        <f t="shared" si="18"/>
        <v>0</v>
      </c>
      <c r="AS49" s="283">
        <f t="shared" si="19"/>
        <v>0</v>
      </c>
      <c r="AT49" s="283">
        <f t="shared" si="20"/>
        <v>0</v>
      </c>
      <c r="AU49" s="283">
        <f t="shared" si="21"/>
        <v>0</v>
      </c>
      <c r="AV49" s="283">
        <f t="shared" si="22"/>
        <v>0</v>
      </c>
      <c r="AW49" s="319">
        <f t="shared" si="23"/>
        <v>46803.68</v>
      </c>
    </row>
    <row r="50" spans="1:49" ht="15" customHeight="1" x14ac:dyDescent="0.2">
      <c r="A50" s="7" t="s">
        <v>352</v>
      </c>
      <c r="B50" s="7">
        <v>174706</v>
      </c>
      <c r="C50" s="7">
        <v>0</v>
      </c>
      <c r="D50" s="2">
        <f>(B50+C50)*0.124+0.01</f>
        <v>21663.55</v>
      </c>
      <c r="E50" s="2">
        <f t="shared" si="34"/>
        <v>8560.59</v>
      </c>
      <c r="F50" s="2">
        <f t="shared" si="35"/>
        <v>9154.59</v>
      </c>
      <c r="G50" s="2">
        <f t="shared" si="2"/>
        <v>9724.9699999999993</v>
      </c>
      <c r="H50" s="2">
        <f t="shared" si="24"/>
        <v>1712.12</v>
      </c>
      <c r="I50" s="2">
        <f t="shared" si="3"/>
        <v>0</v>
      </c>
      <c r="J50" s="381">
        <f t="shared" si="4"/>
        <v>50815.82</v>
      </c>
      <c r="K50" s="1"/>
      <c r="L50" s="7"/>
      <c r="M50" s="7"/>
      <c r="N50" s="7"/>
      <c r="O50" s="7"/>
      <c r="P50" s="7"/>
      <c r="Q50" s="7"/>
      <c r="R50" s="7">
        <v>20135</v>
      </c>
      <c r="S50" s="7"/>
      <c r="T50" s="7"/>
      <c r="U50" s="7"/>
      <c r="V50" s="7"/>
      <c r="W50" s="7"/>
      <c r="X50" s="7">
        <v>21048</v>
      </c>
      <c r="Y50" s="7">
        <v>95867</v>
      </c>
      <c r="Z50" s="7"/>
      <c r="AA50" s="7"/>
      <c r="AB50" s="7"/>
      <c r="AC50" s="7">
        <v>37656</v>
      </c>
      <c r="AD50" s="7">
        <f t="shared" si="33"/>
        <v>174706</v>
      </c>
      <c r="AE50" s="7"/>
      <c r="AF50" s="283">
        <f t="shared" si="6"/>
        <v>0</v>
      </c>
      <c r="AG50" s="283">
        <f t="shared" si="7"/>
        <v>0</v>
      </c>
      <c r="AH50" s="283">
        <f t="shared" si="8"/>
        <v>0</v>
      </c>
      <c r="AI50" s="283">
        <f t="shared" si="9"/>
        <v>0</v>
      </c>
      <c r="AJ50" s="283">
        <f t="shared" si="10"/>
        <v>0</v>
      </c>
      <c r="AK50" s="283">
        <f t="shared" si="11"/>
        <v>789.29</v>
      </c>
      <c r="AL50" s="283">
        <f t="shared" si="12"/>
        <v>0</v>
      </c>
      <c r="AM50" s="283">
        <f t="shared" si="13"/>
        <v>0</v>
      </c>
      <c r="AN50" s="283">
        <f t="shared" si="14"/>
        <v>0</v>
      </c>
      <c r="AO50" s="283">
        <f t="shared" si="15"/>
        <v>0</v>
      </c>
      <c r="AP50" s="283">
        <f t="shared" si="16"/>
        <v>0</v>
      </c>
      <c r="AQ50" s="283">
        <f t="shared" si="17"/>
        <v>1856.43</v>
      </c>
      <c r="AR50" s="283">
        <f t="shared" si="18"/>
        <v>3757.99</v>
      </c>
      <c r="AS50" s="283">
        <f t="shared" si="19"/>
        <v>0</v>
      </c>
      <c r="AT50" s="283">
        <f t="shared" si="20"/>
        <v>0</v>
      </c>
      <c r="AU50" s="283">
        <f t="shared" si="21"/>
        <v>0</v>
      </c>
      <c r="AV50" s="283">
        <f t="shared" si="22"/>
        <v>3321.26</v>
      </c>
      <c r="AW50" s="319">
        <f t="shared" si="23"/>
        <v>9724.9699999999993</v>
      </c>
    </row>
    <row r="51" spans="1:49" s="20" customFormat="1" x14ac:dyDescent="0.2">
      <c r="A51" s="243" t="s">
        <v>459</v>
      </c>
      <c r="B51" s="243">
        <v>60705</v>
      </c>
      <c r="C51" s="243">
        <v>469032</v>
      </c>
      <c r="D51" s="2">
        <f>(B51+C51)*0.124</f>
        <v>65687.39</v>
      </c>
      <c r="E51" s="78">
        <f t="shared" si="34"/>
        <v>25957.11</v>
      </c>
      <c r="F51" s="78">
        <f t="shared" si="35"/>
        <v>27758.22</v>
      </c>
      <c r="G51" s="2">
        <f t="shared" si="2"/>
        <v>46722.8</v>
      </c>
      <c r="H51" s="2">
        <f t="shared" si="24"/>
        <v>5191.42</v>
      </c>
      <c r="I51" s="2">
        <f t="shared" si="3"/>
        <v>0</v>
      </c>
      <c r="J51" s="381">
        <f t="shared" si="4"/>
        <v>171316.94</v>
      </c>
      <c r="K51" s="18"/>
      <c r="L51" s="243"/>
      <c r="M51" s="243"/>
      <c r="N51" s="243"/>
      <c r="O51" s="243">
        <v>529737</v>
      </c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>
        <f>SUM(L51:AC51)</f>
        <v>529737</v>
      </c>
      <c r="AE51" s="243"/>
      <c r="AF51" s="283">
        <f t="shared" si="6"/>
        <v>0</v>
      </c>
      <c r="AG51" s="283">
        <f t="shared" si="7"/>
        <v>0</v>
      </c>
      <c r="AH51" s="283">
        <f t="shared" si="8"/>
        <v>46722.8</v>
      </c>
      <c r="AI51" s="283">
        <f t="shared" si="9"/>
        <v>0</v>
      </c>
      <c r="AJ51" s="283">
        <f t="shared" si="10"/>
        <v>0</v>
      </c>
      <c r="AK51" s="283">
        <f t="shared" si="11"/>
        <v>0</v>
      </c>
      <c r="AL51" s="283">
        <f t="shared" si="12"/>
        <v>0</v>
      </c>
      <c r="AM51" s="283">
        <f t="shared" si="13"/>
        <v>0</v>
      </c>
      <c r="AN51" s="283">
        <f t="shared" si="14"/>
        <v>0</v>
      </c>
      <c r="AO51" s="283">
        <f t="shared" si="15"/>
        <v>0</v>
      </c>
      <c r="AP51" s="283">
        <f t="shared" si="16"/>
        <v>0</v>
      </c>
      <c r="AQ51" s="283">
        <f t="shared" si="17"/>
        <v>0</v>
      </c>
      <c r="AR51" s="283">
        <f t="shared" si="18"/>
        <v>0</v>
      </c>
      <c r="AS51" s="283">
        <f t="shared" si="19"/>
        <v>0</v>
      </c>
      <c r="AT51" s="283">
        <f t="shared" si="20"/>
        <v>0</v>
      </c>
      <c r="AU51" s="283">
        <f t="shared" si="21"/>
        <v>0</v>
      </c>
      <c r="AV51" s="283">
        <f t="shared" si="22"/>
        <v>0</v>
      </c>
      <c r="AW51" s="319">
        <f t="shared" si="23"/>
        <v>46722.8</v>
      </c>
    </row>
    <row r="52" spans="1:49" x14ac:dyDescent="0.2">
      <c r="A52" s="7" t="s">
        <v>436</v>
      </c>
      <c r="B52" s="7">
        <v>24160</v>
      </c>
      <c r="C52" s="7">
        <v>0</v>
      </c>
      <c r="D52" s="2">
        <f>(B52+C52)*0.124</f>
        <v>2995.84</v>
      </c>
      <c r="E52" s="2">
        <f t="shared" si="34"/>
        <v>1183.8399999999999</v>
      </c>
      <c r="F52" s="2">
        <f t="shared" si="35"/>
        <v>1265.98</v>
      </c>
      <c r="G52" s="2">
        <f t="shared" si="2"/>
        <v>2130.91</v>
      </c>
      <c r="H52" s="2">
        <f t="shared" si="24"/>
        <v>236.77</v>
      </c>
      <c r="I52" s="2">
        <f t="shared" si="3"/>
        <v>0</v>
      </c>
      <c r="J52" s="381">
        <f t="shared" si="4"/>
        <v>7813.34</v>
      </c>
      <c r="K52" s="1"/>
      <c r="L52" s="7"/>
      <c r="M52" s="7"/>
      <c r="N52" s="7"/>
      <c r="O52" s="7"/>
      <c r="P52" s="7"/>
      <c r="Q52" s="7"/>
      <c r="R52" s="7"/>
      <c r="S52" s="7"/>
      <c r="T52" s="7">
        <v>24160</v>
      </c>
      <c r="U52" s="7"/>
      <c r="V52" s="7"/>
      <c r="W52" s="7"/>
      <c r="X52" s="7"/>
      <c r="Y52" s="7"/>
      <c r="Z52" s="7"/>
      <c r="AA52" s="7"/>
      <c r="AB52" s="7"/>
      <c r="AC52" s="7"/>
      <c r="AD52" s="7">
        <f t="shared" si="33"/>
        <v>24160</v>
      </c>
      <c r="AE52" s="7"/>
      <c r="AF52" s="283">
        <f t="shared" si="6"/>
        <v>0</v>
      </c>
      <c r="AG52" s="283">
        <f t="shared" si="7"/>
        <v>0</v>
      </c>
      <c r="AH52" s="283">
        <f t="shared" si="8"/>
        <v>0</v>
      </c>
      <c r="AI52" s="283">
        <f t="shared" si="9"/>
        <v>0</v>
      </c>
      <c r="AJ52" s="283">
        <f t="shared" si="10"/>
        <v>0</v>
      </c>
      <c r="AK52" s="283">
        <f t="shared" si="11"/>
        <v>0</v>
      </c>
      <c r="AL52" s="283">
        <f t="shared" si="12"/>
        <v>0</v>
      </c>
      <c r="AM52" s="283">
        <f t="shared" si="13"/>
        <v>2130.91</v>
      </c>
      <c r="AN52" s="283">
        <f t="shared" si="14"/>
        <v>0</v>
      </c>
      <c r="AO52" s="283">
        <f t="shared" si="15"/>
        <v>0</v>
      </c>
      <c r="AP52" s="283">
        <f t="shared" si="16"/>
        <v>0</v>
      </c>
      <c r="AQ52" s="283">
        <f t="shared" si="17"/>
        <v>0</v>
      </c>
      <c r="AR52" s="283">
        <f t="shared" si="18"/>
        <v>0</v>
      </c>
      <c r="AS52" s="283">
        <f t="shared" si="19"/>
        <v>0</v>
      </c>
      <c r="AT52" s="283">
        <f t="shared" si="20"/>
        <v>0</v>
      </c>
      <c r="AU52" s="283">
        <f t="shared" si="21"/>
        <v>0</v>
      </c>
      <c r="AV52" s="283">
        <f t="shared" si="22"/>
        <v>0</v>
      </c>
      <c r="AW52" s="319">
        <f t="shared" si="23"/>
        <v>2130.91</v>
      </c>
    </row>
    <row r="53" spans="1:49" x14ac:dyDescent="0.2">
      <c r="A53" s="1" t="s">
        <v>46</v>
      </c>
      <c r="B53" s="7">
        <v>86772</v>
      </c>
      <c r="C53" s="7">
        <v>0</v>
      </c>
      <c r="D53" s="2">
        <f>(B53+C53)*0.124</f>
        <v>10759.73</v>
      </c>
      <c r="E53" s="2">
        <f t="shared" si="34"/>
        <v>4251.83</v>
      </c>
      <c r="F53" s="2">
        <f t="shared" si="35"/>
        <v>4546.8500000000004</v>
      </c>
      <c r="G53" s="2">
        <f t="shared" si="2"/>
        <v>3943.94</v>
      </c>
      <c r="H53" s="2">
        <f t="shared" si="24"/>
        <v>850.37</v>
      </c>
      <c r="I53" s="2">
        <f t="shared" si="3"/>
        <v>0</v>
      </c>
      <c r="J53" s="381">
        <f t="shared" si="4"/>
        <v>24352.720000000001</v>
      </c>
      <c r="K53" s="1"/>
      <c r="L53" s="7"/>
      <c r="M53" s="7"/>
      <c r="N53" s="7"/>
      <c r="O53" s="7"/>
      <c r="P53" s="7"/>
      <c r="Q53" s="7">
        <v>75701</v>
      </c>
      <c r="R53" s="7"/>
      <c r="S53" s="7"/>
      <c r="T53" s="7">
        <v>11071</v>
      </c>
      <c r="U53" s="7"/>
      <c r="V53" s="7"/>
      <c r="W53" s="7"/>
      <c r="X53" s="7"/>
      <c r="Y53" s="7"/>
      <c r="Z53" s="7"/>
      <c r="AA53" s="7"/>
      <c r="AB53" s="7"/>
      <c r="AC53" s="7"/>
      <c r="AD53" s="7">
        <f>SUM(L53:AC53)</f>
        <v>86772</v>
      </c>
      <c r="AE53" s="1"/>
      <c r="AF53" s="283">
        <f t="shared" si="6"/>
        <v>0</v>
      </c>
      <c r="AG53" s="283">
        <f t="shared" si="7"/>
        <v>0</v>
      </c>
      <c r="AH53" s="283">
        <f t="shared" si="8"/>
        <v>0</v>
      </c>
      <c r="AI53" s="283">
        <f t="shared" si="9"/>
        <v>0</v>
      </c>
      <c r="AJ53" s="283">
        <f t="shared" si="10"/>
        <v>2967.48</v>
      </c>
      <c r="AK53" s="283">
        <f t="shared" si="11"/>
        <v>0</v>
      </c>
      <c r="AL53" s="283">
        <f t="shared" si="12"/>
        <v>0</v>
      </c>
      <c r="AM53" s="283">
        <f t="shared" si="13"/>
        <v>976.46</v>
      </c>
      <c r="AN53" s="283">
        <f t="shared" si="14"/>
        <v>0</v>
      </c>
      <c r="AO53" s="283">
        <f t="shared" si="15"/>
        <v>0</v>
      </c>
      <c r="AP53" s="283">
        <f t="shared" si="16"/>
        <v>0</v>
      </c>
      <c r="AQ53" s="283">
        <f t="shared" si="17"/>
        <v>0</v>
      </c>
      <c r="AR53" s="283">
        <f t="shared" si="18"/>
        <v>0</v>
      </c>
      <c r="AS53" s="283">
        <f t="shared" si="19"/>
        <v>0</v>
      </c>
      <c r="AT53" s="283">
        <f t="shared" si="20"/>
        <v>0</v>
      </c>
      <c r="AU53" s="283">
        <f t="shared" si="21"/>
        <v>0</v>
      </c>
      <c r="AV53" s="283">
        <f t="shared" si="22"/>
        <v>0</v>
      </c>
      <c r="AW53" s="319">
        <f t="shared" si="23"/>
        <v>3943.94</v>
      </c>
    </row>
    <row r="54" spans="1:49" s="20" customFormat="1" x14ac:dyDescent="0.2">
      <c r="A54" s="18" t="s">
        <v>47</v>
      </c>
      <c r="B54" s="243">
        <v>1831927</v>
      </c>
      <c r="C54" s="243">
        <v>0</v>
      </c>
      <c r="D54" s="2">
        <f>(B54+C54)*0.124+0.01</f>
        <v>227158.96</v>
      </c>
      <c r="E54" s="78">
        <f>(B54+C54)*0.049</f>
        <v>89764.42</v>
      </c>
      <c r="F54" s="78">
        <f>(B54+C54)*0.0524</f>
        <v>95992.97</v>
      </c>
      <c r="G54" s="2">
        <f t="shared" si="2"/>
        <v>153307.6</v>
      </c>
      <c r="H54" s="2">
        <f t="shared" si="24"/>
        <v>17952.88</v>
      </c>
      <c r="I54" s="2">
        <f t="shared" si="3"/>
        <v>117.72</v>
      </c>
      <c r="J54" s="381">
        <f t="shared" si="4"/>
        <v>584294.55000000005</v>
      </c>
      <c r="K54" s="18"/>
      <c r="L54" s="243"/>
      <c r="M54" s="243"/>
      <c r="N54" s="243"/>
      <c r="O54" s="243">
        <v>1591706</v>
      </c>
      <c r="P54" s="243"/>
      <c r="Q54" s="243">
        <v>49307</v>
      </c>
      <c r="R54" s="243"/>
      <c r="S54" s="243">
        <v>32541</v>
      </c>
      <c r="T54" s="243">
        <v>35489</v>
      </c>
      <c r="U54" s="243">
        <v>1000</v>
      </c>
      <c r="V54" s="243">
        <v>85889</v>
      </c>
      <c r="W54" s="243"/>
      <c r="X54" s="243"/>
      <c r="Y54" s="243">
        <v>1005</v>
      </c>
      <c r="Z54" s="243">
        <v>6953</v>
      </c>
      <c r="AA54" s="243"/>
      <c r="AB54" s="243">
        <v>13934</v>
      </c>
      <c r="AC54" s="243">
        <v>14103</v>
      </c>
      <c r="AD54" s="243">
        <f t="shared" si="33"/>
        <v>1831927</v>
      </c>
      <c r="AE54" s="18"/>
      <c r="AF54" s="283">
        <f t="shared" si="6"/>
        <v>0</v>
      </c>
      <c r="AG54" s="283">
        <f t="shared" si="7"/>
        <v>0</v>
      </c>
      <c r="AH54" s="283">
        <f t="shared" si="8"/>
        <v>140388.47</v>
      </c>
      <c r="AI54" s="283">
        <f t="shared" si="9"/>
        <v>0</v>
      </c>
      <c r="AJ54" s="283">
        <f t="shared" si="10"/>
        <v>1932.83</v>
      </c>
      <c r="AK54" s="283">
        <f t="shared" si="11"/>
        <v>0</v>
      </c>
      <c r="AL54" s="283">
        <f t="shared" si="12"/>
        <v>1275.6099999999999</v>
      </c>
      <c r="AM54" s="283">
        <f t="shared" si="13"/>
        <v>3130.13</v>
      </c>
      <c r="AN54" s="283">
        <f t="shared" si="14"/>
        <v>88.2</v>
      </c>
      <c r="AO54" s="283">
        <f t="shared" si="15"/>
        <v>3366.85</v>
      </c>
      <c r="AP54" s="283">
        <f t="shared" si="16"/>
        <v>0</v>
      </c>
      <c r="AQ54" s="283">
        <f t="shared" si="17"/>
        <v>0</v>
      </c>
      <c r="AR54" s="283">
        <f t="shared" si="18"/>
        <v>39.4</v>
      </c>
      <c r="AS54" s="283">
        <f t="shared" si="19"/>
        <v>613.25</v>
      </c>
      <c r="AT54" s="283">
        <f t="shared" si="20"/>
        <v>0</v>
      </c>
      <c r="AU54" s="283">
        <f t="shared" si="21"/>
        <v>1228.98</v>
      </c>
      <c r="AV54" s="283">
        <f t="shared" si="22"/>
        <v>1243.8800000000001</v>
      </c>
      <c r="AW54" s="319">
        <f t="shared" si="23"/>
        <v>153307.6</v>
      </c>
    </row>
    <row r="55" spans="1:49" x14ac:dyDescent="0.2">
      <c r="A55" s="1" t="s">
        <v>783</v>
      </c>
      <c r="B55" s="7"/>
      <c r="C55" s="7"/>
      <c r="D55" s="2">
        <f>(B55+C55)*0.124+22.27</f>
        <v>22.27</v>
      </c>
      <c r="E55" s="2">
        <f>(B55+C55)*0.049+8.8</f>
        <v>8.8000000000000007</v>
      </c>
      <c r="F55" s="78">
        <f>(B55+C55)*0.0524+9.41</f>
        <v>9.41</v>
      </c>
      <c r="G55" s="2">
        <f>+AW55</f>
        <v>0</v>
      </c>
      <c r="H55" s="2">
        <f>(B55+C55)*0.0098</f>
        <v>0</v>
      </c>
      <c r="I55" s="2">
        <f>(AB55)*0.0084484</f>
        <v>0</v>
      </c>
      <c r="J55" s="381">
        <f>SUM(D55:I55)</f>
        <v>40.479999999999997</v>
      </c>
      <c r="K55" s="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>
        <f t="shared" si="33"/>
        <v>0</v>
      </c>
      <c r="AE55" s="7"/>
      <c r="AF55" s="283">
        <f>+M55*$AF$12</f>
        <v>0</v>
      </c>
      <c r="AG55" s="283">
        <f>+N55*$AG$12</f>
        <v>0</v>
      </c>
      <c r="AH55" s="283">
        <f>+O55*$AH$12</f>
        <v>0</v>
      </c>
      <c r="AI55" s="283">
        <f>+P55*$AI$12</f>
        <v>0</v>
      </c>
      <c r="AJ55" s="283">
        <f>+Q55*$AJ$12</f>
        <v>0</v>
      </c>
      <c r="AK55" s="283">
        <f>+R55*$AK$12</f>
        <v>0</v>
      </c>
      <c r="AL55" s="283">
        <f>+S55*$AL$12</f>
        <v>0</v>
      </c>
      <c r="AM55" s="283">
        <f>+T55*$AM$12</f>
        <v>0</v>
      </c>
      <c r="AN55" s="283">
        <f>+U55*$AN$12</f>
        <v>0</v>
      </c>
      <c r="AO55" s="283">
        <f>+V55*$AO$12</f>
        <v>0</v>
      </c>
      <c r="AP55" s="283">
        <f>+W55*$AP$12</f>
        <v>0</v>
      </c>
      <c r="AQ55" s="283">
        <f>+X55*$AQ$12</f>
        <v>0</v>
      </c>
      <c r="AR55" s="283">
        <f>+Y55*$AR$12</f>
        <v>0</v>
      </c>
      <c r="AS55" s="283">
        <f>+Z55*$AS$12</f>
        <v>0</v>
      </c>
      <c r="AT55" s="283">
        <f>+AA55*$AT$12</f>
        <v>0</v>
      </c>
      <c r="AU55" s="283">
        <f>+AB55*$AU$12</f>
        <v>0</v>
      </c>
      <c r="AV55" s="283">
        <f>+AC55*$AV$12</f>
        <v>0</v>
      </c>
      <c r="AW55" s="319">
        <f>SUM(AF55:AV55)</f>
        <v>0</v>
      </c>
    </row>
    <row r="56" spans="1:49" x14ac:dyDescent="0.2">
      <c r="A56" s="1" t="s">
        <v>48</v>
      </c>
      <c r="B56" s="7">
        <v>376980</v>
      </c>
      <c r="C56" s="7">
        <v>11989084</v>
      </c>
      <c r="D56" s="2">
        <f>(B56+C56)*0.124-0.01</f>
        <v>1533391.93</v>
      </c>
      <c r="E56" s="2">
        <f>(B56+C56)*0.049</f>
        <v>605937.14</v>
      </c>
      <c r="F56" s="2">
        <f>(B56+C56)*0.0524</f>
        <v>647981.75</v>
      </c>
      <c r="G56" s="2">
        <f t="shared" si="2"/>
        <v>1072214.83</v>
      </c>
      <c r="H56" s="2">
        <f>(B56+C56)*0.0098-0.01</f>
        <v>121187.42</v>
      </c>
      <c r="I56" s="2">
        <f t="shared" si="3"/>
        <v>0</v>
      </c>
      <c r="J56" s="381">
        <f t="shared" si="4"/>
        <v>3980713.07</v>
      </c>
      <c r="K56" s="1"/>
      <c r="L56" s="7"/>
      <c r="M56" s="7"/>
      <c r="N56" s="7"/>
      <c r="O56" s="7">
        <v>11989084</v>
      </c>
      <c r="P56" s="7"/>
      <c r="Q56" s="7"/>
      <c r="R56" s="7"/>
      <c r="S56" s="7"/>
      <c r="T56" s="7"/>
      <c r="U56" s="7"/>
      <c r="V56" s="7"/>
      <c r="W56" s="7"/>
      <c r="X56" s="7"/>
      <c r="Y56" s="7">
        <v>376980</v>
      </c>
      <c r="Z56" s="7"/>
      <c r="AA56" s="7"/>
      <c r="AB56" s="7"/>
      <c r="AC56" s="7"/>
      <c r="AD56" s="7">
        <f>SUM(L56:AC56)</f>
        <v>12366064</v>
      </c>
      <c r="AE56" s="1"/>
      <c r="AF56" s="283">
        <f t="shared" si="6"/>
        <v>0</v>
      </c>
      <c r="AG56" s="283">
        <f t="shared" si="7"/>
        <v>0</v>
      </c>
      <c r="AH56" s="283">
        <f t="shared" si="8"/>
        <v>1057437.21</v>
      </c>
      <c r="AI56" s="283">
        <f t="shared" si="9"/>
        <v>0</v>
      </c>
      <c r="AJ56" s="283">
        <f t="shared" si="10"/>
        <v>0</v>
      </c>
      <c r="AK56" s="283">
        <f t="shared" si="11"/>
        <v>0</v>
      </c>
      <c r="AL56" s="283">
        <f t="shared" si="12"/>
        <v>0</v>
      </c>
      <c r="AM56" s="283">
        <f t="shared" si="13"/>
        <v>0</v>
      </c>
      <c r="AN56" s="283">
        <f t="shared" si="14"/>
        <v>0</v>
      </c>
      <c r="AO56" s="283">
        <f t="shared" si="15"/>
        <v>0</v>
      </c>
      <c r="AP56" s="283">
        <f t="shared" si="16"/>
        <v>0</v>
      </c>
      <c r="AQ56" s="283">
        <f t="shared" si="17"/>
        <v>0</v>
      </c>
      <c r="AR56" s="283">
        <f t="shared" si="18"/>
        <v>14777.62</v>
      </c>
      <c r="AS56" s="283">
        <f t="shared" si="19"/>
        <v>0</v>
      </c>
      <c r="AT56" s="283">
        <f t="shared" si="20"/>
        <v>0</v>
      </c>
      <c r="AU56" s="283">
        <f t="shared" si="21"/>
        <v>0</v>
      </c>
      <c r="AV56" s="283">
        <f t="shared" si="22"/>
        <v>0</v>
      </c>
      <c r="AW56" s="319">
        <f t="shared" si="23"/>
        <v>1072214.83</v>
      </c>
    </row>
    <row r="57" spans="1:49" x14ac:dyDescent="0.2">
      <c r="A57" s="1" t="s">
        <v>362</v>
      </c>
      <c r="B57" s="7">
        <v>57191</v>
      </c>
      <c r="C57" s="7">
        <v>0</v>
      </c>
      <c r="D57" s="2">
        <f>(B57+C57)*0.124</f>
        <v>7091.68</v>
      </c>
      <c r="E57" s="2">
        <f t="shared" ref="E57:E63" si="36">(B57+C57)*0.049</f>
        <v>2802.36</v>
      </c>
      <c r="F57" s="78">
        <f t="shared" ref="F57:F90" si="37">(B57+C57)*0.0524</f>
        <v>2996.81</v>
      </c>
      <c r="G57" s="2">
        <f t="shared" si="2"/>
        <v>5044.25</v>
      </c>
      <c r="H57" s="2">
        <f t="shared" si="24"/>
        <v>560.47</v>
      </c>
      <c r="I57" s="2">
        <f t="shared" si="3"/>
        <v>0</v>
      </c>
      <c r="J57" s="381">
        <f t="shared" si="4"/>
        <v>18495.57</v>
      </c>
      <c r="K57" s="1"/>
      <c r="L57" s="7"/>
      <c r="M57" s="7">
        <v>42183</v>
      </c>
      <c r="N57" s="7"/>
      <c r="O57" s="7">
        <v>15008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>
        <f t="shared" si="33"/>
        <v>57191</v>
      </c>
      <c r="AE57" s="1"/>
      <c r="AF57" s="283">
        <f t="shared" si="6"/>
        <v>3720.54</v>
      </c>
      <c r="AG57" s="283">
        <f t="shared" si="7"/>
        <v>0</v>
      </c>
      <c r="AH57" s="283">
        <f t="shared" si="8"/>
        <v>1323.71</v>
      </c>
      <c r="AI57" s="283">
        <f t="shared" si="9"/>
        <v>0</v>
      </c>
      <c r="AJ57" s="283">
        <f t="shared" si="10"/>
        <v>0</v>
      </c>
      <c r="AK57" s="283">
        <f t="shared" si="11"/>
        <v>0</v>
      </c>
      <c r="AL57" s="283">
        <f t="shared" si="12"/>
        <v>0</v>
      </c>
      <c r="AM57" s="283">
        <f t="shared" si="13"/>
        <v>0</v>
      </c>
      <c r="AN57" s="283">
        <f t="shared" si="14"/>
        <v>0</v>
      </c>
      <c r="AO57" s="283">
        <f t="shared" si="15"/>
        <v>0</v>
      </c>
      <c r="AP57" s="283">
        <f t="shared" si="16"/>
        <v>0</v>
      </c>
      <c r="AQ57" s="283">
        <f t="shared" si="17"/>
        <v>0</v>
      </c>
      <c r="AR57" s="283">
        <f t="shared" si="18"/>
        <v>0</v>
      </c>
      <c r="AS57" s="283">
        <f t="shared" si="19"/>
        <v>0</v>
      </c>
      <c r="AT57" s="283">
        <f t="shared" si="20"/>
        <v>0</v>
      </c>
      <c r="AU57" s="283">
        <f t="shared" si="21"/>
        <v>0</v>
      </c>
      <c r="AV57" s="283">
        <f t="shared" si="22"/>
        <v>0</v>
      </c>
      <c r="AW57" s="319">
        <f t="shared" si="23"/>
        <v>5044.25</v>
      </c>
    </row>
    <row r="58" spans="1:49" x14ac:dyDescent="0.2">
      <c r="A58" s="1" t="s">
        <v>49</v>
      </c>
      <c r="B58" s="7">
        <v>10397</v>
      </c>
      <c r="C58" s="7">
        <v>0</v>
      </c>
      <c r="D58" s="2">
        <f>(B58+C58)*0.124</f>
        <v>1289.23</v>
      </c>
      <c r="E58" s="2">
        <f t="shared" si="36"/>
        <v>509.45</v>
      </c>
      <c r="F58" s="78">
        <f t="shared" si="37"/>
        <v>544.79999999999995</v>
      </c>
      <c r="G58" s="2">
        <f t="shared" si="2"/>
        <v>917.02</v>
      </c>
      <c r="H58" s="2">
        <f t="shared" si="24"/>
        <v>101.89</v>
      </c>
      <c r="I58" s="2">
        <f t="shared" si="3"/>
        <v>0</v>
      </c>
      <c r="J58" s="381">
        <f t="shared" si="4"/>
        <v>3362.39</v>
      </c>
      <c r="K58" s="1"/>
      <c r="L58" s="7"/>
      <c r="M58" s="7"/>
      <c r="N58" s="7"/>
      <c r="O58" s="7">
        <v>10397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f t="shared" si="33"/>
        <v>10397</v>
      </c>
      <c r="AE58" s="7"/>
      <c r="AF58" s="283">
        <f t="shared" si="6"/>
        <v>0</v>
      </c>
      <c r="AG58" s="283">
        <f t="shared" si="7"/>
        <v>0</v>
      </c>
      <c r="AH58" s="283">
        <f t="shared" si="8"/>
        <v>917.02</v>
      </c>
      <c r="AI58" s="283">
        <f t="shared" si="9"/>
        <v>0</v>
      </c>
      <c r="AJ58" s="283">
        <f t="shared" si="10"/>
        <v>0</v>
      </c>
      <c r="AK58" s="283">
        <f t="shared" si="11"/>
        <v>0</v>
      </c>
      <c r="AL58" s="283">
        <f t="shared" si="12"/>
        <v>0</v>
      </c>
      <c r="AM58" s="283">
        <f t="shared" si="13"/>
        <v>0</v>
      </c>
      <c r="AN58" s="283">
        <f t="shared" si="14"/>
        <v>0</v>
      </c>
      <c r="AO58" s="283">
        <f t="shared" si="15"/>
        <v>0</v>
      </c>
      <c r="AP58" s="283">
        <f t="shared" si="16"/>
        <v>0</v>
      </c>
      <c r="AQ58" s="283">
        <f t="shared" si="17"/>
        <v>0</v>
      </c>
      <c r="AR58" s="283">
        <f t="shared" si="18"/>
        <v>0</v>
      </c>
      <c r="AS58" s="283">
        <f t="shared" si="19"/>
        <v>0</v>
      </c>
      <c r="AT58" s="283">
        <f t="shared" si="20"/>
        <v>0</v>
      </c>
      <c r="AU58" s="283">
        <f t="shared" si="21"/>
        <v>0</v>
      </c>
      <c r="AV58" s="283">
        <f t="shared" si="22"/>
        <v>0</v>
      </c>
      <c r="AW58" s="319">
        <f t="shared" si="23"/>
        <v>917.02</v>
      </c>
    </row>
    <row r="59" spans="1:49" x14ac:dyDescent="0.2">
      <c r="A59" s="1" t="s">
        <v>354</v>
      </c>
      <c r="B59" s="7">
        <v>266838</v>
      </c>
      <c r="C59" s="7">
        <v>0</v>
      </c>
      <c r="D59" s="2">
        <f>(B59+C59)*0.124+0.01</f>
        <v>33087.919999999998</v>
      </c>
      <c r="E59" s="2">
        <f t="shared" si="36"/>
        <v>13075.06</v>
      </c>
      <c r="F59" s="78">
        <f t="shared" si="37"/>
        <v>13982.31</v>
      </c>
      <c r="G59" s="2">
        <f t="shared" si="2"/>
        <v>19684.349999999999</v>
      </c>
      <c r="H59" s="2">
        <f t="shared" si="24"/>
        <v>2615.0100000000002</v>
      </c>
      <c r="I59" s="2">
        <f t="shared" si="3"/>
        <v>1090.3399999999999</v>
      </c>
      <c r="J59" s="381">
        <f t="shared" si="4"/>
        <v>83534.990000000005</v>
      </c>
      <c r="K59" s="1"/>
      <c r="L59" s="7"/>
      <c r="M59" s="7">
        <v>25549</v>
      </c>
      <c r="N59" s="7">
        <v>19947</v>
      </c>
      <c r="O59" s="7"/>
      <c r="P59" s="7">
        <v>63447</v>
      </c>
      <c r="Q59" s="7">
        <v>12800</v>
      </c>
      <c r="R59" s="7"/>
      <c r="S59" s="7"/>
      <c r="T59" s="7">
        <v>28</v>
      </c>
      <c r="U59" s="7"/>
      <c r="V59" s="7"/>
      <c r="W59" s="7">
        <v>13668</v>
      </c>
      <c r="X59" s="7"/>
      <c r="Y59" s="7"/>
      <c r="Z59" s="7"/>
      <c r="AA59" s="7">
        <v>2340</v>
      </c>
      <c r="AB59" s="7">
        <v>129059</v>
      </c>
      <c r="AC59" s="7"/>
      <c r="AD59" s="7">
        <f t="shared" si="33"/>
        <v>266838</v>
      </c>
      <c r="AE59" s="1"/>
      <c r="AF59" s="283">
        <f t="shared" si="6"/>
        <v>2253.42</v>
      </c>
      <c r="AG59" s="283">
        <f t="shared" si="7"/>
        <v>1759.33</v>
      </c>
      <c r="AH59" s="283">
        <f t="shared" si="8"/>
        <v>0</v>
      </c>
      <c r="AI59" s="283">
        <f t="shared" si="9"/>
        <v>2487.12</v>
      </c>
      <c r="AJ59" s="283">
        <f t="shared" si="10"/>
        <v>501.76</v>
      </c>
      <c r="AK59" s="283">
        <f t="shared" si="11"/>
        <v>0</v>
      </c>
      <c r="AL59" s="283">
        <f t="shared" si="12"/>
        <v>0</v>
      </c>
      <c r="AM59" s="283">
        <f t="shared" si="13"/>
        <v>2.4700000000000002</v>
      </c>
      <c r="AN59" s="283">
        <f t="shared" si="14"/>
        <v>0</v>
      </c>
      <c r="AO59" s="283">
        <f t="shared" si="15"/>
        <v>0</v>
      </c>
      <c r="AP59" s="283">
        <f t="shared" si="16"/>
        <v>1205.52</v>
      </c>
      <c r="AQ59" s="283">
        <f t="shared" si="17"/>
        <v>0</v>
      </c>
      <c r="AR59" s="283">
        <f t="shared" si="18"/>
        <v>0</v>
      </c>
      <c r="AS59" s="283">
        <f t="shared" si="19"/>
        <v>0</v>
      </c>
      <c r="AT59" s="283">
        <f t="shared" si="20"/>
        <v>91.73</v>
      </c>
      <c r="AU59" s="283">
        <f t="shared" si="21"/>
        <v>11383</v>
      </c>
      <c r="AV59" s="283">
        <f t="shared" si="22"/>
        <v>0</v>
      </c>
      <c r="AW59" s="319">
        <f t="shared" si="23"/>
        <v>19684.349999999999</v>
      </c>
    </row>
    <row r="60" spans="1:49" x14ac:dyDescent="0.2">
      <c r="A60" s="1" t="s">
        <v>50</v>
      </c>
      <c r="B60" s="7">
        <v>596347</v>
      </c>
      <c r="C60" s="7">
        <v>1013598</v>
      </c>
      <c r="D60" s="2">
        <f>(B60+C60)*0.124-0.01</f>
        <v>199633.17</v>
      </c>
      <c r="E60" s="2">
        <f t="shared" si="36"/>
        <v>78887.31</v>
      </c>
      <c r="F60" s="78">
        <f t="shared" si="37"/>
        <v>84361.12</v>
      </c>
      <c r="G60" s="2">
        <f t="shared" si="2"/>
        <v>128149.78</v>
      </c>
      <c r="H60" s="2">
        <f t="shared" si="24"/>
        <v>15777.46</v>
      </c>
      <c r="I60" s="2">
        <f t="shared" si="3"/>
        <v>8401.84</v>
      </c>
      <c r="J60" s="381">
        <f t="shared" si="4"/>
        <v>515210.68</v>
      </c>
      <c r="K60" s="1"/>
      <c r="L60" s="7"/>
      <c r="M60" s="7">
        <v>20409</v>
      </c>
      <c r="N60" s="7"/>
      <c r="O60" s="7">
        <v>156931</v>
      </c>
      <c r="P60" s="7"/>
      <c r="Q60" s="7">
        <v>218549</v>
      </c>
      <c r="R60" s="7"/>
      <c r="S60" s="7"/>
      <c r="T60" s="7">
        <v>13004</v>
      </c>
      <c r="U60" s="7"/>
      <c r="V60" s="7"/>
      <c r="W60" s="7">
        <v>103403</v>
      </c>
      <c r="X60" s="7">
        <v>39110</v>
      </c>
      <c r="Y60" s="7">
        <v>64050</v>
      </c>
      <c r="Z60" s="7"/>
      <c r="AA60" s="7"/>
      <c r="AB60" s="7">
        <v>994489</v>
      </c>
      <c r="AC60" s="7"/>
      <c r="AD60" s="7">
        <f t="shared" si="33"/>
        <v>1609945</v>
      </c>
      <c r="AE60" s="1"/>
      <c r="AF60" s="283">
        <f t="shared" si="6"/>
        <v>1800.07</v>
      </c>
      <c r="AG60" s="283">
        <f t="shared" si="7"/>
        <v>0</v>
      </c>
      <c r="AH60" s="283">
        <f t="shared" si="8"/>
        <v>13841.31</v>
      </c>
      <c r="AI60" s="283">
        <f t="shared" si="9"/>
        <v>0</v>
      </c>
      <c r="AJ60" s="283">
        <f t="shared" si="10"/>
        <v>8567.1200000000008</v>
      </c>
      <c r="AK60" s="283">
        <f t="shared" si="11"/>
        <v>0</v>
      </c>
      <c r="AL60" s="283">
        <f t="shared" si="12"/>
        <v>0</v>
      </c>
      <c r="AM60" s="283">
        <f t="shared" si="13"/>
        <v>1146.95</v>
      </c>
      <c r="AN60" s="283">
        <f t="shared" si="14"/>
        <v>0</v>
      </c>
      <c r="AO60" s="283">
        <f t="shared" si="15"/>
        <v>0</v>
      </c>
      <c r="AP60" s="283">
        <f t="shared" si="16"/>
        <v>9120.14</v>
      </c>
      <c r="AQ60" s="283">
        <f t="shared" si="17"/>
        <v>3449.5</v>
      </c>
      <c r="AR60" s="283">
        <f t="shared" si="18"/>
        <v>2510.7600000000002</v>
      </c>
      <c r="AS60" s="283">
        <f t="shared" si="19"/>
        <v>0</v>
      </c>
      <c r="AT60" s="283">
        <f t="shared" si="20"/>
        <v>0</v>
      </c>
      <c r="AU60" s="283">
        <f t="shared" si="21"/>
        <v>87713.93</v>
      </c>
      <c r="AV60" s="283">
        <f t="shared" si="22"/>
        <v>0</v>
      </c>
      <c r="AW60" s="319">
        <f t="shared" si="23"/>
        <v>128149.78</v>
      </c>
    </row>
    <row r="61" spans="1:49" x14ac:dyDescent="0.2">
      <c r="A61" s="1" t="s">
        <v>51</v>
      </c>
      <c r="B61" s="7">
        <v>280556</v>
      </c>
      <c r="C61" s="7">
        <v>0</v>
      </c>
      <c r="D61" s="2">
        <f>(B61+C61)*0.124+0.01</f>
        <v>34788.949999999997</v>
      </c>
      <c r="E61" s="2">
        <f t="shared" si="36"/>
        <v>13747.24</v>
      </c>
      <c r="F61" s="78">
        <f t="shared" si="37"/>
        <v>14701.13</v>
      </c>
      <c r="G61" s="2">
        <f t="shared" si="2"/>
        <v>23246.82</v>
      </c>
      <c r="H61" s="2">
        <f>(B61+C61)*0.0098-0.01</f>
        <v>2749.44</v>
      </c>
      <c r="I61" s="2">
        <f t="shared" si="3"/>
        <v>0</v>
      </c>
      <c r="J61" s="381">
        <f t="shared" si="4"/>
        <v>89233.58</v>
      </c>
      <c r="K61" s="1"/>
      <c r="L61" s="7"/>
      <c r="M61" s="7"/>
      <c r="N61" s="7"/>
      <c r="O61" s="7">
        <v>232697</v>
      </c>
      <c r="P61" s="7"/>
      <c r="Q61" s="7"/>
      <c r="R61" s="7"/>
      <c r="S61" s="7"/>
      <c r="T61" s="7"/>
      <c r="U61" s="7"/>
      <c r="V61" s="7">
        <v>30576</v>
      </c>
      <c r="W61" s="7"/>
      <c r="X61" s="7"/>
      <c r="Y61" s="7"/>
      <c r="Z61" s="7"/>
      <c r="AA61" s="7"/>
      <c r="AB61" s="7"/>
      <c r="AC61" s="7">
        <v>17283</v>
      </c>
      <c r="AD61" s="7">
        <f t="shared" ref="AD61:AD78" si="38">SUM(L61:AC61)</f>
        <v>280556</v>
      </c>
      <c r="AE61" s="7"/>
      <c r="AF61" s="283">
        <f t="shared" si="6"/>
        <v>0</v>
      </c>
      <c r="AG61" s="283">
        <f t="shared" si="7"/>
        <v>0</v>
      </c>
      <c r="AH61" s="283">
        <f t="shared" si="8"/>
        <v>20523.88</v>
      </c>
      <c r="AI61" s="283">
        <f t="shared" si="9"/>
        <v>0</v>
      </c>
      <c r="AJ61" s="283">
        <f t="shared" si="10"/>
        <v>0</v>
      </c>
      <c r="AK61" s="283">
        <f t="shared" si="11"/>
        <v>0</v>
      </c>
      <c r="AL61" s="283">
        <f t="shared" si="12"/>
        <v>0</v>
      </c>
      <c r="AM61" s="283">
        <f t="shared" si="13"/>
        <v>0</v>
      </c>
      <c r="AN61" s="283">
        <f t="shared" si="14"/>
        <v>0</v>
      </c>
      <c r="AO61" s="283">
        <f t="shared" si="15"/>
        <v>1198.58</v>
      </c>
      <c r="AP61" s="283">
        <f t="shared" si="16"/>
        <v>0</v>
      </c>
      <c r="AQ61" s="283">
        <f t="shared" si="17"/>
        <v>0</v>
      </c>
      <c r="AR61" s="283">
        <f t="shared" si="18"/>
        <v>0</v>
      </c>
      <c r="AS61" s="283">
        <f t="shared" si="19"/>
        <v>0</v>
      </c>
      <c r="AT61" s="283">
        <f t="shared" si="20"/>
        <v>0</v>
      </c>
      <c r="AU61" s="283">
        <f t="shared" si="21"/>
        <v>0</v>
      </c>
      <c r="AV61" s="283">
        <f t="shared" si="22"/>
        <v>1524.36</v>
      </c>
      <c r="AW61" s="319">
        <f t="shared" si="23"/>
        <v>23246.82</v>
      </c>
    </row>
    <row r="62" spans="1:49" x14ac:dyDescent="0.2">
      <c r="A62" s="1" t="s">
        <v>477</v>
      </c>
      <c r="B62" s="7">
        <v>5986</v>
      </c>
      <c r="C62" s="7">
        <v>0</v>
      </c>
      <c r="D62" s="2">
        <f>(B62+C62)*0.124</f>
        <v>742.26</v>
      </c>
      <c r="E62" s="2">
        <f t="shared" si="36"/>
        <v>293.31</v>
      </c>
      <c r="F62" s="78">
        <f t="shared" si="37"/>
        <v>313.67</v>
      </c>
      <c r="G62" s="2">
        <f t="shared" si="2"/>
        <v>527.97</v>
      </c>
      <c r="H62" s="2">
        <f t="shared" si="24"/>
        <v>58.66</v>
      </c>
      <c r="I62" s="2">
        <f t="shared" si="3"/>
        <v>0</v>
      </c>
      <c r="J62" s="381">
        <f t="shared" si="4"/>
        <v>1935.87</v>
      </c>
      <c r="K62" s="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>
        <v>5986</v>
      </c>
      <c r="AD62" s="7">
        <f>SUM(L62:AC62)</f>
        <v>5986</v>
      </c>
      <c r="AE62" s="7"/>
      <c r="AF62" s="283">
        <f t="shared" si="6"/>
        <v>0</v>
      </c>
      <c r="AG62" s="283">
        <f t="shared" si="7"/>
        <v>0</v>
      </c>
      <c r="AH62" s="283">
        <f t="shared" si="8"/>
        <v>0</v>
      </c>
      <c r="AI62" s="283">
        <f t="shared" si="9"/>
        <v>0</v>
      </c>
      <c r="AJ62" s="283">
        <f t="shared" si="10"/>
        <v>0</v>
      </c>
      <c r="AK62" s="283">
        <f t="shared" si="11"/>
        <v>0</v>
      </c>
      <c r="AL62" s="283">
        <f t="shared" si="12"/>
        <v>0</v>
      </c>
      <c r="AM62" s="283">
        <f t="shared" si="13"/>
        <v>0</v>
      </c>
      <c r="AN62" s="283">
        <f t="shared" si="14"/>
        <v>0</v>
      </c>
      <c r="AO62" s="283">
        <f t="shared" si="15"/>
        <v>0</v>
      </c>
      <c r="AP62" s="283">
        <f t="shared" si="16"/>
        <v>0</v>
      </c>
      <c r="AQ62" s="283">
        <f t="shared" si="17"/>
        <v>0</v>
      </c>
      <c r="AR62" s="283">
        <f t="shared" si="18"/>
        <v>0</v>
      </c>
      <c r="AS62" s="283">
        <f t="shared" si="19"/>
        <v>0</v>
      </c>
      <c r="AT62" s="283">
        <f t="shared" si="20"/>
        <v>0</v>
      </c>
      <c r="AU62" s="283">
        <f t="shared" si="21"/>
        <v>0</v>
      </c>
      <c r="AV62" s="283">
        <f t="shared" si="22"/>
        <v>527.97</v>
      </c>
      <c r="AW62" s="319">
        <f t="shared" si="23"/>
        <v>527.97</v>
      </c>
    </row>
    <row r="63" spans="1:49" x14ac:dyDescent="0.2">
      <c r="A63" s="1" t="s">
        <v>437</v>
      </c>
      <c r="B63" s="7">
        <v>0</v>
      </c>
      <c r="C63" s="7">
        <v>75467</v>
      </c>
      <c r="D63" s="2">
        <f>(B63+C63)*0.124</f>
        <v>9357.91</v>
      </c>
      <c r="E63" s="2">
        <f t="shared" si="36"/>
        <v>3697.88</v>
      </c>
      <c r="F63" s="78">
        <f t="shared" si="37"/>
        <v>3954.47</v>
      </c>
      <c r="G63" s="2">
        <f t="shared" si="2"/>
        <v>6656.19</v>
      </c>
      <c r="H63" s="2">
        <f t="shared" si="24"/>
        <v>739.58</v>
      </c>
      <c r="I63" s="2">
        <f t="shared" si="3"/>
        <v>72.239999999999995</v>
      </c>
      <c r="J63" s="381">
        <f t="shared" si="4"/>
        <v>24478.27</v>
      </c>
      <c r="K63" s="1"/>
      <c r="L63" s="7"/>
      <c r="M63" s="7"/>
      <c r="N63" s="7"/>
      <c r="O63" s="7">
        <v>66916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v>8551</v>
      </c>
      <c r="AC63" s="7"/>
      <c r="AD63" s="7">
        <f t="shared" si="38"/>
        <v>75467</v>
      </c>
      <c r="AE63" s="7"/>
      <c r="AF63" s="283">
        <f t="shared" si="6"/>
        <v>0</v>
      </c>
      <c r="AG63" s="283">
        <f t="shared" si="7"/>
        <v>0</v>
      </c>
      <c r="AH63" s="283">
        <f t="shared" si="8"/>
        <v>5901.99</v>
      </c>
      <c r="AI63" s="283">
        <f t="shared" si="9"/>
        <v>0</v>
      </c>
      <c r="AJ63" s="283">
        <f t="shared" si="10"/>
        <v>0</v>
      </c>
      <c r="AK63" s="283">
        <f t="shared" si="11"/>
        <v>0</v>
      </c>
      <c r="AL63" s="283">
        <f t="shared" si="12"/>
        <v>0</v>
      </c>
      <c r="AM63" s="283">
        <f t="shared" si="13"/>
        <v>0</v>
      </c>
      <c r="AN63" s="283">
        <f t="shared" si="14"/>
        <v>0</v>
      </c>
      <c r="AO63" s="283">
        <f t="shared" si="15"/>
        <v>0</v>
      </c>
      <c r="AP63" s="283">
        <f t="shared" si="16"/>
        <v>0</v>
      </c>
      <c r="AQ63" s="283">
        <f t="shared" si="17"/>
        <v>0</v>
      </c>
      <c r="AR63" s="283">
        <f t="shared" si="18"/>
        <v>0</v>
      </c>
      <c r="AS63" s="283">
        <f t="shared" si="19"/>
        <v>0</v>
      </c>
      <c r="AT63" s="283">
        <f t="shared" si="20"/>
        <v>0</v>
      </c>
      <c r="AU63" s="283">
        <f t="shared" si="21"/>
        <v>754.2</v>
      </c>
      <c r="AV63" s="283">
        <f t="shared" si="22"/>
        <v>0</v>
      </c>
      <c r="AW63" s="319">
        <f t="shared" si="23"/>
        <v>6656.19</v>
      </c>
    </row>
    <row r="64" spans="1:49" x14ac:dyDescent="0.2">
      <c r="A64" s="1" t="s">
        <v>52</v>
      </c>
      <c r="B64" s="7">
        <v>807000</v>
      </c>
      <c r="C64" s="7">
        <v>0</v>
      </c>
      <c r="D64" s="2">
        <f>(B64+C64)*0.124</f>
        <v>100068</v>
      </c>
      <c r="E64" s="2">
        <f>(B64+C64)*0.049</f>
        <v>39543</v>
      </c>
      <c r="F64" s="78">
        <f t="shared" si="37"/>
        <v>42286.8</v>
      </c>
      <c r="G64" s="2">
        <f t="shared" si="2"/>
        <v>57385.48</v>
      </c>
      <c r="H64" s="2">
        <f>(B64+C64)*0.0098+0.01</f>
        <v>7908.61</v>
      </c>
      <c r="I64" s="2">
        <f t="shared" si="3"/>
        <v>0</v>
      </c>
      <c r="J64" s="381">
        <f t="shared" si="4"/>
        <v>247191.89</v>
      </c>
      <c r="K64" s="1"/>
      <c r="L64" s="7"/>
      <c r="M64" s="7"/>
      <c r="N64" s="7"/>
      <c r="O64" s="7">
        <v>319107</v>
      </c>
      <c r="P64" s="7"/>
      <c r="Q64" s="7">
        <v>281468</v>
      </c>
      <c r="R64" s="7"/>
      <c r="S64" s="7"/>
      <c r="T64" s="7">
        <v>206425</v>
      </c>
      <c r="U64" s="7"/>
      <c r="V64" s="7"/>
      <c r="W64" s="7"/>
      <c r="X64" s="7"/>
      <c r="Y64" s="7"/>
      <c r="Z64" s="7"/>
      <c r="AA64" s="7"/>
      <c r="AB64" s="7"/>
      <c r="AC64" s="7"/>
      <c r="AD64" s="7">
        <f t="shared" si="38"/>
        <v>807000</v>
      </c>
      <c r="AE64" s="1"/>
      <c r="AF64" s="283">
        <f t="shared" si="6"/>
        <v>0</v>
      </c>
      <c r="AG64" s="283">
        <f t="shared" si="7"/>
        <v>0</v>
      </c>
      <c r="AH64" s="283">
        <f t="shared" si="8"/>
        <v>28145.24</v>
      </c>
      <c r="AI64" s="283">
        <f t="shared" si="9"/>
        <v>0</v>
      </c>
      <c r="AJ64" s="283">
        <f t="shared" si="10"/>
        <v>11033.55</v>
      </c>
      <c r="AK64" s="283">
        <f t="shared" si="11"/>
        <v>0</v>
      </c>
      <c r="AL64" s="283">
        <f t="shared" si="12"/>
        <v>0</v>
      </c>
      <c r="AM64" s="283">
        <f t="shared" si="13"/>
        <v>18206.689999999999</v>
      </c>
      <c r="AN64" s="283">
        <f t="shared" si="14"/>
        <v>0</v>
      </c>
      <c r="AO64" s="283">
        <f t="shared" si="15"/>
        <v>0</v>
      </c>
      <c r="AP64" s="283">
        <f t="shared" si="16"/>
        <v>0</v>
      </c>
      <c r="AQ64" s="283">
        <f t="shared" si="17"/>
        <v>0</v>
      </c>
      <c r="AR64" s="283">
        <f t="shared" si="18"/>
        <v>0</v>
      </c>
      <c r="AS64" s="283">
        <f t="shared" si="19"/>
        <v>0</v>
      </c>
      <c r="AT64" s="283">
        <f t="shared" si="20"/>
        <v>0</v>
      </c>
      <c r="AU64" s="283">
        <f t="shared" si="21"/>
        <v>0</v>
      </c>
      <c r="AV64" s="283">
        <f t="shared" si="22"/>
        <v>0</v>
      </c>
      <c r="AW64" s="319">
        <f t="shared" si="23"/>
        <v>57385.48</v>
      </c>
    </row>
    <row r="65" spans="1:49" x14ac:dyDescent="0.2">
      <c r="A65" s="1" t="s">
        <v>460</v>
      </c>
      <c r="B65" s="7">
        <v>44576</v>
      </c>
      <c r="C65" s="7">
        <v>0</v>
      </c>
      <c r="D65" s="2">
        <f>(B65+C65)*0.124+0.01</f>
        <v>5527.43</v>
      </c>
      <c r="E65" s="2">
        <f>(B65+C65)*0.049</f>
        <v>2184.2199999999998</v>
      </c>
      <c r="F65" s="78">
        <f t="shared" si="37"/>
        <v>2335.7800000000002</v>
      </c>
      <c r="G65" s="2">
        <f t="shared" si="2"/>
        <v>3931.61</v>
      </c>
      <c r="H65" s="2">
        <f t="shared" si="24"/>
        <v>436.84</v>
      </c>
      <c r="I65" s="2">
        <f t="shared" si="3"/>
        <v>0</v>
      </c>
      <c r="J65" s="381">
        <f t="shared" si="4"/>
        <v>14415.88</v>
      </c>
      <c r="K65" s="1"/>
      <c r="L65" s="7"/>
      <c r="M65" s="7"/>
      <c r="N65" s="7">
        <v>796</v>
      </c>
      <c r="O65" s="7"/>
      <c r="P65" s="7"/>
      <c r="Q65" s="7"/>
      <c r="R65" s="7"/>
      <c r="S65" s="7"/>
      <c r="T65" s="7"/>
      <c r="U65" s="7"/>
      <c r="V65" s="7"/>
      <c r="W65" s="7">
        <v>43780</v>
      </c>
      <c r="X65" s="7"/>
      <c r="Y65" s="7"/>
      <c r="Z65" s="7"/>
      <c r="AA65" s="7"/>
      <c r="AB65" s="7"/>
      <c r="AC65" s="7"/>
      <c r="AD65" s="7">
        <f>SUM(L65:AC65)</f>
        <v>44576</v>
      </c>
      <c r="AE65" s="1"/>
      <c r="AF65" s="283">
        <f t="shared" si="6"/>
        <v>0</v>
      </c>
      <c r="AG65" s="283">
        <f t="shared" si="7"/>
        <v>70.209999999999994</v>
      </c>
      <c r="AH65" s="283">
        <f t="shared" si="8"/>
        <v>0</v>
      </c>
      <c r="AI65" s="283">
        <f t="shared" si="9"/>
        <v>0</v>
      </c>
      <c r="AJ65" s="283">
        <f t="shared" si="10"/>
        <v>0</v>
      </c>
      <c r="AK65" s="283">
        <f t="shared" si="11"/>
        <v>0</v>
      </c>
      <c r="AL65" s="283">
        <f t="shared" si="12"/>
        <v>0</v>
      </c>
      <c r="AM65" s="283">
        <f t="shared" si="13"/>
        <v>0</v>
      </c>
      <c r="AN65" s="283">
        <f t="shared" si="14"/>
        <v>0</v>
      </c>
      <c r="AO65" s="283">
        <f t="shared" si="15"/>
        <v>0</v>
      </c>
      <c r="AP65" s="283">
        <f t="shared" si="16"/>
        <v>3861.4</v>
      </c>
      <c r="AQ65" s="283">
        <f t="shared" si="17"/>
        <v>0</v>
      </c>
      <c r="AR65" s="283">
        <f t="shared" si="18"/>
        <v>0</v>
      </c>
      <c r="AS65" s="283">
        <f t="shared" si="19"/>
        <v>0</v>
      </c>
      <c r="AT65" s="283">
        <f t="shared" si="20"/>
        <v>0</v>
      </c>
      <c r="AU65" s="283">
        <f t="shared" si="21"/>
        <v>0</v>
      </c>
      <c r="AV65" s="283">
        <f t="shared" si="22"/>
        <v>0</v>
      </c>
      <c r="AW65" s="319">
        <f t="shared" si="23"/>
        <v>3931.61</v>
      </c>
    </row>
    <row r="66" spans="1:49" x14ac:dyDescent="0.2">
      <c r="A66" s="1" t="s">
        <v>731</v>
      </c>
      <c r="B66" s="7">
        <v>85579</v>
      </c>
      <c r="C66" s="7">
        <v>0</v>
      </c>
      <c r="D66" s="2">
        <f>(B66+C66)*0.124-868.63</f>
        <v>9743.17</v>
      </c>
      <c r="E66" s="2">
        <f>(B66+C66)*0.049-342.34</f>
        <v>3851.03</v>
      </c>
      <c r="F66" s="78">
        <f>(B66+C66)*0.0524-363.69</f>
        <v>4120.6499999999996</v>
      </c>
      <c r="G66" s="2">
        <f>+AW66</f>
        <v>7274.22</v>
      </c>
      <c r="H66" s="2">
        <f>(B66+C66)*0.0098-410.77</f>
        <v>427.9</v>
      </c>
      <c r="I66" s="2">
        <f>(AB66)*0.0084484</f>
        <v>0</v>
      </c>
      <c r="J66" s="381">
        <f>SUM(D66:I66)</f>
        <v>25416.97</v>
      </c>
      <c r="K66" s="1"/>
      <c r="L66" s="7"/>
      <c r="M66" s="7"/>
      <c r="N66" s="7"/>
      <c r="O66" s="7">
        <v>85579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f>SUM(L66:AC66)</f>
        <v>85579</v>
      </c>
      <c r="AE66" s="1"/>
      <c r="AF66" s="283">
        <f>+M66*$AF$12</f>
        <v>0</v>
      </c>
      <c r="AG66" s="283">
        <f>+N66*$AG$12</f>
        <v>0</v>
      </c>
      <c r="AH66" s="283">
        <f>+O66*$AH$12-273.85</f>
        <v>7274.22</v>
      </c>
      <c r="AI66" s="283">
        <f>+P66*$AI$12</f>
        <v>0</v>
      </c>
      <c r="AJ66" s="283">
        <f>+Q66*$AJ$12</f>
        <v>0</v>
      </c>
      <c r="AK66" s="283">
        <f>+R66*$AK$12</f>
        <v>0</v>
      </c>
      <c r="AL66" s="283">
        <f>+S66*$AL$12</f>
        <v>0</v>
      </c>
      <c r="AM66" s="283">
        <f>+T66*$AM$12</f>
        <v>0</v>
      </c>
      <c r="AN66" s="283">
        <f>+U66*$AN$12</f>
        <v>0</v>
      </c>
      <c r="AO66" s="283">
        <f>+V66*$AO$12</f>
        <v>0</v>
      </c>
      <c r="AP66" s="283">
        <f>+W66*$AP$12</f>
        <v>0</v>
      </c>
      <c r="AQ66" s="283">
        <f>+X66*$AQ$12</f>
        <v>0</v>
      </c>
      <c r="AR66" s="283">
        <f>+Y66*$AR$12</f>
        <v>0</v>
      </c>
      <c r="AS66" s="283">
        <f>+Z66*$AS$12</f>
        <v>0</v>
      </c>
      <c r="AT66" s="283">
        <f>+AA66*$AT$12</f>
        <v>0</v>
      </c>
      <c r="AU66" s="283">
        <f>+AB66*$AU$12</f>
        <v>0</v>
      </c>
      <c r="AV66" s="283">
        <f>+AC66*$AV$12</f>
        <v>0</v>
      </c>
      <c r="AW66" s="319">
        <f>SUM(AF66:AV66)</f>
        <v>7274.22</v>
      </c>
    </row>
    <row r="67" spans="1:49" x14ac:dyDescent="0.2">
      <c r="A67" s="1" t="s">
        <v>732</v>
      </c>
      <c r="B67" s="7">
        <v>147810</v>
      </c>
      <c r="C67" s="7">
        <v>0</v>
      </c>
      <c r="D67" s="2">
        <f>(B67+C67)*0.124</f>
        <v>18328.439999999999</v>
      </c>
      <c r="E67" s="2">
        <f>(B67+C67)*0.049</f>
        <v>7242.69</v>
      </c>
      <c r="F67" s="78">
        <f>(B67+C67)*0.0524</f>
        <v>7745.24</v>
      </c>
      <c r="G67" s="2">
        <f>+AW67</f>
        <v>13036.84</v>
      </c>
      <c r="H67" s="2">
        <f>(B67+C67)*0.0098</f>
        <v>1448.54</v>
      </c>
      <c r="I67" s="2">
        <f>(AB67)*0.0084484</f>
        <v>0</v>
      </c>
      <c r="J67" s="381">
        <f>SUM(D67:I67)</f>
        <v>47801.75</v>
      </c>
      <c r="K67" s="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>
        <v>147810</v>
      </c>
      <c r="X67" s="7"/>
      <c r="Y67" s="7"/>
      <c r="Z67" s="7"/>
      <c r="AA67" s="7"/>
      <c r="AB67" s="7"/>
      <c r="AC67" s="7"/>
      <c r="AD67" s="7">
        <f>SUM(L67:AC67)</f>
        <v>147810</v>
      </c>
      <c r="AE67" s="1"/>
      <c r="AF67" s="283">
        <f>+M67*$AF$12</f>
        <v>0</v>
      </c>
      <c r="AG67" s="283">
        <f>+N67*$AG$12</f>
        <v>0</v>
      </c>
      <c r="AH67" s="283">
        <f>+O67*$AH$12</f>
        <v>0</v>
      </c>
      <c r="AI67" s="283">
        <f>+P67*$AI$12</f>
        <v>0</v>
      </c>
      <c r="AJ67" s="283">
        <f>+Q67*$AJ$12</f>
        <v>0</v>
      </c>
      <c r="AK67" s="283">
        <f>+R67*$AK$12</f>
        <v>0</v>
      </c>
      <c r="AL67" s="283">
        <f>+S67*$AL$12</f>
        <v>0</v>
      </c>
      <c r="AM67" s="283">
        <f>+T67*$AM$12</f>
        <v>0</v>
      </c>
      <c r="AN67" s="283">
        <f>+U67*$AN$12</f>
        <v>0</v>
      </c>
      <c r="AO67" s="283">
        <f>+V67*$AO$12</f>
        <v>0</v>
      </c>
      <c r="AP67" s="283">
        <f>+W67*$AP$12</f>
        <v>13036.84</v>
      </c>
      <c r="AQ67" s="283">
        <f>+X67*$AQ$12</f>
        <v>0</v>
      </c>
      <c r="AR67" s="283">
        <f>+Y67*$AR$12</f>
        <v>0</v>
      </c>
      <c r="AS67" s="283">
        <f>+Z67*$AS$12</f>
        <v>0</v>
      </c>
      <c r="AT67" s="283">
        <f>+AA67*$AT$12</f>
        <v>0</v>
      </c>
      <c r="AU67" s="283">
        <f>+AB67*$AU$12</f>
        <v>0</v>
      </c>
      <c r="AV67" s="283">
        <f>+AC67*$AV$12</f>
        <v>0</v>
      </c>
      <c r="AW67" s="319">
        <f>SUM(AF67:AV67)</f>
        <v>13036.84</v>
      </c>
    </row>
    <row r="68" spans="1:49" x14ac:dyDescent="0.2">
      <c r="A68" s="1" t="s">
        <v>53</v>
      </c>
      <c r="B68" s="7">
        <v>5130</v>
      </c>
      <c r="C68" s="7">
        <v>0</v>
      </c>
      <c r="D68" s="2">
        <f>(B68+C68)*0.124</f>
        <v>636.12</v>
      </c>
      <c r="E68" s="2">
        <f>(B68+C68)*0.049</f>
        <v>251.37</v>
      </c>
      <c r="F68" s="78">
        <f t="shared" si="37"/>
        <v>268.81</v>
      </c>
      <c r="G68" s="2">
        <f t="shared" si="2"/>
        <v>226.48</v>
      </c>
      <c r="H68" s="2">
        <f>(B68+C68)*0.0098+0.01</f>
        <v>50.28</v>
      </c>
      <c r="I68" s="2">
        <f t="shared" si="3"/>
        <v>0</v>
      </c>
      <c r="J68" s="381">
        <f t="shared" si="4"/>
        <v>1433.06</v>
      </c>
      <c r="K68" s="1"/>
      <c r="L68" s="7"/>
      <c r="M68" s="7"/>
      <c r="N68" s="7"/>
      <c r="O68" s="7"/>
      <c r="P68" s="7">
        <v>4612</v>
      </c>
      <c r="Q68" s="7"/>
      <c r="R68" s="7"/>
      <c r="S68" s="7"/>
      <c r="T68" s="7"/>
      <c r="U68" s="7"/>
      <c r="V68" s="7"/>
      <c r="W68" s="7">
        <v>518</v>
      </c>
      <c r="X68" s="7"/>
      <c r="Y68" s="7"/>
      <c r="Z68" s="7"/>
      <c r="AA68" s="7"/>
      <c r="AB68" s="7"/>
      <c r="AC68" s="7"/>
      <c r="AD68" s="7">
        <f t="shared" si="38"/>
        <v>5130</v>
      </c>
      <c r="AE68" s="1"/>
      <c r="AF68" s="283">
        <f t="shared" si="6"/>
        <v>0</v>
      </c>
      <c r="AG68" s="283">
        <f t="shared" si="7"/>
        <v>0</v>
      </c>
      <c r="AH68" s="283">
        <f t="shared" si="8"/>
        <v>0</v>
      </c>
      <c r="AI68" s="283">
        <f t="shared" si="9"/>
        <v>180.79</v>
      </c>
      <c r="AJ68" s="283">
        <f t="shared" si="10"/>
        <v>0</v>
      </c>
      <c r="AK68" s="283">
        <f t="shared" si="11"/>
        <v>0</v>
      </c>
      <c r="AL68" s="283">
        <f t="shared" si="12"/>
        <v>0</v>
      </c>
      <c r="AM68" s="283">
        <f t="shared" si="13"/>
        <v>0</v>
      </c>
      <c r="AN68" s="283">
        <f t="shared" si="14"/>
        <v>0</v>
      </c>
      <c r="AO68" s="283">
        <f t="shared" si="15"/>
        <v>0</v>
      </c>
      <c r="AP68" s="283">
        <f t="shared" si="16"/>
        <v>45.69</v>
      </c>
      <c r="AQ68" s="283">
        <f t="shared" si="17"/>
        <v>0</v>
      </c>
      <c r="AR68" s="283">
        <f t="shared" si="18"/>
        <v>0</v>
      </c>
      <c r="AS68" s="283">
        <f t="shared" si="19"/>
        <v>0</v>
      </c>
      <c r="AT68" s="283">
        <f t="shared" si="20"/>
        <v>0</v>
      </c>
      <c r="AU68" s="283">
        <f t="shared" si="21"/>
        <v>0</v>
      </c>
      <c r="AV68" s="283">
        <f t="shared" si="22"/>
        <v>0</v>
      </c>
      <c r="AW68" s="319">
        <f t="shared" si="23"/>
        <v>226.48</v>
      </c>
    </row>
    <row r="69" spans="1:49" x14ac:dyDescent="0.2">
      <c r="A69" s="1" t="s">
        <v>54</v>
      </c>
      <c r="B69" s="7">
        <v>46231</v>
      </c>
      <c r="C69" s="7">
        <v>42846</v>
      </c>
      <c r="D69" s="2">
        <f>(B69+C69)*0.124+0.01</f>
        <v>11045.56</v>
      </c>
      <c r="E69" s="2">
        <f t="shared" ref="E69:E81" si="39">(B69+C69)*0.049</f>
        <v>4364.7700000000004</v>
      </c>
      <c r="F69" s="78">
        <f t="shared" si="37"/>
        <v>4667.63</v>
      </c>
      <c r="G69" s="2">
        <f t="shared" si="2"/>
        <v>5591.28</v>
      </c>
      <c r="H69" s="2">
        <f t="shared" si="24"/>
        <v>872.95</v>
      </c>
      <c r="I69" s="2">
        <f t="shared" si="3"/>
        <v>361.98</v>
      </c>
      <c r="J69" s="381">
        <f t="shared" si="4"/>
        <v>26904.17</v>
      </c>
      <c r="K69" s="1"/>
      <c r="L69" s="7"/>
      <c r="M69" s="7"/>
      <c r="N69" s="7"/>
      <c r="O69" s="7"/>
      <c r="P69" s="7">
        <v>46231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>
        <v>42846</v>
      </c>
      <c r="AC69" s="7"/>
      <c r="AD69" s="7">
        <f t="shared" si="38"/>
        <v>89077</v>
      </c>
      <c r="AE69" s="7"/>
      <c r="AF69" s="283">
        <f t="shared" si="6"/>
        <v>0</v>
      </c>
      <c r="AG69" s="283">
        <f t="shared" si="7"/>
        <v>0</v>
      </c>
      <c r="AH69" s="283">
        <f t="shared" si="8"/>
        <v>0</v>
      </c>
      <c r="AI69" s="283">
        <f t="shared" si="9"/>
        <v>1812.26</v>
      </c>
      <c r="AJ69" s="283">
        <f t="shared" si="10"/>
        <v>0</v>
      </c>
      <c r="AK69" s="283">
        <f t="shared" si="11"/>
        <v>0</v>
      </c>
      <c r="AL69" s="283">
        <f t="shared" si="12"/>
        <v>0</v>
      </c>
      <c r="AM69" s="283">
        <f t="shared" si="13"/>
        <v>0</v>
      </c>
      <c r="AN69" s="283">
        <f t="shared" si="14"/>
        <v>0</v>
      </c>
      <c r="AO69" s="283">
        <f t="shared" si="15"/>
        <v>0</v>
      </c>
      <c r="AP69" s="283">
        <f t="shared" si="16"/>
        <v>0</v>
      </c>
      <c r="AQ69" s="283">
        <f t="shared" si="17"/>
        <v>0</v>
      </c>
      <c r="AR69" s="283">
        <f t="shared" si="18"/>
        <v>0</v>
      </c>
      <c r="AS69" s="283">
        <f t="shared" si="19"/>
        <v>0</v>
      </c>
      <c r="AT69" s="283">
        <f t="shared" si="20"/>
        <v>0</v>
      </c>
      <c r="AU69" s="283">
        <f t="shared" si="21"/>
        <v>3779.02</v>
      </c>
      <c r="AV69" s="283">
        <f t="shared" si="22"/>
        <v>0</v>
      </c>
      <c r="AW69" s="319">
        <f t="shared" si="23"/>
        <v>5591.28</v>
      </c>
    </row>
    <row r="70" spans="1:49" x14ac:dyDescent="0.2">
      <c r="A70" s="1" t="s">
        <v>55</v>
      </c>
      <c r="B70" s="7">
        <v>47150</v>
      </c>
      <c r="C70" s="7">
        <v>0</v>
      </c>
      <c r="D70" s="2">
        <f>(B70+C70)*0.124</f>
        <v>5846.6</v>
      </c>
      <c r="E70" s="2">
        <f t="shared" si="39"/>
        <v>2310.35</v>
      </c>
      <c r="F70" s="78">
        <f t="shared" si="37"/>
        <v>2470.66</v>
      </c>
      <c r="G70" s="2">
        <f t="shared" si="2"/>
        <v>4158.63</v>
      </c>
      <c r="H70" s="2">
        <f t="shared" si="24"/>
        <v>462.07</v>
      </c>
      <c r="I70" s="2">
        <f t="shared" si="3"/>
        <v>0</v>
      </c>
      <c r="J70" s="381">
        <f t="shared" si="4"/>
        <v>15248.31</v>
      </c>
      <c r="K70" s="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>
        <v>47150</v>
      </c>
      <c r="AD70" s="7">
        <f t="shared" si="38"/>
        <v>47150</v>
      </c>
      <c r="AE70" s="7"/>
      <c r="AF70" s="283">
        <f t="shared" si="6"/>
        <v>0</v>
      </c>
      <c r="AG70" s="283">
        <f t="shared" si="7"/>
        <v>0</v>
      </c>
      <c r="AH70" s="283">
        <f t="shared" si="8"/>
        <v>0</v>
      </c>
      <c r="AI70" s="283">
        <f t="shared" si="9"/>
        <v>0</v>
      </c>
      <c r="AJ70" s="283">
        <f t="shared" si="10"/>
        <v>0</v>
      </c>
      <c r="AK70" s="283">
        <f t="shared" si="11"/>
        <v>0</v>
      </c>
      <c r="AL70" s="283">
        <f t="shared" si="12"/>
        <v>0</v>
      </c>
      <c r="AM70" s="283">
        <f t="shared" si="13"/>
        <v>0</v>
      </c>
      <c r="AN70" s="283">
        <f t="shared" si="14"/>
        <v>0</v>
      </c>
      <c r="AO70" s="283">
        <f t="shared" si="15"/>
        <v>0</v>
      </c>
      <c r="AP70" s="283">
        <f t="shared" si="16"/>
        <v>0</v>
      </c>
      <c r="AQ70" s="283">
        <f t="shared" si="17"/>
        <v>0</v>
      </c>
      <c r="AR70" s="283">
        <f t="shared" si="18"/>
        <v>0</v>
      </c>
      <c r="AS70" s="283">
        <f t="shared" si="19"/>
        <v>0</v>
      </c>
      <c r="AT70" s="283">
        <f t="shared" si="20"/>
        <v>0</v>
      </c>
      <c r="AU70" s="283">
        <f t="shared" si="21"/>
        <v>0</v>
      </c>
      <c r="AV70" s="283">
        <f t="shared" si="22"/>
        <v>4158.63</v>
      </c>
      <c r="AW70" s="319">
        <f t="shared" si="23"/>
        <v>4158.63</v>
      </c>
    </row>
    <row r="71" spans="1:49" s="20" customFormat="1" x14ac:dyDescent="0.2">
      <c r="A71" s="18" t="s">
        <v>221</v>
      </c>
      <c r="B71" s="243">
        <v>101</v>
      </c>
      <c r="C71" s="243">
        <v>0</v>
      </c>
      <c r="D71" s="2">
        <f>(B71+C71)*0.124+0.01</f>
        <v>12.53</v>
      </c>
      <c r="E71" s="2">
        <f>(B71+C71)*0.049</f>
        <v>4.95</v>
      </c>
      <c r="F71" s="78">
        <f>(B71+C71)*0.0524</f>
        <v>5.29</v>
      </c>
      <c r="G71" s="2">
        <f>+AW71</f>
        <v>8.91</v>
      </c>
      <c r="H71" s="2">
        <f>(B71+C71)*0.0098</f>
        <v>0.99</v>
      </c>
      <c r="I71" s="2">
        <f>(AB71)*0.0084484</f>
        <v>0</v>
      </c>
      <c r="J71" s="381">
        <f>SUM(D71:I71)</f>
        <v>32.67</v>
      </c>
      <c r="K71" s="18"/>
      <c r="L71" s="243"/>
      <c r="M71" s="243"/>
      <c r="N71" s="243"/>
      <c r="O71" s="243">
        <v>101</v>
      </c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7">
        <f>SUM(L71:AC71)</f>
        <v>101</v>
      </c>
      <c r="AE71" s="243"/>
      <c r="AF71" s="283">
        <f>+M71*$AF$12</f>
        <v>0</v>
      </c>
      <c r="AG71" s="283">
        <f>+N71*$AG$12</f>
        <v>0</v>
      </c>
      <c r="AH71" s="283">
        <f>+O71*$AH$12</f>
        <v>8.91</v>
      </c>
      <c r="AI71" s="283">
        <f>+P71*$AI$12</f>
        <v>0</v>
      </c>
      <c r="AJ71" s="283">
        <f>+Q71*$AJ$12</f>
        <v>0</v>
      </c>
      <c r="AK71" s="283">
        <f>+R71*$AK$12</f>
        <v>0</v>
      </c>
      <c r="AL71" s="283">
        <f>+S71*$AL$12</f>
        <v>0</v>
      </c>
      <c r="AM71" s="283">
        <f>+T71*$AM$12</f>
        <v>0</v>
      </c>
      <c r="AN71" s="283">
        <f>+U71*$AN$12</f>
        <v>0</v>
      </c>
      <c r="AO71" s="283">
        <f>+V71*$AO$12</f>
        <v>0</v>
      </c>
      <c r="AP71" s="283">
        <f>+W71*$AP$12</f>
        <v>0</v>
      </c>
      <c r="AQ71" s="283">
        <f>+X71*$AQ$12</f>
        <v>0</v>
      </c>
      <c r="AR71" s="283">
        <f>+Y71*$AR$12</f>
        <v>0</v>
      </c>
      <c r="AS71" s="283">
        <f>+Z71*$AS$12</f>
        <v>0</v>
      </c>
      <c r="AT71" s="283">
        <f>+AA71*$AT$12</f>
        <v>0</v>
      </c>
      <c r="AU71" s="283">
        <f>+AB71*$AU$12</f>
        <v>0</v>
      </c>
      <c r="AV71" s="283">
        <f>+AC71*$AV$12</f>
        <v>0</v>
      </c>
      <c r="AW71" s="319">
        <f>SUM(AF71:AV71)</f>
        <v>8.91</v>
      </c>
    </row>
    <row r="72" spans="1:49" s="20" customFormat="1" x14ac:dyDescent="0.2">
      <c r="A72" s="18" t="s">
        <v>736</v>
      </c>
      <c r="B72" s="243">
        <v>88117</v>
      </c>
      <c r="C72" s="243">
        <v>396215</v>
      </c>
      <c r="D72" s="2">
        <f>(B72+C72)*0.124-0.01</f>
        <v>60057.16</v>
      </c>
      <c r="E72" s="2">
        <f>(B72+C72)*0.049</f>
        <v>23732.27</v>
      </c>
      <c r="F72" s="78">
        <f>(B72+C72)*0.0524</f>
        <v>25379</v>
      </c>
      <c r="G72" s="2">
        <f>+AW72</f>
        <v>42718.080000000002</v>
      </c>
      <c r="H72" s="2">
        <f>(B72+C72)*0.0098</f>
        <v>4746.45</v>
      </c>
      <c r="I72" s="2">
        <f>(AB72)*0.0084484</f>
        <v>0</v>
      </c>
      <c r="J72" s="381">
        <f>SUM(D72:I72)</f>
        <v>156632.95999999999</v>
      </c>
      <c r="K72" s="18"/>
      <c r="L72" s="243"/>
      <c r="M72" s="243"/>
      <c r="N72" s="243"/>
      <c r="O72" s="243">
        <v>484332</v>
      </c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7">
        <f>SUM(L72:AC72)</f>
        <v>484332</v>
      </c>
      <c r="AE72" s="243"/>
      <c r="AF72" s="283">
        <f>+M72*$AF$12</f>
        <v>0</v>
      </c>
      <c r="AG72" s="283">
        <f>+N72*$AG$12</f>
        <v>0</v>
      </c>
      <c r="AH72" s="283">
        <f>+O72*$AH$12</f>
        <v>42718.080000000002</v>
      </c>
      <c r="AI72" s="283">
        <f>+P72*$AI$12</f>
        <v>0</v>
      </c>
      <c r="AJ72" s="283">
        <f>+Q72*$AJ$12</f>
        <v>0</v>
      </c>
      <c r="AK72" s="283">
        <f>+R72*$AK$12</f>
        <v>0</v>
      </c>
      <c r="AL72" s="283">
        <f>+S72*$AL$12</f>
        <v>0</v>
      </c>
      <c r="AM72" s="283">
        <f>+T72*$AM$12</f>
        <v>0</v>
      </c>
      <c r="AN72" s="283">
        <f>+U72*$AN$12</f>
        <v>0</v>
      </c>
      <c r="AO72" s="283">
        <f>+V72*$AO$12</f>
        <v>0</v>
      </c>
      <c r="AP72" s="283">
        <f>+W72*$AP$12</f>
        <v>0</v>
      </c>
      <c r="AQ72" s="283">
        <f>+X72*$AQ$12</f>
        <v>0</v>
      </c>
      <c r="AR72" s="283">
        <f>+Y72*$AR$12</f>
        <v>0</v>
      </c>
      <c r="AS72" s="283">
        <f>+Z72*$AS$12</f>
        <v>0</v>
      </c>
      <c r="AT72" s="283">
        <f>+AA72*$AT$12</f>
        <v>0</v>
      </c>
      <c r="AU72" s="283">
        <f>+AB72*$AU$12</f>
        <v>0</v>
      </c>
      <c r="AV72" s="283">
        <f>+AC72*$AV$12</f>
        <v>0</v>
      </c>
      <c r="AW72" s="319">
        <f>SUM(AF72:AV72)</f>
        <v>42718.080000000002</v>
      </c>
    </row>
    <row r="73" spans="1:49" s="20" customFormat="1" x14ac:dyDescent="0.2">
      <c r="A73" s="18" t="s">
        <v>56</v>
      </c>
      <c r="B73" s="243">
        <v>21831</v>
      </c>
      <c r="C73" s="243">
        <v>0</v>
      </c>
      <c r="D73" s="2">
        <f>(B73+C73)*0.124+0.01</f>
        <v>2707.05</v>
      </c>
      <c r="E73" s="2">
        <f t="shared" si="39"/>
        <v>1069.72</v>
      </c>
      <c r="F73" s="78">
        <f t="shared" si="37"/>
        <v>1143.94</v>
      </c>
      <c r="G73" s="2">
        <f t="shared" si="2"/>
        <v>1871.08</v>
      </c>
      <c r="H73" s="2">
        <f>(B73+C73)*0.0098+1.06</f>
        <v>215</v>
      </c>
      <c r="I73" s="2">
        <f t="shared" si="3"/>
        <v>174.32</v>
      </c>
      <c r="J73" s="381">
        <f t="shared" si="4"/>
        <v>7181.11</v>
      </c>
      <c r="K73" s="18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>
        <v>1305</v>
      </c>
      <c r="AB73" s="243">
        <v>20634</v>
      </c>
      <c r="AC73" s="243"/>
      <c r="AD73" s="7">
        <f t="shared" si="38"/>
        <v>21939</v>
      </c>
      <c r="AE73" s="243"/>
      <c r="AF73" s="283">
        <f t="shared" si="6"/>
        <v>0</v>
      </c>
      <c r="AG73" s="283">
        <f t="shared" si="7"/>
        <v>0</v>
      </c>
      <c r="AH73" s="283">
        <f t="shared" si="8"/>
        <v>0</v>
      </c>
      <c r="AI73" s="283">
        <f t="shared" si="9"/>
        <v>0</v>
      </c>
      <c r="AJ73" s="283">
        <f t="shared" si="10"/>
        <v>0</v>
      </c>
      <c r="AK73" s="283">
        <f t="shared" si="11"/>
        <v>0</v>
      </c>
      <c r="AL73" s="283">
        <f t="shared" si="12"/>
        <v>0</v>
      </c>
      <c r="AM73" s="283">
        <f t="shared" si="13"/>
        <v>0</v>
      </c>
      <c r="AN73" s="283">
        <f t="shared" si="14"/>
        <v>0</v>
      </c>
      <c r="AO73" s="283">
        <f t="shared" si="15"/>
        <v>0</v>
      </c>
      <c r="AP73" s="283">
        <f t="shared" si="16"/>
        <v>0</v>
      </c>
      <c r="AQ73" s="283">
        <f t="shared" si="17"/>
        <v>0</v>
      </c>
      <c r="AR73" s="283">
        <f t="shared" si="18"/>
        <v>0</v>
      </c>
      <c r="AS73" s="283">
        <f t="shared" si="19"/>
        <v>0</v>
      </c>
      <c r="AT73" s="283">
        <f t="shared" si="20"/>
        <v>51.16</v>
      </c>
      <c r="AU73" s="283">
        <f t="shared" si="21"/>
        <v>1819.92</v>
      </c>
      <c r="AV73" s="283">
        <f t="shared" si="22"/>
        <v>0</v>
      </c>
      <c r="AW73" s="319">
        <f t="shared" si="23"/>
        <v>1871.08</v>
      </c>
    </row>
    <row r="74" spans="1:49" x14ac:dyDescent="0.2">
      <c r="A74" s="1" t="s">
        <v>737</v>
      </c>
      <c r="B74" s="7">
        <v>187201</v>
      </c>
      <c r="C74" s="7">
        <v>1880001</v>
      </c>
      <c r="D74" s="2">
        <f>(B74+C74)*0.124+0.01</f>
        <v>256333.06</v>
      </c>
      <c r="E74" s="2">
        <f>(B74+C74)*0.049</f>
        <v>101292.9</v>
      </c>
      <c r="F74" s="78">
        <f>(B74+C74)*0.0524</f>
        <v>108321.38</v>
      </c>
      <c r="G74" s="2">
        <f>+AW74</f>
        <v>173564.65</v>
      </c>
      <c r="H74" s="2">
        <f>(B74+C74)*0.0098</f>
        <v>20258.580000000002</v>
      </c>
      <c r="I74" s="2">
        <f>(AB74)*0.0084484</f>
        <v>0</v>
      </c>
      <c r="J74" s="381">
        <f>SUM(D74:I74)</f>
        <v>659770.56999999995</v>
      </c>
      <c r="K74" s="1"/>
      <c r="L74" s="7"/>
      <c r="M74" s="7"/>
      <c r="N74" s="7"/>
      <c r="O74" s="7">
        <v>1888374</v>
      </c>
      <c r="P74" s="7"/>
      <c r="Q74" s="7"/>
      <c r="R74" s="7"/>
      <c r="S74" s="7"/>
      <c r="T74" s="7"/>
      <c r="U74" s="7"/>
      <c r="V74" s="7">
        <v>55999</v>
      </c>
      <c r="W74" s="7"/>
      <c r="X74" s="7"/>
      <c r="Y74" s="7">
        <v>122829</v>
      </c>
      <c r="Z74" s="7"/>
      <c r="AA74" s="7"/>
      <c r="AB74" s="7"/>
      <c r="AC74" s="7"/>
      <c r="AD74" s="7">
        <f>SUM(L74:AC74)</f>
        <v>2067202</v>
      </c>
      <c r="AE74" s="7"/>
      <c r="AF74" s="283">
        <f>+M74*$AF$12</f>
        <v>0</v>
      </c>
      <c r="AG74" s="283">
        <f>+N74*$AG$12</f>
        <v>0</v>
      </c>
      <c r="AH74" s="283">
        <f>+O74*$AH$12</f>
        <v>166554.59</v>
      </c>
      <c r="AI74" s="283">
        <f>+P74*$AI$12</f>
        <v>0</v>
      </c>
      <c r="AJ74" s="283">
        <f>+Q74*$AJ$12</f>
        <v>0</v>
      </c>
      <c r="AK74" s="283">
        <f>+R74*$AK$12</f>
        <v>0</v>
      </c>
      <c r="AL74" s="283">
        <f>+S74*$AL$12</f>
        <v>0</v>
      </c>
      <c r="AM74" s="283">
        <f>+T74*$AM$12</f>
        <v>0</v>
      </c>
      <c r="AN74" s="283">
        <f>+U74*$AN$12</f>
        <v>0</v>
      </c>
      <c r="AO74" s="283">
        <f>+V74*$AO$12</f>
        <v>2195.16</v>
      </c>
      <c r="AP74" s="283">
        <f>+W74*$AP$12</f>
        <v>0</v>
      </c>
      <c r="AQ74" s="283">
        <f>+X74*$AQ$12</f>
        <v>0</v>
      </c>
      <c r="AR74" s="283">
        <f>+Y74*$AR$12</f>
        <v>4814.8999999999996</v>
      </c>
      <c r="AS74" s="283">
        <f>+Z74*$AS$12</f>
        <v>0</v>
      </c>
      <c r="AT74" s="283">
        <f>+AA74*$AT$12</f>
        <v>0</v>
      </c>
      <c r="AU74" s="283">
        <f>+AB74*$AU$12</f>
        <v>0</v>
      </c>
      <c r="AV74" s="283">
        <f>+AC74*$AV$12</f>
        <v>0</v>
      </c>
      <c r="AW74" s="319">
        <f>SUM(AF74:AV74)</f>
        <v>173564.65</v>
      </c>
    </row>
    <row r="75" spans="1:49" x14ac:dyDescent="0.2">
      <c r="A75" s="1" t="s">
        <v>438</v>
      </c>
      <c r="B75" s="7">
        <v>271732</v>
      </c>
      <c r="C75" s="7">
        <v>0</v>
      </c>
      <c r="D75" s="2">
        <f>(B75+C75)*0.124-0.01</f>
        <v>33694.76</v>
      </c>
      <c r="E75" s="2">
        <f t="shared" si="39"/>
        <v>13314.87</v>
      </c>
      <c r="F75" s="78">
        <f t="shared" si="37"/>
        <v>14238.76</v>
      </c>
      <c r="G75" s="2">
        <f t="shared" si="2"/>
        <v>23966.76</v>
      </c>
      <c r="H75" s="2">
        <f>(B75+C75)*0.0098+0.01</f>
        <v>2662.98</v>
      </c>
      <c r="I75" s="2">
        <f t="shared" si="3"/>
        <v>1174.45</v>
      </c>
      <c r="J75" s="381">
        <f t="shared" si="4"/>
        <v>89052.58</v>
      </c>
      <c r="K75" s="1"/>
      <c r="L75" s="7"/>
      <c r="M75" s="7"/>
      <c r="N75" s="7"/>
      <c r="O75" s="7">
        <v>132717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>
        <v>139015</v>
      </c>
      <c r="AC75" s="7"/>
      <c r="AD75" s="7">
        <f t="shared" si="38"/>
        <v>271732</v>
      </c>
      <c r="AE75" s="7"/>
      <c r="AF75" s="283">
        <f t="shared" si="6"/>
        <v>0</v>
      </c>
      <c r="AG75" s="283">
        <f t="shared" si="7"/>
        <v>0</v>
      </c>
      <c r="AH75" s="283">
        <f t="shared" si="8"/>
        <v>11705.64</v>
      </c>
      <c r="AI75" s="283">
        <f t="shared" si="9"/>
        <v>0</v>
      </c>
      <c r="AJ75" s="283">
        <f t="shared" si="10"/>
        <v>0</v>
      </c>
      <c r="AK75" s="283">
        <f t="shared" si="11"/>
        <v>0</v>
      </c>
      <c r="AL75" s="283">
        <f t="shared" si="12"/>
        <v>0</v>
      </c>
      <c r="AM75" s="283">
        <f t="shared" si="13"/>
        <v>0</v>
      </c>
      <c r="AN75" s="283">
        <f t="shared" si="14"/>
        <v>0</v>
      </c>
      <c r="AO75" s="283">
        <f t="shared" si="15"/>
        <v>0</v>
      </c>
      <c r="AP75" s="283">
        <f t="shared" si="16"/>
        <v>0</v>
      </c>
      <c r="AQ75" s="283">
        <f t="shared" si="17"/>
        <v>0</v>
      </c>
      <c r="AR75" s="283">
        <f t="shared" si="18"/>
        <v>0</v>
      </c>
      <c r="AS75" s="283">
        <f t="shared" si="19"/>
        <v>0</v>
      </c>
      <c r="AT75" s="283">
        <f t="shared" si="20"/>
        <v>0</v>
      </c>
      <c r="AU75" s="283">
        <f t="shared" si="21"/>
        <v>12261.12</v>
      </c>
      <c r="AV75" s="283">
        <f t="shared" si="22"/>
        <v>0</v>
      </c>
      <c r="AW75" s="319">
        <f t="shared" si="23"/>
        <v>23966.76</v>
      </c>
    </row>
    <row r="76" spans="1:49" x14ac:dyDescent="0.2">
      <c r="A76" s="1" t="s">
        <v>57</v>
      </c>
      <c r="B76" s="7">
        <v>0</v>
      </c>
      <c r="C76" s="7">
        <v>1324131</v>
      </c>
      <c r="D76" s="2">
        <f>(B76+C76)*0.124+0.01</f>
        <v>164192.25</v>
      </c>
      <c r="E76" s="2">
        <f t="shared" si="39"/>
        <v>64882.42</v>
      </c>
      <c r="F76" s="78">
        <f t="shared" si="37"/>
        <v>69384.460000000006</v>
      </c>
      <c r="G76" s="2">
        <f t="shared" si="2"/>
        <v>116788.35</v>
      </c>
      <c r="H76" s="2">
        <f t="shared" si="24"/>
        <v>12976.48</v>
      </c>
      <c r="I76" s="2">
        <f t="shared" si="3"/>
        <v>0</v>
      </c>
      <c r="J76" s="381">
        <f t="shared" si="4"/>
        <v>428223.96</v>
      </c>
      <c r="K76" s="1"/>
      <c r="L76" s="7"/>
      <c r="M76" s="7"/>
      <c r="N76" s="7"/>
      <c r="O76" s="7">
        <v>1324131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>
        <f t="shared" si="38"/>
        <v>1324131</v>
      </c>
      <c r="AE76" s="7"/>
      <c r="AF76" s="283">
        <f t="shared" si="6"/>
        <v>0</v>
      </c>
      <c r="AG76" s="283">
        <f t="shared" si="7"/>
        <v>0</v>
      </c>
      <c r="AH76" s="283">
        <f t="shared" si="8"/>
        <v>116788.35</v>
      </c>
      <c r="AI76" s="283">
        <f t="shared" si="9"/>
        <v>0</v>
      </c>
      <c r="AJ76" s="283">
        <f t="shared" si="10"/>
        <v>0</v>
      </c>
      <c r="AK76" s="283">
        <f t="shared" si="11"/>
        <v>0</v>
      </c>
      <c r="AL76" s="283">
        <f t="shared" si="12"/>
        <v>0</v>
      </c>
      <c r="AM76" s="283">
        <f t="shared" si="13"/>
        <v>0</v>
      </c>
      <c r="AN76" s="283">
        <f t="shared" si="14"/>
        <v>0</v>
      </c>
      <c r="AO76" s="283">
        <f t="shared" si="15"/>
        <v>0</v>
      </c>
      <c r="AP76" s="283">
        <f t="shared" si="16"/>
        <v>0</v>
      </c>
      <c r="AQ76" s="283">
        <f t="shared" si="17"/>
        <v>0</v>
      </c>
      <c r="AR76" s="283">
        <f t="shared" si="18"/>
        <v>0</v>
      </c>
      <c r="AS76" s="283">
        <f t="shared" si="19"/>
        <v>0</v>
      </c>
      <c r="AT76" s="283">
        <f t="shared" si="20"/>
        <v>0</v>
      </c>
      <c r="AU76" s="283">
        <f t="shared" si="21"/>
        <v>0</v>
      </c>
      <c r="AV76" s="283">
        <f t="shared" si="22"/>
        <v>0</v>
      </c>
      <c r="AW76" s="319">
        <f t="shared" si="23"/>
        <v>116788.35</v>
      </c>
    </row>
    <row r="77" spans="1:49" x14ac:dyDescent="0.2">
      <c r="A77" s="1" t="s">
        <v>439</v>
      </c>
      <c r="B77" s="7">
        <v>558574</v>
      </c>
      <c r="C77" s="7">
        <v>0</v>
      </c>
      <c r="D77" s="2">
        <f>(B77+C77)*0.124-0.01</f>
        <v>69263.17</v>
      </c>
      <c r="E77" s="2">
        <f t="shared" si="39"/>
        <v>27370.13</v>
      </c>
      <c r="F77" s="78">
        <f t="shared" si="37"/>
        <v>29269.279999999999</v>
      </c>
      <c r="G77" s="2">
        <f t="shared" si="2"/>
        <v>38152.879999999997</v>
      </c>
      <c r="H77" s="2">
        <f>(B77+C77)*0.0098-0.01</f>
        <v>5474.02</v>
      </c>
      <c r="I77" s="2">
        <f t="shared" si="3"/>
        <v>0</v>
      </c>
      <c r="J77" s="381">
        <f t="shared" si="4"/>
        <v>169529.48</v>
      </c>
      <c r="K77" s="1"/>
      <c r="L77" s="7"/>
      <c r="M77" s="7"/>
      <c r="N77" s="7"/>
      <c r="O77" s="7">
        <v>158833</v>
      </c>
      <c r="P77" s="7"/>
      <c r="Q77" s="7">
        <v>226803</v>
      </c>
      <c r="R77" s="7"/>
      <c r="S77" s="7"/>
      <c r="T77" s="7"/>
      <c r="U77" s="7"/>
      <c r="V77" s="7"/>
      <c r="W77" s="7">
        <v>172938</v>
      </c>
      <c r="X77" s="7"/>
      <c r="Y77" s="7"/>
      <c r="Z77" s="7"/>
      <c r="AA77" s="7"/>
      <c r="AB77" s="7"/>
      <c r="AC77" s="7"/>
      <c r="AD77" s="7">
        <f t="shared" si="38"/>
        <v>558574</v>
      </c>
      <c r="AE77" s="1"/>
      <c r="AF77" s="283">
        <f t="shared" si="6"/>
        <v>0</v>
      </c>
      <c r="AG77" s="283">
        <f t="shared" si="7"/>
        <v>0</v>
      </c>
      <c r="AH77" s="283">
        <f t="shared" si="8"/>
        <v>14009.07</v>
      </c>
      <c r="AI77" s="283">
        <f t="shared" si="9"/>
        <v>0</v>
      </c>
      <c r="AJ77" s="283">
        <f t="shared" si="10"/>
        <v>8890.68</v>
      </c>
      <c r="AK77" s="283">
        <f t="shared" si="11"/>
        <v>0</v>
      </c>
      <c r="AL77" s="283">
        <f t="shared" si="12"/>
        <v>0</v>
      </c>
      <c r="AM77" s="283">
        <f t="shared" si="13"/>
        <v>0</v>
      </c>
      <c r="AN77" s="283">
        <f t="shared" si="14"/>
        <v>0</v>
      </c>
      <c r="AO77" s="283">
        <f t="shared" si="15"/>
        <v>0</v>
      </c>
      <c r="AP77" s="283">
        <f t="shared" si="16"/>
        <v>15253.13</v>
      </c>
      <c r="AQ77" s="283">
        <f t="shared" si="17"/>
        <v>0</v>
      </c>
      <c r="AR77" s="283">
        <f t="shared" si="18"/>
        <v>0</v>
      </c>
      <c r="AS77" s="283">
        <f t="shared" si="19"/>
        <v>0</v>
      </c>
      <c r="AT77" s="283">
        <f t="shared" si="20"/>
        <v>0</v>
      </c>
      <c r="AU77" s="283">
        <f t="shared" si="21"/>
        <v>0</v>
      </c>
      <c r="AV77" s="283">
        <f t="shared" si="22"/>
        <v>0</v>
      </c>
      <c r="AW77" s="319">
        <f t="shared" si="23"/>
        <v>38152.879999999997</v>
      </c>
    </row>
    <row r="78" spans="1:49" x14ac:dyDescent="0.2">
      <c r="A78" s="1" t="s">
        <v>440</v>
      </c>
      <c r="B78" s="7">
        <v>34298</v>
      </c>
      <c r="C78" s="7">
        <v>0</v>
      </c>
      <c r="D78" s="2">
        <f>(B78+C78)*0.124</f>
        <v>4252.95</v>
      </c>
      <c r="E78" s="2">
        <f t="shared" si="39"/>
        <v>1680.6</v>
      </c>
      <c r="F78" s="78">
        <f t="shared" si="37"/>
        <v>1797.22</v>
      </c>
      <c r="G78" s="2">
        <f t="shared" si="2"/>
        <v>3025.08</v>
      </c>
      <c r="H78" s="2">
        <f t="shared" si="24"/>
        <v>336.12</v>
      </c>
      <c r="I78" s="2">
        <f t="shared" si="3"/>
        <v>31.26</v>
      </c>
      <c r="J78" s="381">
        <f t="shared" si="4"/>
        <v>11123.23</v>
      </c>
      <c r="K78" s="1"/>
      <c r="L78" s="7"/>
      <c r="M78" s="7"/>
      <c r="N78" s="7"/>
      <c r="O78" s="7">
        <v>30598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>
        <v>3700</v>
      </c>
      <c r="AC78" s="7"/>
      <c r="AD78" s="7">
        <f t="shared" si="38"/>
        <v>34298</v>
      </c>
      <c r="AE78" s="1"/>
      <c r="AF78" s="283">
        <f t="shared" si="6"/>
        <v>0</v>
      </c>
      <c r="AG78" s="283">
        <f t="shared" si="7"/>
        <v>0</v>
      </c>
      <c r="AH78" s="283">
        <f t="shared" si="8"/>
        <v>2698.74</v>
      </c>
      <c r="AI78" s="283">
        <f t="shared" si="9"/>
        <v>0</v>
      </c>
      <c r="AJ78" s="283">
        <f t="shared" si="10"/>
        <v>0</v>
      </c>
      <c r="AK78" s="283">
        <f t="shared" si="11"/>
        <v>0</v>
      </c>
      <c r="AL78" s="283">
        <f t="shared" si="12"/>
        <v>0</v>
      </c>
      <c r="AM78" s="283">
        <f t="shared" si="13"/>
        <v>0</v>
      </c>
      <c r="AN78" s="283">
        <f t="shared" si="14"/>
        <v>0</v>
      </c>
      <c r="AO78" s="283">
        <f t="shared" si="15"/>
        <v>0</v>
      </c>
      <c r="AP78" s="283">
        <f t="shared" si="16"/>
        <v>0</v>
      </c>
      <c r="AQ78" s="283">
        <f t="shared" si="17"/>
        <v>0</v>
      </c>
      <c r="AR78" s="283">
        <f t="shared" si="18"/>
        <v>0</v>
      </c>
      <c r="AS78" s="283">
        <f t="shared" si="19"/>
        <v>0</v>
      </c>
      <c r="AT78" s="283">
        <f t="shared" si="20"/>
        <v>0</v>
      </c>
      <c r="AU78" s="283">
        <f t="shared" si="21"/>
        <v>326.33999999999997</v>
      </c>
      <c r="AV78" s="283">
        <f t="shared" si="22"/>
        <v>0</v>
      </c>
      <c r="AW78" s="319">
        <f t="shared" si="23"/>
        <v>3025.08</v>
      </c>
    </row>
    <row r="79" spans="1:49" x14ac:dyDescent="0.2">
      <c r="A79" s="1" t="s">
        <v>355</v>
      </c>
      <c r="B79" s="7">
        <v>86439</v>
      </c>
      <c r="C79" s="7">
        <v>90347</v>
      </c>
      <c r="D79" s="2">
        <f>(B79+C79)*0.124</f>
        <v>21921.46</v>
      </c>
      <c r="E79" s="2">
        <f t="shared" si="39"/>
        <v>8662.51</v>
      </c>
      <c r="F79" s="78">
        <f t="shared" si="37"/>
        <v>9263.59</v>
      </c>
      <c r="G79" s="2">
        <f t="shared" si="2"/>
        <v>11357.02</v>
      </c>
      <c r="H79" s="2">
        <f t="shared" si="24"/>
        <v>1732.5</v>
      </c>
      <c r="I79" s="2">
        <f t="shared" si="3"/>
        <v>0</v>
      </c>
      <c r="J79" s="381">
        <f t="shared" si="4"/>
        <v>52937.08</v>
      </c>
      <c r="K79" s="1"/>
      <c r="L79" s="7"/>
      <c r="M79" s="7"/>
      <c r="N79" s="7"/>
      <c r="O79" s="7">
        <v>90347</v>
      </c>
      <c r="P79" s="7"/>
      <c r="Q79" s="7"/>
      <c r="R79" s="7"/>
      <c r="S79" s="7"/>
      <c r="T79" s="7"/>
      <c r="U79" s="7"/>
      <c r="V79" s="7"/>
      <c r="W79" s="7"/>
      <c r="X79" s="7"/>
      <c r="Y79" s="7">
        <v>86439</v>
      </c>
      <c r="Z79" s="7"/>
      <c r="AA79" s="7"/>
      <c r="AB79" s="7"/>
      <c r="AC79" s="7"/>
      <c r="AD79" s="7">
        <f t="shared" ref="AD79:AD89" si="40">SUM(L79:AC79)</f>
        <v>176786</v>
      </c>
      <c r="AE79" s="1"/>
      <c r="AF79" s="283">
        <f t="shared" si="6"/>
        <v>0</v>
      </c>
      <c r="AG79" s="283">
        <f t="shared" si="7"/>
        <v>0</v>
      </c>
      <c r="AH79" s="283">
        <f t="shared" si="8"/>
        <v>7968.61</v>
      </c>
      <c r="AI79" s="283">
        <f t="shared" si="9"/>
        <v>0</v>
      </c>
      <c r="AJ79" s="283">
        <f t="shared" si="10"/>
        <v>0</v>
      </c>
      <c r="AK79" s="283">
        <f t="shared" si="11"/>
        <v>0</v>
      </c>
      <c r="AL79" s="283">
        <f t="shared" si="12"/>
        <v>0</v>
      </c>
      <c r="AM79" s="283">
        <f t="shared" si="13"/>
        <v>0</v>
      </c>
      <c r="AN79" s="283">
        <f t="shared" si="14"/>
        <v>0</v>
      </c>
      <c r="AO79" s="283">
        <f t="shared" si="15"/>
        <v>0</v>
      </c>
      <c r="AP79" s="283">
        <f t="shared" si="16"/>
        <v>0</v>
      </c>
      <c r="AQ79" s="283">
        <f t="shared" si="17"/>
        <v>0</v>
      </c>
      <c r="AR79" s="283">
        <f t="shared" si="18"/>
        <v>3388.41</v>
      </c>
      <c r="AS79" s="283">
        <f t="shared" si="19"/>
        <v>0</v>
      </c>
      <c r="AT79" s="283">
        <f t="shared" si="20"/>
        <v>0</v>
      </c>
      <c r="AU79" s="283">
        <f t="shared" si="21"/>
        <v>0</v>
      </c>
      <c r="AV79" s="283">
        <f t="shared" si="22"/>
        <v>0</v>
      </c>
      <c r="AW79" s="319">
        <f t="shared" si="23"/>
        <v>11357.02</v>
      </c>
    </row>
    <row r="80" spans="1:49" x14ac:dyDescent="0.2">
      <c r="A80" s="1" t="s">
        <v>611</v>
      </c>
      <c r="B80" s="7">
        <v>17753</v>
      </c>
      <c r="C80" s="7">
        <v>0</v>
      </c>
      <c r="D80" s="2">
        <f>(B80+C80)*0.124-745.29</f>
        <v>1456.08</v>
      </c>
      <c r="E80" s="2">
        <f>(B80+C80)*0.049-294.38</f>
        <v>575.52</v>
      </c>
      <c r="F80" s="78">
        <f>(B80+C80)*0.0524-314.45</f>
        <v>615.80999999999995</v>
      </c>
      <c r="G80" s="2">
        <f>+AW80</f>
        <v>1035.95</v>
      </c>
      <c r="H80" s="2">
        <f>(B80+C80)*0.0098-58.87</f>
        <v>115.11</v>
      </c>
      <c r="I80" s="2">
        <f>(AB80)*0.0084484-51.1</f>
        <v>98.88</v>
      </c>
      <c r="J80" s="381">
        <f t="shared" si="4"/>
        <v>3897.35</v>
      </c>
      <c r="K80" s="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>
        <v>17753</v>
      </c>
      <c r="AC80" s="7"/>
      <c r="AD80" s="7">
        <f>SUM(L80:AC80)</f>
        <v>17753</v>
      </c>
      <c r="AE80" s="1"/>
      <c r="AF80" s="283">
        <f t="shared" si="6"/>
        <v>0</v>
      </c>
      <c r="AG80" s="283">
        <f t="shared" si="7"/>
        <v>0</v>
      </c>
      <c r="AH80" s="283">
        <f t="shared" si="8"/>
        <v>0</v>
      </c>
      <c r="AI80" s="283">
        <f t="shared" si="9"/>
        <v>0</v>
      </c>
      <c r="AJ80" s="283">
        <f t="shared" si="10"/>
        <v>0</v>
      </c>
      <c r="AK80" s="283">
        <f t="shared" si="11"/>
        <v>0</v>
      </c>
      <c r="AL80" s="283">
        <f t="shared" si="12"/>
        <v>0</v>
      </c>
      <c r="AM80" s="283">
        <f t="shared" si="13"/>
        <v>0</v>
      </c>
      <c r="AN80" s="283">
        <f t="shared" si="14"/>
        <v>0</v>
      </c>
      <c r="AO80" s="283">
        <f t="shared" si="15"/>
        <v>0</v>
      </c>
      <c r="AP80" s="283">
        <f t="shared" si="16"/>
        <v>0</v>
      </c>
      <c r="AQ80" s="283">
        <f t="shared" si="17"/>
        <v>0</v>
      </c>
      <c r="AR80" s="283">
        <f t="shared" si="18"/>
        <v>0</v>
      </c>
      <c r="AS80" s="283">
        <f t="shared" si="19"/>
        <v>0</v>
      </c>
      <c r="AT80" s="283">
        <f t="shared" si="20"/>
        <v>0</v>
      </c>
      <c r="AU80" s="283">
        <f>+AB80*$AU$12-529.86</f>
        <v>1035.95</v>
      </c>
      <c r="AV80" s="283">
        <f t="shared" si="22"/>
        <v>0</v>
      </c>
      <c r="AW80" s="319">
        <f t="shared" si="23"/>
        <v>1035.95</v>
      </c>
    </row>
    <row r="81" spans="1:49" s="20" customFormat="1" x14ac:dyDescent="0.2">
      <c r="A81" s="18" t="s">
        <v>441</v>
      </c>
      <c r="B81" s="243">
        <v>229915</v>
      </c>
      <c r="C81" s="243">
        <v>956323</v>
      </c>
      <c r="D81" s="2">
        <f>(B81+C81)*0.124-0.01</f>
        <v>147093.5</v>
      </c>
      <c r="E81" s="2">
        <f t="shared" si="39"/>
        <v>58125.66</v>
      </c>
      <c r="F81" s="78">
        <f t="shared" si="37"/>
        <v>62158.87</v>
      </c>
      <c r="G81" s="2">
        <f t="shared" si="2"/>
        <v>104626.19</v>
      </c>
      <c r="H81" s="2">
        <f>(B81+C81)*0.0098+0.01</f>
        <v>11625.14</v>
      </c>
      <c r="I81" s="2">
        <f t="shared" si="3"/>
        <v>8079.4</v>
      </c>
      <c r="J81" s="381">
        <f t="shared" ref="J81:J107" si="41">SUM(D81:I81)</f>
        <v>391708.76</v>
      </c>
      <c r="K81" s="18"/>
      <c r="L81" s="243"/>
      <c r="M81" s="243">
        <v>229915</v>
      </c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>
        <v>956323</v>
      </c>
      <c r="AC81" s="243"/>
      <c r="AD81" s="7">
        <f t="shared" si="40"/>
        <v>1186238</v>
      </c>
      <c r="AE81" s="18"/>
      <c r="AF81" s="283">
        <f t="shared" si="6"/>
        <v>20278.5</v>
      </c>
      <c r="AG81" s="283">
        <f t="shared" si="7"/>
        <v>0</v>
      </c>
      <c r="AH81" s="283">
        <f t="shared" si="8"/>
        <v>0</v>
      </c>
      <c r="AI81" s="283">
        <f t="shared" si="9"/>
        <v>0</v>
      </c>
      <c r="AJ81" s="283">
        <f t="shared" si="10"/>
        <v>0</v>
      </c>
      <c r="AK81" s="283">
        <f t="shared" si="11"/>
        <v>0</v>
      </c>
      <c r="AL81" s="283">
        <f t="shared" si="12"/>
        <v>0</v>
      </c>
      <c r="AM81" s="283">
        <f t="shared" si="13"/>
        <v>0</v>
      </c>
      <c r="AN81" s="283">
        <f t="shared" si="14"/>
        <v>0</v>
      </c>
      <c r="AO81" s="283">
        <f t="shared" si="15"/>
        <v>0</v>
      </c>
      <c r="AP81" s="283">
        <f t="shared" si="16"/>
        <v>0</v>
      </c>
      <c r="AQ81" s="283">
        <f t="shared" si="17"/>
        <v>0</v>
      </c>
      <c r="AR81" s="283">
        <f t="shared" si="18"/>
        <v>0</v>
      </c>
      <c r="AS81" s="283">
        <f t="shared" si="19"/>
        <v>0</v>
      </c>
      <c r="AT81" s="283">
        <f t="shared" si="20"/>
        <v>0</v>
      </c>
      <c r="AU81" s="283">
        <f t="shared" si="21"/>
        <v>84347.69</v>
      </c>
      <c r="AV81" s="283">
        <f t="shared" si="22"/>
        <v>0</v>
      </c>
      <c r="AW81" s="319">
        <f t="shared" si="23"/>
        <v>104626.19</v>
      </c>
    </row>
    <row r="82" spans="1:49" ht="13.5" customHeight="1" x14ac:dyDescent="0.2">
      <c r="A82" s="1" t="s">
        <v>768</v>
      </c>
      <c r="B82" s="7"/>
      <c r="C82" s="7"/>
      <c r="D82" s="2">
        <f>(B82+C82)*0.124+0.01</f>
        <v>0.01</v>
      </c>
      <c r="E82" s="78">
        <f>(B82+C82)*0.049</f>
        <v>0</v>
      </c>
      <c r="F82" s="78">
        <f>(B82+C82)*0.0524</f>
        <v>0</v>
      </c>
      <c r="G82" s="2">
        <f>+AW82</f>
        <v>0</v>
      </c>
      <c r="H82" s="2">
        <f>(B82+C82)*0.0098</f>
        <v>0</v>
      </c>
      <c r="I82" s="2">
        <f>(AB82)*0.0084484</f>
        <v>0</v>
      </c>
      <c r="J82" s="381">
        <f>SUM(D82:I82)</f>
        <v>0.01</v>
      </c>
      <c r="K82" s="1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>
        <f>SUM(L82:AC82)</f>
        <v>0</v>
      </c>
      <c r="AE82" s="1"/>
      <c r="AF82" s="283">
        <f>+M82*$AF$12</f>
        <v>0</v>
      </c>
      <c r="AG82" s="283">
        <f>+N82*$AG$12</f>
        <v>0</v>
      </c>
      <c r="AH82" s="283">
        <f>+O82*$AH$12</f>
        <v>0</v>
      </c>
      <c r="AI82" s="283">
        <f>+P82*$AI$12</f>
        <v>0</v>
      </c>
      <c r="AJ82" s="283">
        <f>+Q82*$AJ$12</f>
        <v>0</v>
      </c>
      <c r="AK82" s="283">
        <f>+R82*$AK$12</f>
        <v>0</v>
      </c>
      <c r="AL82" s="283">
        <f>+S82*$AL$12</f>
        <v>0</v>
      </c>
      <c r="AM82" s="283">
        <f>+T82*$AM$12</f>
        <v>0</v>
      </c>
      <c r="AN82" s="283">
        <f>+U82*$AN$12</f>
        <v>0</v>
      </c>
      <c r="AO82" s="283">
        <f>+V82*$AO$12</f>
        <v>0</v>
      </c>
      <c r="AP82" s="283">
        <f>+W82*$AP$12</f>
        <v>0</v>
      </c>
      <c r="AQ82" s="283">
        <f>+X82*$AQ$12</f>
        <v>0</v>
      </c>
      <c r="AR82" s="283">
        <f>+Y82*$AR$12</f>
        <v>0</v>
      </c>
      <c r="AS82" s="283">
        <f>+Z82*$AS$12</f>
        <v>0</v>
      </c>
      <c r="AT82" s="283">
        <f>+AA82*$AT$12</f>
        <v>0</v>
      </c>
      <c r="AU82" s="283">
        <f>+AB82*$AU$12</f>
        <v>0</v>
      </c>
      <c r="AV82" s="283">
        <f>+AC82*$AV$12</f>
        <v>0</v>
      </c>
      <c r="AW82" s="319">
        <f>SUM(AF82:AV82)</f>
        <v>0</v>
      </c>
    </row>
    <row r="83" spans="1:49" s="20" customFormat="1" x14ac:dyDescent="0.2">
      <c r="A83" s="18" t="s">
        <v>58</v>
      </c>
      <c r="B83" s="243">
        <v>178465</v>
      </c>
      <c r="C83" s="243">
        <v>7473196</v>
      </c>
      <c r="D83" s="2">
        <f t="shared" ref="D83:D88" si="42">(B83+C83)*0.124</f>
        <v>948805.96</v>
      </c>
      <c r="E83" s="78">
        <f t="shared" ref="E83:E88" si="43">(B83+C83)*0.049</f>
        <v>374931.39</v>
      </c>
      <c r="F83" s="78">
        <f t="shared" si="37"/>
        <v>400947.04</v>
      </c>
      <c r="G83" s="2">
        <f t="shared" ref="G83:G111" si="44">+AW83</f>
        <v>654810.37</v>
      </c>
      <c r="H83" s="2">
        <f t="shared" si="24"/>
        <v>74986.28</v>
      </c>
      <c r="I83" s="2">
        <f t="shared" ref="I83:I111" si="45">(AB83)*0.0084484</f>
        <v>0</v>
      </c>
      <c r="J83" s="381">
        <f t="shared" si="41"/>
        <v>2454481.04</v>
      </c>
      <c r="K83" s="18"/>
      <c r="L83" s="243"/>
      <c r="M83" s="243"/>
      <c r="N83" s="243"/>
      <c r="O83" s="243">
        <v>7240879</v>
      </c>
      <c r="P83" s="243"/>
      <c r="Q83" s="243"/>
      <c r="R83" s="243">
        <v>5699</v>
      </c>
      <c r="S83" s="243"/>
      <c r="T83" s="243"/>
      <c r="U83" s="243">
        <v>1269</v>
      </c>
      <c r="V83" s="243">
        <v>2000</v>
      </c>
      <c r="W83" s="243"/>
      <c r="X83" s="243"/>
      <c r="Y83" s="243">
        <v>401814</v>
      </c>
      <c r="Z83" s="243"/>
      <c r="AA83" s="243"/>
      <c r="AB83" s="243"/>
      <c r="AC83" s="243"/>
      <c r="AD83" s="243">
        <f t="shared" si="40"/>
        <v>7651661</v>
      </c>
      <c r="AE83" s="243"/>
      <c r="AF83" s="283">
        <f t="shared" ref="AF83:AF111" si="46">+M83*$AF$12</f>
        <v>0</v>
      </c>
      <c r="AG83" s="283">
        <f t="shared" ref="AG83:AG111" si="47">+N83*$AG$12</f>
        <v>0</v>
      </c>
      <c r="AH83" s="283">
        <f t="shared" ref="AH83:AH111" si="48">+O83*$AH$12</f>
        <v>638645.53</v>
      </c>
      <c r="AI83" s="283">
        <f t="shared" ref="AI83:AI111" si="49">+P83*$AI$12</f>
        <v>0</v>
      </c>
      <c r="AJ83" s="283">
        <f t="shared" ref="AJ83:AJ111" si="50">+Q83*$AJ$12</f>
        <v>0</v>
      </c>
      <c r="AK83" s="283">
        <f t="shared" ref="AK83:AK111" si="51">+R83*$AK$12</f>
        <v>223.4</v>
      </c>
      <c r="AL83" s="283">
        <f t="shared" ref="AL83:AL111" si="52">+S83*$AL$12</f>
        <v>0</v>
      </c>
      <c r="AM83" s="283">
        <f t="shared" ref="AM83:AM111" si="53">+T83*$AM$12</f>
        <v>0</v>
      </c>
      <c r="AN83" s="283">
        <f t="shared" ref="AN83:AN111" si="54">+U83*$AN$12</f>
        <v>111.93</v>
      </c>
      <c r="AO83" s="283">
        <f t="shared" ref="AO83:AO111" si="55">+V83*$AO$12</f>
        <v>78.400000000000006</v>
      </c>
      <c r="AP83" s="283">
        <f t="shared" ref="AP83:AP111" si="56">+W83*$AP$12</f>
        <v>0</v>
      </c>
      <c r="AQ83" s="283">
        <f t="shared" ref="AQ83:AQ111" si="57">+X83*$AQ$12</f>
        <v>0</v>
      </c>
      <c r="AR83" s="283">
        <f t="shared" ref="AR83:AR111" si="58">+Y83*$AR$12</f>
        <v>15751.11</v>
      </c>
      <c r="AS83" s="283">
        <f t="shared" ref="AS83:AS111" si="59">+Z83*$AS$12</f>
        <v>0</v>
      </c>
      <c r="AT83" s="283">
        <f t="shared" ref="AT83:AT111" si="60">+AA83*$AT$12</f>
        <v>0</v>
      </c>
      <c r="AU83" s="283">
        <f t="shared" ref="AU83:AU111" si="61">+AB83*$AU$12</f>
        <v>0</v>
      </c>
      <c r="AV83" s="283">
        <f t="shared" ref="AV83:AV111" si="62">+AC83*$AV$12</f>
        <v>0</v>
      </c>
      <c r="AW83" s="319">
        <f t="shared" ref="AW83:AW111" si="63">SUM(AF83:AV83)</f>
        <v>654810.37</v>
      </c>
    </row>
    <row r="84" spans="1:49" x14ac:dyDescent="0.2">
      <c r="A84" s="1" t="s">
        <v>59</v>
      </c>
      <c r="B84" s="7">
        <v>311807</v>
      </c>
      <c r="C84" s="7">
        <v>0</v>
      </c>
      <c r="D84" s="2">
        <f t="shared" si="42"/>
        <v>38664.07</v>
      </c>
      <c r="E84" s="78">
        <f t="shared" si="43"/>
        <v>15278.54</v>
      </c>
      <c r="F84" s="78">
        <f t="shared" si="37"/>
        <v>16338.69</v>
      </c>
      <c r="G84" s="2">
        <f t="shared" si="44"/>
        <v>21101.64</v>
      </c>
      <c r="H84" s="2">
        <f t="shared" si="24"/>
        <v>3055.71</v>
      </c>
      <c r="I84" s="2">
        <f t="shared" si="45"/>
        <v>0</v>
      </c>
      <c r="J84" s="381">
        <f t="shared" si="41"/>
        <v>94438.65</v>
      </c>
      <c r="K84" s="1"/>
      <c r="L84" s="7"/>
      <c r="M84" s="7"/>
      <c r="N84" s="7"/>
      <c r="O84" s="7"/>
      <c r="P84" s="7"/>
      <c r="Q84" s="7">
        <v>77089</v>
      </c>
      <c r="R84" s="7"/>
      <c r="S84" s="7"/>
      <c r="T84" s="7">
        <v>4024</v>
      </c>
      <c r="U84" s="7"/>
      <c r="V84" s="7">
        <v>53518</v>
      </c>
      <c r="W84" s="7"/>
      <c r="X84" s="7"/>
      <c r="Y84" s="7"/>
      <c r="Z84" s="7"/>
      <c r="AA84" s="7"/>
      <c r="AB84" s="7"/>
      <c r="AC84" s="7">
        <v>177176</v>
      </c>
      <c r="AD84" s="7">
        <f t="shared" si="40"/>
        <v>311807</v>
      </c>
      <c r="AE84" s="7"/>
      <c r="AF84" s="283">
        <f t="shared" si="46"/>
        <v>0</v>
      </c>
      <c r="AG84" s="283">
        <f t="shared" si="47"/>
        <v>0</v>
      </c>
      <c r="AH84" s="283">
        <f t="shared" si="48"/>
        <v>0</v>
      </c>
      <c r="AI84" s="283">
        <f t="shared" si="49"/>
        <v>0</v>
      </c>
      <c r="AJ84" s="283">
        <f t="shared" si="50"/>
        <v>3021.89</v>
      </c>
      <c r="AK84" s="283">
        <f t="shared" si="51"/>
        <v>0</v>
      </c>
      <c r="AL84" s="283">
        <f t="shared" si="52"/>
        <v>0</v>
      </c>
      <c r="AM84" s="283">
        <f t="shared" si="53"/>
        <v>354.92</v>
      </c>
      <c r="AN84" s="283">
        <f t="shared" si="54"/>
        <v>0</v>
      </c>
      <c r="AO84" s="283">
        <f t="shared" si="55"/>
        <v>2097.91</v>
      </c>
      <c r="AP84" s="283">
        <f t="shared" si="56"/>
        <v>0</v>
      </c>
      <c r="AQ84" s="283">
        <f t="shared" si="57"/>
        <v>0</v>
      </c>
      <c r="AR84" s="283">
        <f t="shared" si="58"/>
        <v>0</v>
      </c>
      <c r="AS84" s="283">
        <f t="shared" si="59"/>
        <v>0</v>
      </c>
      <c r="AT84" s="283">
        <f t="shared" si="60"/>
        <v>0</v>
      </c>
      <c r="AU84" s="283">
        <f t="shared" si="61"/>
        <v>0</v>
      </c>
      <c r="AV84" s="283">
        <f t="shared" si="62"/>
        <v>15626.92</v>
      </c>
      <c r="AW84" s="319">
        <f t="shared" si="63"/>
        <v>21101.64</v>
      </c>
    </row>
    <row r="85" spans="1:49" ht="13.5" customHeight="1" x14ac:dyDescent="0.2">
      <c r="A85" s="1" t="s">
        <v>462</v>
      </c>
      <c r="B85" s="7">
        <v>0</v>
      </c>
      <c r="C85" s="7">
        <v>7892</v>
      </c>
      <c r="D85" s="2">
        <f t="shared" si="42"/>
        <v>978.61</v>
      </c>
      <c r="E85" s="78">
        <f t="shared" si="43"/>
        <v>386.71</v>
      </c>
      <c r="F85" s="78">
        <f t="shared" si="37"/>
        <v>413.54</v>
      </c>
      <c r="G85" s="2">
        <f t="shared" si="44"/>
        <v>696.07</v>
      </c>
      <c r="H85" s="2">
        <f t="shared" si="24"/>
        <v>77.34</v>
      </c>
      <c r="I85" s="2">
        <f t="shared" si="45"/>
        <v>66.67</v>
      </c>
      <c r="J85" s="381">
        <f t="shared" si="41"/>
        <v>2618.94</v>
      </c>
      <c r="K85" s="1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>
        <v>7892</v>
      </c>
      <c r="AC85" s="7"/>
      <c r="AD85" s="7">
        <f t="shared" si="40"/>
        <v>7892</v>
      </c>
      <c r="AE85" s="1"/>
      <c r="AF85" s="283">
        <f t="shared" si="46"/>
        <v>0</v>
      </c>
      <c r="AG85" s="283">
        <f t="shared" si="47"/>
        <v>0</v>
      </c>
      <c r="AH85" s="283">
        <f t="shared" si="48"/>
        <v>0</v>
      </c>
      <c r="AI85" s="283">
        <f t="shared" si="49"/>
        <v>0</v>
      </c>
      <c r="AJ85" s="283">
        <f t="shared" si="50"/>
        <v>0</v>
      </c>
      <c r="AK85" s="283">
        <f t="shared" si="51"/>
        <v>0</v>
      </c>
      <c r="AL85" s="283">
        <f t="shared" si="52"/>
        <v>0</v>
      </c>
      <c r="AM85" s="283">
        <f t="shared" si="53"/>
        <v>0</v>
      </c>
      <c r="AN85" s="283">
        <f t="shared" si="54"/>
        <v>0</v>
      </c>
      <c r="AO85" s="283">
        <f t="shared" si="55"/>
        <v>0</v>
      </c>
      <c r="AP85" s="283">
        <f t="shared" si="56"/>
        <v>0</v>
      </c>
      <c r="AQ85" s="283">
        <f t="shared" si="57"/>
        <v>0</v>
      </c>
      <c r="AR85" s="283">
        <f t="shared" si="58"/>
        <v>0</v>
      </c>
      <c r="AS85" s="283">
        <f t="shared" si="59"/>
        <v>0</v>
      </c>
      <c r="AT85" s="283">
        <f t="shared" si="60"/>
        <v>0</v>
      </c>
      <c r="AU85" s="283">
        <f t="shared" si="61"/>
        <v>696.07</v>
      </c>
      <c r="AV85" s="283">
        <f t="shared" si="62"/>
        <v>0</v>
      </c>
      <c r="AW85" s="319">
        <f t="shared" si="63"/>
        <v>696.07</v>
      </c>
    </row>
    <row r="86" spans="1:49" s="20" customFormat="1" x14ac:dyDescent="0.2">
      <c r="A86" s="18" t="s">
        <v>60</v>
      </c>
      <c r="B86" s="243">
        <v>649706</v>
      </c>
      <c r="C86" s="243">
        <v>2558330</v>
      </c>
      <c r="D86" s="2">
        <f t="shared" si="42"/>
        <v>397796.46</v>
      </c>
      <c r="E86" s="78">
        <f t="shared" si="43"/>
        <v>157193.76</v>
      </c>
      <c r="F86" s="78">
        <f t="shared" si="37"/>
        <v>168101.09</v>
      </c>
      <c r="G86" s="2">
        <f t="shared" si="44"/>
        <v>275670.02</v>
      </c>
      <c r="H86" s="2">
        <f t="shared" si="24"/>
        <v>31438.75</v>
      </c>
      <c r="I86" s="2">
        <f t="shared" si="45"/>
        <v>4519.63</v>
      </c>
      <c r="J86" s="381">
        <f t="shared" si="41"/>
        <v>1034719.71</v>
      </c>
      <c r="K86" s="18"/>
      <c r="L86" s="243"/>
      <c r="M86" s="243">
        <v>288243</v>
      </c>
      <c r="N86" s="243"/>
      <c r="O86" s="243">
        <v>2050486</v>
      </c>
      <c r="P86" s="243">
        <v>99734</v>
      </c>
      <c r="Q86" s="243"/>
      <c r="R86" s="243">
        <v>4018</v>
      </c>
      <c r="S86" s="243"/>
      <c r="T86" s="243"/>
      <c r="U86" s="243"/>
      <c r="V86" s="243"/>
      <c r="W86" s="243">
        <v>147505</v>
      </c>
      <c r="X86" s="243">
        <v>2010</v>
      </c>
      <c r="Y86" s="243">
        <v>44794</v>
      </c>
      <c r="Z86" s="243">
        <v>36277</v>
      </c>
      <c r="AA86" s="243"/>
      <c r="AB86" s="243">
        <v>534969</v>
      </c>
      <c r="AC86" s="243"/>
      <c r="AD86" s="243">
        <f t="shared" si="40"/>
        <v>3208036</v>
      </c>
      <c r="AE86" s="18"/>
      <c r="AF86" s="283">
        <f t="shared" si="46"/>
        <v>25423.03</v>
      </c>
      <c r="AG86" s="283">
        <f t="shared" si="47"/>
        <v>0</v>
      </c>
      <c r="AH86" s="283">
        <f t="shared" si="48"/>
        <v>180852.87</v>
      </c>
      <c r="AI86" s="283">
        <f t="shared" si="49"/>
        <v>3909.57</v>
      </c>
      <c r="AJ86" s="283">
        <f t="shared" si="50"/>
        <v>0</v>
      </c>
      <c r="AK86" s="283">
        <f t="shared" si="51"/>
        <v>157.51</v>
      </c>
      <c r="AL86" s="283">
        <f t="shared" si="52"/>
        <v>0</v>
      </c>
      <c r="AM86" s="283">
        <f t="shared" si="53"/>
        <v>0</v>
      </c>
      <c r="AN86" s="283">
        <f t="shared" si="54"/>
        <v>0</v>
      </c>
      <c r="AO86" s="283">
        <f t="shared" si="55"/>
        <v>0</v>
      </c>
      <c r="AP86" s="283">
        <f t="shared" si="56"/>
        <v>13009.94</v>
      </c>
      <c r="AQ86" s="283">
        <f t="shared" si="57"/>
        <v>177.28</v>
      </c>
      <c r="AR86" s="283">
        <f t="shared" si="58"/>
        <v>1755.92</v>
      </c>
      <c r="AS86" s="283">
        <f t="shared" si="59"/>
        <v>3199.63</v>
      </c>
      <c r="AT86" s="283">
        <f t="shared" si="60"/>
        <v>0</v>
      </c>
      <c r="AU86" s="283">
        <f t="shared" si="61"/>
        <v>47184.27</v>
      </c>
      <c r="AV86" s="283">
        <f t="shared" si="62"/>
        <v>0</v>
      </c>
      <c r="AW86" s="319">
        <f t="shared" si="63"/>
        <v>275670.02</v>
      </c>
    </row>
    <row r="87" spans="1:49" s="20" customFormat="1" x14ac:dyDescent="0.2">
      <c r="A87" s="1" t="s">
        <v>463</v>
      </c>
      <c r="B87" s="7">
        <v>57171</v>
      </c>
      <c r="C87" s="7">
        <v>0</v>
      </c>
      <c r="D87" s="2">
        <f t="shared" si="42"/>
        <v>7089.2</v>
      </c>
      <c r="E87" s="2">
        <f t="shared" si="43"/>
        <v>2801.38</v>
      </c>
      <c r="F87" s="78">
        <f t="shared" si="37"/>
        <v>2995.76</v>
      </c>
      <c r="G87" s="2">
        <f t="shared" si="44"/>
        <v>5016.8100000000004</v>
      </c>
      <c r="H87" s="2">
        <f t="shared" si="24"/>
        <v>560.28</v>
      </c>
      <c r="I87" s="2">
        <f t="shared" si="45"/>
        <v>0</v>
      </c>
      <c r="J87" s="381">
        <f t="shared" si="41"/>
        <v>18463.43</v>
      </c>
      <c r="K87" s="1"/>
      <c r="L87" s="7"/>
      <c r="M87" s="7"/>
      <c r="N87" s="7">
        <v>267</v>
      </c>
      <c r="O87" s="7"/>
      <c r="P87" s="7">
        <v>524</v>
      </c>
      <c r="Q87" s="7"/>
      <c r="R87" s="7"/>
      <c r="S87" s="7"/>
      <c r="T87" s="7"/>
      <c r="U87" s="7"/>
      <c r="V87" s="7"/>
      <c r="W87" s="7">
        <v>56145</v>
      </c>
      <c r="X87" s="7">
        <v>235</v>
      </c>
      <c r="Y87" s="7"/>
      <c r="Z87" s="7"/>
      <c r="AA87" s="7"/>
      <c r="AB87" s="7"/>
      <c r="AC87" s="7"/>
      <c r="AD87" s="7">
        <f t="shared" si="40"/>
        <v>57171</v>
      </c>
      <c r="AE87" s="243"/>
      <c r="AF87" s="283">
        <f t="shared" si="46"/>
        <v>0</v>
      </c>
      <c r="AG87" s="283">
        <f t="shared" si="47"/>
        <v>23.55</v>
      </c>
      <c r="AH87" s="283">
        <f t="shared" si="48"/>
        <v>0</v>
      </c>
      <c r="AI87" s="283">
        <f t="shared" si="49"/>
        <v>20.54</v>
      </c>
      <c r="AJ87" s="283">
        <f t="shared" si="50"/>
        <v>0</v>
      </c>
      <c r="AK87" s="283">
        <f t="shared" si="51"/>
        <v>0</v>
      </c>
      <c r="AL87" s="283">
        <f t="shared" si="52"/>
        <v>0</v>
      </c>
      <c r="AM87" s="283">
        <f t="shared" si="53"/>
        <v>0</v>
      </c>
      <c r="AN87" s="283">
        <f t="shared" si="54"/>
        <v>0</v>
      </c>
      <c r="AO87" s="283">
        <f t="shared" si="55"/>
        <v>0</v>
      </c>
      <c r="AP87" s="283">
        <f t="shared" si="56"/>
        <v>4951.99</v>
      </c>
      <c r="AQ87" s="283">
        <f t="shared" si="57"/>
        <v>20.73</v>
      </c>
      <c r="AR87" s="283">
        <f t="shared" si="58"/>
        <v>0</v>
      </c>
      <c r="AS87" s="283">
        <f t="shared" si="59"/>
        <v>0</v>
      </c>
      <c r="AT87" s="283">
        <f t="shared" si="60"/>
        <v>0</v>
      </c>
      <c r="AU87" s="283">
        <f t="shared" si="61"/>
        <v>0</v>
      </c>
      <c r="AV87" s="283">
        <f t="shared" si="62"/>
        <v>0</v>
      </c>
      <c r="AW87" s="319">
        <f t="shared" si="63"/>
        <v>5016.8100000000004</v>
      </c>
    </row>
    <row r="88" spans="1:49" s="20" customFormat="1" x14ac:dyDescent="0.2">
      <c r="A88" s="18" t="s">
        <v>61</v>
      </c>
      <c r="B88" s="243">
        <v>39540</v>
      </c>
      <c r="C88" s="243">
        <v>0</v>
      </c>
      <c r="D88" s="2">
        <f t="shared" si="42"/>
        <v>4902.96</v>
      </c>
      <c r="E88" s="78">
        <f t="shared" si="43"/>
        <v>1937.46</v>
      </c>
      <c r="F88" s="78">
        <f t="shared" si="37"/>
        <v>2071.9</v>
      </c>
      <c r="G88" s="2">
        <f t="shared" si="44"/>
        <v>3487.43</v>
      </c>
      <c r="H88" s="2">
        <f>(B88+C88)*0.0098+0.01</f>
        <v>387.5</v>
      </c>
      <c r="I88" s="2">
        <f t="shared" si="45"/>
        <v>0</v>
      </c>
      <c r="J88" s="381">
        <f t="shared" si="41"/>
        <v>12787.25</v>
      </c>
      <c r="K88" s="18"/>
      <c r="L88" s="243"/>
      <c r="M88" s="243"/>
      <c r="N88" s="243"/>
      <c r="O88" s="243"/>
      <c r="P88" s="243"/>
      <c r="Q88" s="243"/>
      <c r="R88" s="243"/>
      <c r="S88" s="243"/>
      <c r="T88" s="243">
        <v>38722</v>
      </c>
      <c r="U88" s="243"/>
      <c r="V88" s="243"/>
      <c r="W88" s="243"/>
      <c r="X88" s="243"/>
      <c r="Y88" s="243"/>
      <c r="Z88" s="243">
        <v>818</v>
      </c>
      <c r="AA88" s="243"/>
      <c r="AB88" s="243"/>
      <c r="AC88" s="243"/>
      <c r="AD88" s="243">
        <f t="shared" si="40"/>
        <v>39540</v>
      </c>
      <c r="AE88" s="243"/>
      <c r="AF88" s="283">
        <f t="shared" si="46"/>
        <v>0</v>
      </c>
      <c r="AG88" s="283">
        <f t="shared" si="47"/>
        <v>0</v>
      </c>
      <c r="AH88" s="283">
        <f t="shared" si="48"/>
        <v>0</v>
      </c>
      <c r="AI88" s="283">
        <f t="shared" si="49"/>
        <v>0</v>
      </c>
      <c r="AJ88" s="283">
        <f t="shared" si="50"/>
        <v>0</v>
      </c>
      <c r="AK88" s="283">
        <f t="shared" si="51"/>
        <v>0</v>
      </c>
      <c r="AL88" s="283">
        <f t="shared" si="52"/>
        <v>0</v>
      </c>
      <c r="AM88" s="283">
        <f t="shared" si="53"/>
        <v>3415.28</v>
      </c>
      <c r="AN88" s="283">
        <f t="shared" si="54"/>
        <v>0</v>
      </c>
      <c r="AO88" s="283">
        <f t="shared" si="55"/>
        <v>0</v>
      </c>
      <c r="AP88" s="283">
        <f t="shared" si="56"/>
        <v>0</v>
      </c>
      <c r="AQ88" s="283">
        <f t="shared" si="57"/>
        <v>0</v>
      </c>
      <c r="AR88" s="283">
        <f t="shared" si="58"/>
        <v>0</v>
      </c>
      <c r="AS88" s="283">
        <f t="shared" si="59"/>
        <v>72.150000000000006</v>
      </c>
      <c r="AT88" s="283">
        <f t="shared" si="60"/>
        <v>0</v>
      </c>
      <c r="AU88" s="283">
        <f t="shared" si="61"/>
        <v>0</v>
      </c>
      <c r="AV88" s="283">
        <f t="shared" si="62"/>
        <v>0</v>
      </c>
      <c r="AW88" s="319">
        <f t="shared" si="63"/>
        <v>3487.43</v>
      </c>
    </row>
    <row r="89" spans="1:49" x14ac:dyDescent="0.2">
      <c r="A89" s="1" t="s">
        <v>63</v>
      </c>
      <c r="B89" s="7">
        <v>19316</v>
      </c>
      <c r="C89" s="7">
        <v>0</v>
      </c>
      <c r="D89" s="2">
        <f>(B89+C89)*0.124+0.01</f>
        <v>2395.19</v>
      </c>
      <c r="E89" s="2">
        <f t="shared" ref="E89:E96" si="64">(B89+C89)*0.049</f>
        <v>946.48</v>
      </c>
      <c r="F89" s="78">
        <f t="shared" si="37"/>
        <v>1012.16</v>
      </c>
      <c r="G89" s="2">
        <f t="shared" si="44"/>
        <v>1703.67</v>
      </c>
      <c r="H89" s="2">
        <f>(B89+C89)*0.0098-0.01</f>
        <v>189.29</v>
      </c>
      <c r="I89" s="2">
        <f t="shared" si="45"/>
        <v>0</v>
      </c>
      <c r="J89" s="381">
        <f t="shared" si="41"/>
        <v>6246.79</v>
      </c>
      <c r="K89" s="1"/>
      <c r="L89" s="7"/>
      <c r="M89" s="7"/>
      <c r="N89" s="7"/>
      <c r="O89" s="7"/>
      <c r="P89" s="7"/>
      <c r="Q89" s="7"/>
      <c r="R89" s="7"/>
      <c r="S89" s="7"/>
      <c r="T89" s="7">
        <v>17026</v>
      </c>
      <c r="U89" s="7"/>
      <c r="V89" s="7"/>
      <c r="W89" s="7"/>
      <c r="X89" s="7"/>
      <c r="Y89" s="7"/>
      <c r="Z89" s="7">
        <v>2290</v>
      </c>
      <c r="AA89" s="7"/>
      <c r="AB89" s="7"/>
      <c r="AC89" s="7"/>
      <c r="AD89" s="7">
        <f t="shared" si="40"/>
        <v>19316</v>
      </c>
      <c r="AE89" s="7"/>
      <c r="AF89" s="283">
        <f t="shared" si="46"/>
        <v>0</v>
      </c>
      <c r="AG89" s="283">
        <f t="shared" si="47"/>
        <v>0</v>
      </c>
      <c r="AH89" s="283">
        <f t="shared" si="48"/>
        <v>0</v>
      </c>
      <c r="AI89" s="283">
        <f t="shared" si="49"/>
        <v>0</v>
      </c>
      <c r="AJ89" s="283">
        <f t="shared" si="50"/>
        <v>0</v>
      </c>
      <c r="AK89" s="283">
        <f t="shared" si="51"/>
        <v>0</v>
      </c>
      <c r="AL89" s="283">
        <f t="shared" si="52"/>
        <v>0</v>
      </c>
      <c r="AM89" s="283">
        <f t="shared" si="53"/>
        <v>1501.69</v>
      </c>
      <c r="AN89" s="283">
        <f t="shared" si="54"/>
        <v>0</v>
      </c>
      <c r="AO89" s="283">
        <f t="shared" si="55"/>
        <v>0</v>
      </c>
      <c r="AP89" s="283">
        <f t="shared" si="56"/>
        <v>0</v>
      </c>
      <c r="AQ89" s="283">
        <f t="shared" si="57"/>
        <v>0</v>
      </c>
      <c r="AR89" s="283">
        <f t="shared" si="58"/>
        <v>0</v>
      </c>
      <c r="AS89" s="283">
        <f t="shared" si="59"/>
        <v>201.98</v>
      </c>
      <c r="AT89" s="283">
        <f t="shared" si="60"/>
        <v>0</v>
      </c>
      <c r="AU89" s="283">
        <f t="shared" si="61"/>
        <v>0</v>
      </c>
      <c r="AV89" s="283">
        <f t="shared" si="62"/>
        <v>0</v>
      </c>
      <c r="AW89" s="319">
        <f t="shared" si="63"/>
        <v>1703.67</v>
      </c>
    </row>
    <row r="90" spans="1:49" s="20" customFormat="1" x14ac:dyDescent="0.2">
      <c r="A90" s="18" t="s">
        <v>64</v>
      </c>
      <c r="B90" s="243">
        <v>1699</v>
      </c>
      <c r="C90" s="243">
        <v>0</v>
      </c>
      <c r="D90" s="2">
        <f>(B90+C90)*0.124-0.01</f>
        <v>210.67</v>
      </c>
      <c r="E90" s="78">
        <f t="shared" si="64"/>
        <v>83.25</v>
      </c>
      <c r="F90" s="78">
        <f t="shared" si="37"/>
        <v>89.03</v>
      </c>
      <c r="G90" s="2">
        <f t="shared" si="44"/>
        <v>149.85</v>
      </c>
      <c r="H90" s="2">
        <f t="shared" ref="H90:H111" si="65">(B90+C90)*0.0098</f>
        <v>16.649999999999999</v>
      </c>
      <c r="I90" s="2">
        <f t="shared" si="45"/>
        <v>0</v>
      </c>
      <c r="J90" s="381">
        <f t="shared" si="41"/>
        <v>549.45000000000005</v>
      </c>
      <c r="K90" s="18"/>
      <c r="L90" s="243"/>
      <c r="M90" s="243"/>
      <c r="N90" s="243"/>
      <c r="O90" s="243">
        <v>1699</v>
      </c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>
        <f t="shared" ref="AD90:AD96" si="66">SUM(L90:AC90)</f>
        <v>1699</v>
      </c>
      <c r="AE90" s="243"/>
      <c r="AF90" s="283">
        <f t="shared" si="46"/>
        <v>0</v>
      </c>
      <c r="AG90" s="283">
        <f t="shared" si="47"/>
        <v>0</v>
      </c>
      <c r="AH90" s="283">
        <f t="shared" si="48"/>
        <v>149.85</v>
      </c>
      <c r="AI90" s="283">
        <f t="shared" si="49"/>
        <v>0</v>
      </c>
      <c r="AJ90" s="283">
        <f t="shared" si="50"/>
        <v>0</v>
      </c>
      <c r="AK90" s="283">
        <f t="shared" si="51"/>
        <v>0</v>
      </c>
      <c r="AL90" s="283">
        <f t="shared" si="52"/>
        <v>0</v>
      </c>
      <c r="AM90" s="283">
        <f t="shared" si="53"/>
        <v>0</v>
      </c>
      <c r="AN90" s="283">
        <f t="shared" si="54"/>
        <v>0</v>
      </c>
      <c r="AO90" s="283">
        <f t="shared" si="55"/>
        <v>0</v>
      </c>
      <c r="AP90" s="283">
        <f t="shared" si="56"/>
        <v>0</v>
      </c>
      <c r="AQ90" s="283">
        <f t="shared" si="57"/>
        <v>0</v>
      </c>
      <c r="AR90" s="283">
        <f t="shared" si="58"/>
        <v>0</v>
      </c>
      <c r="AS90" s="283">
        <f t="shared" si="59"/>
        <v>0</v>
      </c>
      <c r="AT90" s="283">
        <f t="shared" si="60"/>
        <v>0</v>
      </c>
      <c r="AU90" s="283">
        <f t="shared" si="61"/>
        <v>0</v>
      </c>
      <c r="AV90" s="283">
        <f t="shared" si="62"/>
        <v>0</v>
      </c>
      <c r="AW90" s="319">
        <f t="shared" si="63"/>
        <v>149.85</v>
      </c>
    </row>
    <row r="91" spans="1:49" s="20" customFormat="1" x14ac:dyDescent="0.2">
      <c r="A91" s="18" t="s">
        <v>576</v>
      </c>
      <c r="B91" s="243">
        <v>37406</v>
      </c>
      <c r="C91" s="243">
        <v>0</v>
      </c>
      <c r="D91" s="2">
        <f>(B91+C91)*0.124+0.01</f>
        <v>4638.3500000000004</v>
      </c>
      <c r="E91" s="78">
        <f t="shared" si="64"/>
        <v>1832.89</v>
      </c>
      <c r="F91" s="78">
        <f t="shared" ref="F91:F98" si="67">(B91+C91)*0.0524</f>
        <v>1960.07</v>
      </c>
      <c r="G91" s="2">
        <f t="shared" si="44"/>
        <v>1466.32</v>
      </c>
      <c r="H91" s="2">
        <f t="shared" si="65"/>
        <v>366.58</v>
      </c>
      <c r="I91" s="2">
        <f t="shared" si="45"/>
        <v>0</v>
      </c>
      <c r="J91" s="381">
        <f t="shared" si="41"/>
        <v>10264.209999999999</v>
      </c>
      <c r="K91" s="18"/>
      <c r="L91" s="243"/>
      <c r="M91" s="243"/>
      <c r="N91" s="243"/>
      <c r="O91" s="243"/>
      <c r="P91" s="243"/>
      <c r="Q91" s="243"/>
      <c r="R91" s="243"/>
      <c r="S91" s="243">
        <v>37406</v>
      </c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>
        <f t="shared" si="66"/>
        <v>37406</v>
      </c>
      <c r="AE91" s="18"/>
      <c r="AF91" s="283">
        <f t="shared" si="46"/>
        <v>0</v>
      </c>
      <c r="AG91" s="283">
        <f t="shared" si="47"/>
        <v>0</v>
      </c>
      <c r="AH91" s="283">
        <f t="shared" si="48"/>
        <v>0</v>
      </c>
      <c r="AI91" s="283">
        <f t="shared" si="49"/>
        <v>0</v>
      </c>
      <c r="AJ91" s="283">
        <f t="shared" si="50"/>
        <v>0</v>
      </c>
      <c r="AK91" s="283">
        <f t="shared" si="51"/>
        <v>0</v>
      </c>
      <c r="AL91" s="283">
        <f t="shared" si="52"/>
        <v>1466.32</v>
      </c>
      <c r="AM91" s="283">
        <f t="shared" si="53"/>
        <v>0</v>
      </c>
      <c r="AN91" s="283">
        <f t="shared" si="54"/>
        <v>0</v>
      </c>
      <c r="AO91" s="283">
        <f t="shared" si="55"/>
        <v>0</v>
      </c>
      <c r="AP91" s="283">
        <f t="shared" si="56"/>
        <v>0</v>
      </c>
      <c r="AQ91" s="283">
        <f t="shared" si="57"/>
        <v>0</v>
      </c>
      <c r="AR91" s="283">
        <f t="shared" si="58"/>
        <v>0</v>
      </c>
      <c r="AS91" s="283">
        <f t="shared" si="59"/>
        <v>0</v>
      </c>
      <c r="AT91" s="283">
        <f t="shared" si="60"/>
        <v>0</v>
      </c>
      <c r="AU91" s="283">
        <f t="shared" si="61"/>
        <v>0</v>
      </c>
      <c r="AV91" s="283">
        <f t="shared" si="62"/>
        <v>0</v>
      </c>
      <c r="AW91" s="319">
        <f t="shared" si="63"/>
        <v>1466.32</v>
      </c>
    </row>
    <row r="92" spans="1:49" s="20" customFormat="1" x14ac:dyDescent="0.2">
      <c r="A92" s="18" t="s">
        <v>442</v>
      </c>
      <c r="B92" s="243">
        <v>615753</v>
      </c>
      <c r="C92" s="243">
        <v>778508</v>
      </c>
      <c r="D92" s="2">
        <f t="shared" ref="D92:D109" si="68">(B92+C92)*0.124</f>
        <v>172888.36</v>
      </c>
      <c r="E92" s="78">
        <f t="shared" si="64"/>
        <v>68318.789999999994</v>
      </c>
      <c r="F92" s="78">
        <f t="shared" si="67"/>
        <v>73059.28</v>
      </c>
      <c r="G92" s="2">
        <f t="shared" si="44"/>
        <v>103316.73</v>
      </c>
      <c r="H92" s="2">
        <f t="shared" si="65"/>
        <v>13663.76</v>
      </c>
      <c r="I92" s="2">
        <f t="shared" si="45"/>
        <v>0</v>
      </c>
      <c r="J92" s="381">
        <f t="shared" si="41"/>
        <v>431246.92</v>
      </c>
      <c r="K92" s="18"/>
      <c r="L92" s="243"/>
      <c r="M92" s="243"/>
      <c r="N92" s="243"/>
      <c r="O92" s="243">
        <v>778508</v>
      </c>
      <c r="P92" s="243"/>
      <c r="Q92" s="243">
        <v>180795</v>
      </c>
      <c r="R92" s="243"/>
      <c r="S92" s="243"/>
      <c r="T92" s="243"/>
      <c r="U92" s="243"/>
      <c r="V92" s="243"/>
      <c r="W92" s="243">
        <v>214588</v>
      </c>
      <c r="X92" s="243"/>
      <c r="Y92" s="243">
        <v>220370</v>
      </c>
      <c r="Z92" s="243"/>
      <c r="AA92" s="243"/>
      <c r="AB92" s="243"/>
      <c r="AC92" s="243"/>
      <c r="AD92" s="243">
        <f t="shared" si="66"/>
        <v>1394261</v>
      </c>
      <c r="AE92" s="18"/>
      <c r="AF92" s="283">
        <f t="shared" si="46"/>
        <v>0</v>
      </c>
      <c r="AG92" s="283">
        <f t="shared" si="47"/>
        <v>0</v>
      </c>
      <c r="AH92" s="283">
        <f t="shared" si="48"/>
        <v>68664.41</v>
      </c>
      <c r="AI92" s="283">
        <f t="shared" si="49"/>
        <v>0</v>
      </c>
      <c r="AJ92" s="283">
        <f t="shared" si="50"/>
        <v>7087.16</v>
      </c>
      <c r="AK92" s="283">
        <f t="shared" si="51"/>
        <v>0</v>
      </c>
      <c r="AL92" s="283">
        <f t="shared" si="52"/>
        <v>0</v>
      </c>
      <c r="AM92" s="283">
        <f t="shared" si="53"/>
        <v>0</v>
      </c>
      <c r="AN92" s="283">
        <f t="shared" si="54"/>
        <v>0</v>
      </c>
      <c r="AO92" s="283">
        <f t="shared" si="55"/>
        <v>0</v>
      </c>
      <c r="AP92" s="283">
        <f t="shared" si="56"/>
        <v>18926.66</v>
      </c>
      <c r="AQ92" s="283">
        <f t="shared" si="57"/>
        <v>0</v>
      </c>
      <c r="AR92" s="283">
        <f t="shared" si="58"/>
        <v>8638.5</v>
      </c>
      <c r="AS92" s="283">
        <f t="shared" si="59"/>
        <v>0</v>
      </c>
      <c r="AT92" s="283">
        <f t="shared" si="60"/>
        <v>0</v>
      </c>
      <c r="AU92" s="283">
        <f t="shared" si="61"/>
        <v>0</v>
      </c>
      <c r="AV92" s="283">
        <f t="shared" si="62"/>
        <v>0</v>
      </c>
      <c r="AW92" s="319">
        <f t="shared" si="63"/>
        <v>103316.73</v>
      </c>
    </row>
    <row r="93" spans="1:49" x14ac:dyDescent="0.2">
      <c r="A93" s="18" t="s">
        <v>65</v>
      </c>
      <c r="B93" s="243">
        <v>118341</v>
      </c>
      <c r="C93" s="243">
        <v>0</v>
      </c>
      <c r="D93" s="2">
        <f t="shared" si="68"/>
        <v>14674.28</v>
      </c>
      <c r="E93" s="78">
        <f t="shared" si="64"/>
        <v>5798.71</v>
      </c>
      <c r="F93" s="78">
        <f t="shared" si="67"/>
        <v>6201.07</v>
      </c>
      <c r="G93" s="2">
        <f t="shared" si="44"/>
        <v>10437.68</v>
      </c>
      <c r="H93" s="2">
        <f t="shared" si="65"/>
        <v>1159.74</v>
      </c>
      <c r="I93" s="2">
        <f t="shared" si="45"/>
        <v>0</v>
      </c>
      <c r="J93" s="381">
        <f t="shared" si="41"/>
        <v>38271.480000000003</v>
      </c>
      <c r="K93" s="18"/>
      <c r="L93" s="243"/>
      <c r="M93" s="243"/>
      <c r="N93" s="243">
        <v>118341</v>
      </c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>
        <f t="shared" si="66"/>
        <v>118341</v>
      </c>
      <c r="AE93" s="7"/>
      <c r="AF93" s="283">
        <f t="shared" si="46"/>
        <v>0</v>
      </c>
      <c r="AG93" s="283">
        <f t="shared" si="47"/>
        <v>10437.68</v>
      </c>
      <c r="AH93" s="283">
        <f t="shared" si="48"/>
        <v>0</v>
      </c>
      <c r="AI93" s="283">
        <f t="shared" si="49"/>
        <v>0</v>
      </c>
      <c r="AJ93" s="283">
        <f t="shared" si="50"/>
        <v>0</v>
      </c>
      <c r="AK93" s="283">
        <f t="shared" si="51"/>
        <v>0</v>
      </c>
      <c r="AL93" s="283">
        <f t="shared" si="52"/>
        <v>0</v>
      </c>
      <c r="AM93" s="283">
        <f t="shared" si="53"/>
        <v>0</v>
      </c>
      <c r="AN93" s="283">
        <f t="shared" si="54"/>
        <v>0</v>
      </c>
      <c r="AO93" s="283">
        <f t="shared" si="55"/>
        <v>0</v>
      </c>
      <c r="AP93" s="283">
        <f t="shared" si="56"/>
        <v>0</v>
      </c>
      <c r="AQ93" s="283">
        <f t="shared" si="57"/>
        <v>0</v>
      </c>
      <c r="AR93" s="283">
        <f t="shared" si="58"/>
        <v>0</v>
      </c>
      <c r="AS93" s="283">
        <f t="shared" si="59"/>
        <v>0</v>
      </c>
      <c r="AT93" s="283">
        <f t="shared" si="60"/>
        <v>0</v>
      </c>
      <c r="AU93" s="283">
        <f t="shared" si="61"/>
        <v>0</v>
      </c>
      <c r="AV93" s="283">
        <f t="shared" si="62"/>
        <v>0</v>
      </c>
      <c r="AW93" s="319">
        <f t="shared" si="63"/>
        <v>10437.68</v>
      </c>
    </row>
    <row r="94" spans="1:49" x14ac:dyDescent="0.2">
      <c r="A94" s="18" t="s">
        <v>478</v>
      </c>
      <c r="B94" s="243">
        <v>105537</v>
      </c>
      <c r="C94" s="243">
        <v>2193480</v>
      </c>
      <c r="D94" s="2">
        <f t="shared" si="68"/>
        <v>285078.11</v>
      </c>
      <c r="E94" s="78">
        <f>(B94+C94)*0.049</f>
        <v>112651.83</v>
      </c>
      <c r="F94" s="78">
        <f t="shared" si="67"/>
        <v>120468.49</v>
      </c>
      <c r="G94" s="2">
        <f t="shared" si="44"/>
        <v>198989.23</v>
      </c>
      <c r="H94" s="2">
        <f>(B94+C94)*0.0098-0.01</f>
        <v>22530.36</v>
      </c>
      <c r="I94" s="2">
        <f t="shared" si="45"/>
        <v>7122.4</v>
      </c>
      <c r="J94" s="381">
        <f t="shared" si="41"/>
        <v>746840.42</v>
      </c>
      <c r="K94" s="18"/>
      <c r="L94" s="243"/>
      <c r="M94" s="243">
        <v>8807</v>
      </c>
      <c r="N94" s="243"/>
      <c r="O94" s="243">
        <v>1349634</v>
      </c>
      <c r="P94" s="243">
        <v>72449</v>
      </c>
      <c r="Q94" s="243"/>
      <c r="R94" s="243"/>
      <c r="S94" s="243"/>
      <c r="T94" s="243"/>
      <c r="U94" s="243"/>
      <c r="V94" s="243"/>
      <c r="W94" s="243"/>
      <c r="X94" s="243">
        <v>20303</v>
      </c>
      <c r="Y94" s="243">
        <v>4777</v>
      </c>
      <c r="Z94" s="243"/>
      <c r="AA94" s="243"/>
      <c r="AB94" s="243">
        <v>843047</v>
      </c>
      <c r="AC94" s="243"/>
      <c r="AD94" s="243">
        <f>SUM(L94:AC94)</f>
        <v>2299017</v>
      </c>
      <c r="AE94" s="1"/>
      <c r="AF94" s="283">
        <f t="shared" si="46"/>
        <v>776.78</v>
      </c>
      <c r="AG94" s="283">
        <f t="shared" si="47"/>
        <v>0</v>
      </c>
      <c r="AH94" s="283">
        <f t="shared" si="48"/>
        <v>119037.72</v>
      </c>
      <c r="AI94" s="283">
        <f t="shared" si="49"/>
        <v>2840</v>
      </c>
      <c r="AJ94" s="283">
        <f t="shared" si="50"/>
        <v>0</v>
      </c>
      <c r="AK94" s="283">
        <f t="shared" si="51"/>
        <v>0</v>
      </c>
      <c r="AL94" s="283">
        <f t="shared" si="52"/>
        <v>0</v>
      </c>
      <c r="AM94" s="283">
        <f t="shared" si="53"/>
        <v>0</v>
      </c>
      <c r="AN94" s="283">
        <f t="shared" si="54"/>
        <v>0</v>
      </c>
      <c r="AO94" s="283">
        <f t="shared" si="55"/>
        <v>0</v>
      </c>
      <c r="AP94" s="283">
        <f t="shared" si="56"/>
        <v>0</v>
      </c>
      <c r="AQ94" s="283">
        <f t="shared" si="57"/>
        <v>1790.72</v>
      </c>
      <c r="AR94" s="283">
        <f t="shared" si="58"/>
        <v>187.26</v>
      </c>
      <c r="AS94" s="283">
        <f t="shared" si="59"/>
        <v>0</v>
      </c>
      <c r="AT94" s="283">
        <f t="shared" si="60"/>
        <v>0</v>
      </c>
      <c r="AU94" s="283">
        <f t="shared" si="61"/>
        <v>74356.75</v>
      </c>
      <c r="AV94" s="283">
        <f t="shared" si="62"/>
        <v>0</v>
      </c>
      <c r="AW94" s="319">
        <f t="shared" si="63"/>
        <v>198989.23</v>
      </c>
    </row>
    <row r="95" spans="1:49" x14ac:dyDescent="0.2">
      <c r="A95" s="18" t="s">
        <v>66</v>
      </c>
      <c r="B95" s="243">
        <v>8155</v>
      </c>
      <c r="C95" s="243">
        <v>0</v>
      </c>
      <c r="D95" s="2">
        <f>(B95+C95)*0.124-0.01</f>
        <v>1011.21</v>
      </c>
      <c r="E95" s="78">
        <f t="shared" si="64"/>
        <v>399.6</v>
      </c>
      <c r="F95" s="78">
        <f t="shared" si="67"/>
        <v>427.32</v>
      </c>
      <c r="G95" s="2">
        <f t="shared" si="44"/>
        <v>319.68</v>
      </c>
      <c r="H95" s="2">
        <f t="shared" si="65"/>
        <v>79.92</v>
      </c>
      <c r="I95" s="2">
        <f t="shared" si="45"/>
        <v>0</v>
      </c>
      <c r="J95" s="381">
        <f t="shared" si="41"/>
        <v>2237.73</v>
      </c>
      <c r="K95" s="18"/>
      <c r="L95" s="243"/>
      <c r="M95" s="243"/>
      <c r="N95" s="243"/>
      <c r="O95" s="243"/>
      <c r="P95" s="243"/>
      <c r="Q95" s="243">
        <v>8155</v>
      </c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>
        <f t="shared" si="66"/>
        <v>8155</v>
      </c>
      <c r="AE95" s="1"/>
      <c r="AF95" s="283">
        <f t="shared" si="46"/>
        <v>0</v>
      </c>
      <c r="AG95" s="283">
        <f t="shared" si="47"/>
        <v>0</v>
      </c>
      <c r="AH95" s="283">
        <f t="shared" si="48"/>
        <v>0</v>
      </c>
      <c r="AI95" s="283">
        <f t="shared" si="49"/>
        <v>0</v>
      </c>
      <c r="AJ95" s="283">
        <f t="shared" si="50"/>
        <v>319.68</v>
      </c>
      <c r="AK95" s="283">
        <f t="shared" si="51"/>
        <v>0</v>
      </c>
      <c r="AL95" s="283">
        <f t="shared" si="52"/>
        <v>0</v>
      </c>
      <c r="AM95" s="283">
        <f t="shared" si="53"/>
        <v>0</v>
      </c>
      <c r="AN95" s="283">
        <f t="shared" si="54"/>
        <v>0</v>
      </c>
      <c r="AO95" s="283">
        <f t="shared" si="55"/>
        <v>0</v>
      </c>
      <c r="AP95" s="283">
        <f t="shared" si="56"/>
        <v>0</v>
      </c>
      <c r="AQ95" s="283">
        <f t="shared" si="57"/>
        <v>0</v>
      </c>
      <c r="AR95" s="283">
        <f t="shared" si="58"/>
        <v>0</v>
      </c>
      <c r="AS95" s="283">
        <f t="shared" si="59"/>
        <v>0</v>
      </c>
      <c r="AT95" s="283">
        <f t="shared" si="60"/>
        <v>0</v>
      </c>
      <c r="AU95" s="283">
        <f t="shared" si="61"/>
        <v>0</v>
      </c>
      <c r="AV95" s="283">
        <f t="shared" si="62"/>
        <v>0</v>
      </c>
      <c r="AW95" s="319">
        <f t="shared" si="63"/>
        <v>319.68</v>
      </c>
    </row>
    <row r="96" spans="1:49" x14ac:dyDescent="0.2">
      <c r="A96" s="1" t="s">
        <v>769</v>
      </c>
      <c r="B96" s="7"/>
      <c r="C96" s="7"/>
      <c r="D96" s="2">
        <f>(B96+C96)*0.124+0.01</f>
        <v>0.01</v>
      </c>
      <c r="E96" s="2">
        <f t="shared" si="64"/>
        <v>0</v>
      </c>
      <c r="F96" s="2">
        <f t="shared" si="67"/>
        <v>0</v>
      </c>
      <c r="G96" s="2">
        <f>+AW96</f>
        <v>0</v>
      </c>
      <c r="H96" s="2">
        <f>(B96+C96)*0.0098</f>
        <v>0</v>
      </c>
      <c r="I96" s="2">
        <f>(AB96)*0.0084484</f>
        <v>0</v>
      </c>
      <c r="J96" s="381">
        <f>SUM(D96:I96)</f>
        <v>0.01</v>
      </c>
      <c r="K96" s="1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>
        <f t="shared" si="66"/>
        <v>0</v>
      </c>
      <c r="AE96" s="1"/>
      <c r="AF96" s="283">
        <f>+M96*$AF$12</f>
        <v>0</v>
      </c>
      <c r="AG96" s="283">
        <f>+N96*$AG$12</f>
        <v>0</v>
      </c>
      <c r="AH96" s="283">
        <f>+O96*$AH$12</f>
        <v>0</v>
      </c>
      <c r="AI96" s="283">
        <f>+P96*$AI$12</f>
        <v>0</v>
      </c>
      <c r="AJ96" s="283">
        <f>+Q96*$AJ$12</f>
        <v>0</v>
      </c>
      <c r="AK96" s="283">
        <f>+R96*$AK$12</f>
        <v>0</v>
      </c>
      <c r="AL96" s="283">
        <f>+S96*$AL$12</f>
        <v>0</v>
      </c>
      <c r="AM96" s="283">
        <f>+T96*$AM$12</f>
        <v>0</v>
      </c>
      <c r="AN96" s="283">
        <f>+U96*$AN$12</f>
        <v>0</v>
      </c>
      <c r="AO96" s="283">
        <f>+V96*$AO$12</f>
        <v>0</v>
      </c>
      <c r="AP96" s="283">
        <f>+W96*$AP$12</f>
        <v>0</v>
      </c>
      <c r="AQ96" s="283">
        <f>+X96*$AQ$12</f>
        <v>0</v>
      </c>
      <c r="AR96" s="283">
        <f>+Y96*$AR$12</f>
        <v>0</v>
      </c>
      <c r="AS96" s="283">
        <f>+Z96*$AS$12</f>
        <v>0</v>
      </c>
      <c r="AT96" s="283">
        <f>+AA96*$AT$12</f>
        <v>0</v>
      </c>
      <c r="AU96" s="283">
        <f>+AB96*$AU$12</f>
        <v>0</v>
      </c>
      <c r="AV96" s="283">
        <f>+AC96*$AV$12</f>
        <v>0</v>
      </c>
      <c r="AW96" s="319">
        <f>SUM(AF96:AV96)</f>
        <v>0</v>
      </c>
    </row>
    <row r="97" spans="1:49" x14ac:dyDescent="0.2">
      <c r="A97" s="18" t="s">
        <v>82</v>
      </c>
      <c r="B97" s="243">
        <v>0</v>
      </c>
      <c r="C97" s="243">
        <v>206208</v>
      </c>
      <c r="D97" s="2">
        <f t="shared" si="68"/>
        <v>25569.79</v>
      </c>
      <c r="E97" s="78">
        <f t="shared" ref="E97:E103" si="69">(B97+C97)*0.049</f>
        <v>10104.19</v>
      </c>
      <c r="F97" s="78">
        <f t="shared" si="67"/>
        <v>10805.3</v>
      </c>
      <c r="G97" s="2">
        <f t="shared" si="44"/>
        <v>18433.71</v>
      </c>
      <c r="H97" s="2">
        <f>(B97+C97)*0.0098+27.35</f>
        <v>2048.19</v>
      </c>
      <c r="I97" s="2">
        <f t="shared" si="45"/>
        <v>0</v>
      </c>
      <c r="J97" s="381">
        <f t="shared" si="41"/>
        <v>66961.179999999993</v>
      </c>
      <c r="K97" s="18"/>
      <c r="L97" s="243"/>
      <c r="M97" s="243"/>
      <c r="N97" s="243"/>
      <c r="O97" s="243">
        <v>209054</v>
      </c>
      <c r="P97" s="243"/>
      <c r="Q97" s="243"/>
      <c r="R97" s="243"/>
      <c r="S97" s="243"/>
      <c r="T97" s="243"/>
      <c r="U97" s="243"/>
      <c r="V97" s="243"/>
      <c r="W97" s="243">
        <v>-55</v>
      </c>
      <c r="X97" s="243"/>
      <c r="Y97" s="243"/>
      <c r="Z97" s="243"/>
      <c r="AA97" s="243"/>
      <c r="AB97" s="243"/>
      <c r="AC97" s="243"/>
      <c r="AD97" s="243">
        <f>SUM(L97:AC97)</f>
        <v>208999</v>
      </c>
      <c r="AE97" s="7"/>
      <c r="AF97" s="283">
        <f t="shared" si="46"/>
        <v>0</v>
      </c>
      <c r="AG97" s="283">
        <f t="shared" si="47"/>
        <v>0</v>
      </c>
      <c r="AH97" s="283">
        <f t="shared" si="48"/>
        <v>18438.560000000001</v>
      </c>
      <c r="AI97" s="283">
        <f t="shared" si="49"/>
        <v>0</v>
      </c>
      <c r="AJ97" s="283">
        <f t="shared" si="50"/>
        <v>0</v>
      </c>
      <c r="AK97" s="283">
        <f t="shared" si="51"/>
        <v>0</v>
      </c>
      <c r="AL97" s="283">
        <f t="shared" si="52"/>
        <v>0</v>
      </c>
      <c r="AM97" s="283">
        <f t="shared" si="53"/>
        <v>0</v>
      </c>
      <c r="AN97" s="283">
        <f t="shared" si="54"/>
        <v>0</v>
      </c>
      <c r="AO97" s="283">
        <f t="shared" si="55"/>
        <v>0</v>
      </c>
      <c r="AP97" s="283">
        <f t="shared" si="56"/>
        <v>-4.8499999999999996</v>
      </c>
      <c r="AQ97" s="283">
        <f t="shared" si="57"/>
        <v>0</v>
      </c>
      <c r="AR97" s="283">
        <f t="shared" si="58"/>
        <v>0</v>
      </c>
      <c r="AS97" s="283">
        <f t="shared" si="59"/>
        <v>0</v>
      </c>
      <c r="AT97" s="283">
        <f t="shared" si="60"/>
        <v>0</v>
      </c>
      <c r="AU97" s="283">
        <f t="shared" si="61"/>
        <v>0</v>
      </c>
      <c r="AV97" s="283">
        <f t="shared" si="62"/>
        <v>0</v>
      </c>
      <c r="AW97" s="319">
        <f t="shared" si="63"/>
        <v>18433.71</v>
      </c>
    </row>
    <row r="98" spans="1:49" x14ac:dyDescent="0.2">
      <c r="A98" s="18" t="s">
        <v>356</v>
      </c>
      <c r="B98" s="243">
        <v>67789</v>
      </c>
      <c r="C98" s="243">
        <v>313498</v>
      </c>
      <c r="D98" s="2">
        <f t="shared" si="68"/>
        <v>47279.59</v>
      </c>
      <c r="E98" s="78">
        <f t="shared" si="69"/>
        <v>18683.060000000001</v>
      </c>
      <c r="F98" s="78">
        <f t="shared" si="67"/>
        <v>19979.439999999999</v>
      </c>
      <c r="G98" s="2">
        <f t="shared" si="44"/>
        <v>33629.51</v>
      </c>
      <c r="H98" s="2">
        <f t="shared" si="65"/>
        <v>3736.61</v>
      </c>
      <c r="I98" s="2">
        <f t="shared" si="45"/>
        <v>1590.34</v>
      </c>
      <c r="J98" s="381">
        <f t="shared" si="41"/>
        <v>124898.55</v>
      </c>
      <c r="K98" s="18"/>
      <c r="L98" s="243"/>
      <c r="M98" s="243"/>
      <c r="N98" s="243"/>
      <c r="O98" s="243">
        <v>125256</v>
      </c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>
        <v>67789</v>
      </c>
      <c r="AA98" s="243"/>
      <c r="AB98" s="243">
        <v>188242</v>
      </c>
      <c r="AC98" s="243"/>
      <c r="AD98" s="243">
        <f>SUM(L98:AC98)</f>
        <v>381287</v>
      </c>
      <c r="AE98" s="7"/>
      <c r="AF98" s="283">
        <f t="shared" si="46"/>
        <v>0</v>
      </c>
      <c r="AG98" s="283">
        <f t="shared" si="47"/>
        <v>0</v>
      </c>
      <c r="AH98" s="283">
        <f t="shared" si="48"/>
        <v>11047.58</v>
      </c>
      <c r="AI98" s="283">
        <f t="shared" si="49"/>
        <v>0</v>
      </c>
      <c r="AJ98" s="283">
        <f t="shared" si="50"/>
        <v>0</v>
      </c>
      <c r="AK98" s="283">
        <f t="shared" si="51"/>
        <v>0</v>
      </c>
      <c r="AL98" s="283">
        <f t="shared" si="52"/>
        <v>0</v>
      </c>
      <c r="AM98" s="283">
        <f t="shared" si="53"/>
        <v>0</v>
      </c>
      <c r="AN98" s="283">
        <f t="shared" si="54"/>
        <v>0</v>
      </c>
      <c r="AO98" s="283">
        <f t="shared" si="55"/>
        <v>0</v>
      </c>
      <c r="AP98" s="283">
        <f t="shared" si="56"/>
        <v>0</v>
      </c>
      <c r="AQ98" s="283">
        <f t="shared" si="57"/>
        <v>0</v>
      </c>
      <c r="AR98" s="283">
        <f t="shared" si="58"/>
        <v>0</v>
      </c>
      <c r="AS98" s="283">
        <f t="shared" si="59"/>
        <v>5978.99</v>
      </c>
      <c r="AT98" s="283">
        <f t="shared" si="60"/>
        <v>0</v>
      </c>
      <c r="AU98" s="283">
        <f t="shared" si="61"/>
        <v>16602.939999999999</v>
      </c>
      <c r="AV98" s="283">
        <f t="shared" si="62"/>
        <v>0</v>
      </c>
      <c r="AW98" s="319">
        <f t="shared" si="63"/>
        <v>33629.51</v>
      </c>
    </row>
    <row r="99" spans="1:49" s="20" customFormat="1" x14ac:dyDescent="0.2">
      <c r="A99" s="18" t="s">
        <v>369</v>
      </c>
      <c r="B99" s="243">
        <v>316151</v>
      </c>
      <c r="C99" s="243">
        <v>353259</v>
      </c>
      <c r="D99" s="2">
        <f>(B99+C99)*0.124+0.01</f>
        <v>83006.850000000006</v>
      </c>
      <c r="E99" s="78">
        <f t="shared" si="69"/>
        <v>32801.089999999997</v>
      </c>
      <c r="F99" s="78">
        <f>(B99+C99)*0.0524</f>
        <v>35077.08</v>
      </c>
      <c r="G99" s="2">
        <f t="shared" si="44"/>
        <v>51929.61</v>
      </c>
      <c r="H99" s="2">
        <f>(B99+C99)*0.0098-0.01</f>
        <v>6560.21</v>
      </c>
      <c r="I99" s="2">
        <f t="shared" si="45"/>
        <v>2910.08</v>
      </c>
      <c r="J99" s="381">
        <f t="shared" si="41"/>
        <v>212284.92</v>
      </c>
      <c r="K99" s="18"/>
      <c r="L99" s="243"/>
      <c r="M99" s="243"/>
      <c r="N99" s="243"/>
      <c r="O99" s="243">
        <v>59328</v>
      </c>
      <c r="P99" s="243">
        <v>145150</v>
      </c>
      <c r="Q99" s="243"/>
      <c r="R99" s="243"/>
      <c r="S99" s="243"/>
      <c r="T99" s="243">
        <v>120479</v>
      </c>
      <c r="U99" s="243"/>
      <c r="V99" s="243"/>
      <c r="W99" s="243"/>
      <c r="X99" s="243"/>
      <c r="Y99" s="243"/>
      <c r="Z99" s="243"/>
      <c r="AA99" s="243"/>
      <c r="AB99" s="243">
        <v>344453</v>
      </c>
      <c r="AC99" s="243"/>
      <c r="AD99" s="243">
        <f t="shared" ref="AD99:AD110" si="70">SUM(L99:AC99)</f>
        <v>669410</v>
      </c>
      <c r="AE99" s="243"/>
      <c r="AF99" s="283">
        <f t="shared" si="46"/>
        <v>0</v>
      </c>
      <c r="AG99" s="283">
        <f t="shared" si="47"/>
        <v>0</v>
      </c>
      <c r="AH99" s="283">
        <f t="shared" si="48"/>
        <v>5232.7299999999996</v>
      </c>
      <c r="AI99" s="283">
        <f t="shared" si="49"/>
        <v>5689.88</v>
      </c>
      <c r="AJ99" s="283">
        <f t="shared" si="50"/>
        <v>0</v>
      </c>
      <c r="AK99" s="283">
        <f t="shared" si="51"/>
        <v>0</v>
      </c>
      <c r="AL99" s="283">
        <f t="shared" si="52"/>
        <v>0</v>
      </c>
      <c r="AM99" s="283">
        <f t="shared" si="53"/>
        <v>10626.25</v>
      </c>
      <c r="AN99" s="283">
        <f t="shared" si="54"/>
        <v>0</v>
      </c>
      <c r="AO99" s="283">
        <f t="shared" si="55"/>
        <v>0</v>
      </c>
      <c r="AP99" s="283">
        <f t="shared" si="56"/>
        <v>0</v>
      </c>
      <c r="AQ99" s="283">
        <f t="shared" si="57"/>
        <v>0</v>
      </c>
      <c r="AR99" s="283">
        <f t="shared" si="58"/>
        <v>0</v>
      </c>
      <c r="AS99" s="283">
        <f t="shared" si="59"/>
        <v>0</v>
      </c>
      <c r="AT99" s="283">
        <f t="shared" si="60"/>
        <v>0</v>
      </c>
      <c r="AU99" s="283">
        <f t="shared" si="61"/>
        <v>30380.75</v>
      </c>
      <c r="AV99" s="283">
        <f t="shared" si="62"/>
        <v>0</v>
      </c>
      <c r="AW99" s="319">
        <f t="shared" si="63"/>
        <v>51929.61</v>
      </c>
    </row>
    <row r="100" spans="1:49" x14ac:dyDescent="0.2">
      <c r="A100" s="1" t="s">
        <v>67</v>
      </c>
      <c r="B100" s="7">
        <v>161138</v>
      </c>
      <c r="C100" s="7">
        <v>45132</v>
      </c>
      <c r="D100" s="2">
        <f t="shared" si="68"/>
        <v>25577.48</v>
      </c>
      <c r="E100" s="2">
        <f t="shared" si="69"/>
        <v>10107.23</v>
      </c>
      <c r="F100" s="2">
        <f>(B100+C100)*0.0524</f>
        <v>10808.55</v>
      </c>
      <c r="G100" s="2">
        <f t="shared" si="44"/>
        <v>18193.009999999998</v>
      </c>
      <c r="H100" s="2">
        <f>(B100+C100)*0.0098-0.01</f>
        <v>2021.44</v>
      </c>
      <c r="I100" s="2">
        <f t="shared" si="45"/>
        <v>381.29</v>
      </c>
      <c r="J100" s="381">
        <f t="shared" si="41"/>
        <v>67089</v>
      </c>
      <c r="K100" s="1"/>
      <c r="L100" s="7"/>
      <c r="M100" s="7"/>
      <c r="N100" s="7">
        <v>44614</v>
      </c>
      <c r="O100" s="7"/>
      <c r="P100" s="7"/>
      <c r="Q100" s="7"/>
      <c r="R100" s="7"/>
      <c r="S100" s="7"/>
      <c r="T100" s="7"/>
      <c r="U100" s="7"/>
      <c r="V100" s="7"/>
      <c r="W100" s="7">
        <v>54785</v>
      </c>
      <c r="X100" s="7">
        <v>61739</v>
      </c>
      <c r="Y100" s="7"/>
      <c r="Z100" s="7"/>
      <c r="AA100" s="7"/>
      <c r="AB100" s="7">
        <v>45132</v>
      </c>
      <c r="AC100" s="7"/>
      <c r="AD100" s="7">
        <f t="shared" si="70"/>
        <v>206270</v>
      </c>
      <c r="AE100" s="1"/>
      <c r="AF100" s="283">
        <f t="shared" si="46"/>
        <v>0</v>
      </c>
      <c r="AG100" s="283">
        <f t="shared" si="47"/>
        <v>3934.95</v>
      </c>
      <c r="AH100" s="283">
        <f t="shared" si="48"/>
        <v>0</v>
      </c>
      <c r="AI100" s="283">
        <f t="shared" si="49"/>
        <v>0</v>
      </c>
      <c r="AJ100" s="283">
        <f t="shared" si="50"/>
        <v>0</v>
      </c>
      <c r="AK100" s="283">
        <f t="shared" si="51"/>
        <v>0</v>
      </c>
      <c r="AL100" s="283">
        <f t="shared" si="52"/>
        <v>0</v>
      </c>
      <c r="AM100" s="283">
        <f t="shared" si="53"/>
        <v>0</v>
      </c>
      <c r="AN100" s="283">
        <f t="shared" si="54"/>
        <v>0</v>
      </c>
      <c r="AO100" s="283">
        <f t="shared" si="55"/>
        <v>0</v>
      </c>
      <c r="AP100" s="283">
        <f t="shared" si="56"/>
        <v>4832.04</v>
      </c>
      <c r="AQ100" s="283">
        <f t="shared" si="57"/>
        <v>5445.38</v>
      </c>
      <c r="AR100" s="283">
        <f t="shared" si="58"/>
        <v>0</v>
      </c>
      <c r="AS100" s="283">
        <f t="shared" si="59"/>
        <v>0</v>
      </c>
      <c r="AT100" s="283">
        <f t="shared" si="60"/>
        <v>0</v>
      </c>
      <c r="AU100" s="283">
        <f t="shared" si="61"/>
        <v>3980.64</v>
      </c>
      <c r="AV100" s="283">
        <f t="shared" si="62"/>
        <v>0</v>
      </c>
      <c r="AW100" s="319">
        <f t="shared" si="63"/>
        <v>18193.009999999998</v>
      </c>
    </row>
    <row r="101" spans="1:49" s="89" customFormat="1" x14ac:dyDescent="0.2">
      <c r="A101" s="18" t="s">
        <v>68</v>
      </c>
      <c r="B101" s="243">
        <v>201522</v>
      </c>
      <c r="C101" s="243">
        <v>0</v>
      </c>
      <c r="D101" s="2">
        <f t="shared" si="68"/>
        <v>24988.73</v>
      </c>
      <c r="E101" s="78">
        <f t="shared" si="69"/>
        <v>9874.58</v>
      </c>
      <c r="F101" s="78">
        <f>(B101+C101)*0.0524</f>
        <v>10559.75</v>
      </c>
      <c r="G101" s="2">
        <f t="shared" si="44"/>
        <v>17761.05</v>
      </c>
      <c r="H101" s="2">
        <f t="shared" si="65"/>
        <v>1974.92</v>
      </c>
      <c r="I101" s="2">
        <f t="shared" si="45"/>
        <v>1700.27</v>
      </c>
      <c r="J101" s="381">
        <f t="shared" si="41"/>
        <v>66859.3</v>
      </c>
      <c r="K101" s="18"/>
      <c r="L101" s="243"/>
      <c r="M101" s="243"/>
      <c r="N101" s="243"/>
      <c r="O101" s="243"/>
      <c r="P101" s="243">
        <v>269</v>
      </c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>
        <v>201253</v>
      </c>
      <c r="AC101" s="243"/>
      <c r="AD101" s="243">
        <f t="shared" si="70"/>
        <v>201522</v>
      </c>
      <c r="AE101" s="91"/>
      <c r="AF101" s="283">
        <f t="shared" si="46"/>
        <v>0</v>
      </c>
      <c r="AG101" s="283">
        <f t="shared" si="47"/>
        <v>0</v>
      </c>
      <c r="AH101" s="283">
        <f t="shared" si="48"/>
        <v>0</v>
      </c>
      <c r="AI101" s="283">
        <f t="shared" si="49"/>
        <v>10.54</v>
      </c>
      <c r="AJ101" s="283">
        <f t="shared" si="50"/>
        <v>0</v>
      </c>
      <c r="AK101" s="283">
        <f t="shared" si="51"/>
        <v>0</v>
      </c>
      <c r="AL101" s="283">
        <f t="shared" si="52"/>
        <v>0</v>
      </c>
      <c r="AM101" s="283">
        <f t="shared" si="53"/>
        <v>0</v>
      </c>
      <c r="AN101" s="283">
        <f t="shared" si="54"/>
        <v>0</v>
      </c>
      <c r="AO101" s="283">
        <f t="shared" si="55"/>
        <v>0</v>
      </c>
      <c r="AP101" s="283">
        <f t="shared" si="56"/>
        <v>0</v>
      </c>
      <c r="AQ101" s="283">
        <f t="shared" si="57"/>
        <v>0</v>
      </c>
      <c r="AR101" s="283">
        <f t="shared" si="58"/>
        <v>0</v>
      </c>
      <c r="AS101" s="283">
        <f t="shared" si="59"/>
        <v>0</v>
      </c>
      <c r="AT101" s="283">
        <f t="shared" si="60"/>
        <v>0</v>
      </c>
      <c r="AU101" s="283">
        <f t="shared" si="61"/>
        <v>17750.509999999998</v>
      </c>
      <c r="AV101" s="283">
        <f t="shared" si="62"/>
        <v>0</v>
      </c>
      <c r="AW101" s="319">
        <f t="shared" si="63"/>
        <v>17761.05</v>
      </c>
    </row>
    <row r="102" spans="1:49" x14ac:dyDescent="0.2">
      <c r="A102" s="1" t="s">
        <v>577</v>
      </c>
      <c r="B102" s="7">
        <v>350430</v>
      </c>
      <c r="C102" s="7">
        <v>6392449</v>
      </c>
      <c r="D102" s="2">
        <f>(B102+C102)*0.124-0.01</f>
        <v>836116.99</v>
      </c>
      <c r="E102" s="2">
        <f t="shared" si="69"/>
        <v>330401.07</v>
      </c>
      <c r="F102" s="2">
        <f>(B102+C102)*0.0524</f>
        <v>353326.86</v>
      </c>
      <c r="G102" s="2">
        <f t="shared" si="44"/>
        <v>587719.64</v>
      </c>
      <c r="H102" s="2">
        <f t="shared" si="65"/>
        <v>66080.210000000006</v>
      </c>
      <c r="I102" s="2">
        <f t="shared" si="45"/>
        <v>13339.55</v>
      </c>
      <c r="J102" s="381">
        <f t="shared" si="41"/>
        <v>2186984.3199999998</v>
      </c>
      <c r="K102" s="1"/>
      <c r="L102" s="7"/>
      <c r="M102" s="7">
        <v>191243</v>
      </c>
      <c r="N102" s="7"/>
      <c r="O102" s="7">
        <v>4784036</v>
      </c>
      <c r="P102" s="7">
        <v>142904</v>
      </c>
      <c r="Q102" s="7"/>
      <c r="R102" s="7"/>
      <c r="S102" s="7"/>
      <c r="T102" s="7"/>
      <c r="U102" s="7"/>
      <c r="V102" s="7"/>
      <c r="W102" s="7">
        <v>45752</v>
      </c>
      <c r="X102" s="7"/>
      <c r="Y102" s="7"/>
      <c r="Z102" s="7"/>
      <c r="AA102" s="7"/>
      <c r="AB102" s="7">
        <v>1578944</v>
      </c>
      <c r="AC102" s="7"/>
      <c r="AD102" s="7">
        <f>SUM(L102:AC102)</f>
        <v>6742879</v>
      </c>
      <c r="AE102" s="7"/>
      <c r="AF102" s="283">
        <f t="shared" si="46"/>
        <v>16867.63</v>
      </c>
      <c r="AG102" s="283">
        <f t="shared" si="47"/>
        <v>0</v>
      </c>
      <c r="AH102" s="283">
        <f t="shared" si="48"/>
        <v>421951.98</v>
      </c>
      <c r="AI102" s="283">
        <f t="shared" si="49"/>
        <v>5601.84</v>
      </c>
      <c r="AJ102" s="283">
        <f t="shared" si="50"/>
        <v>0</v>
      </c>
      <c r="AK102" s="283">
        <f t="shared" si="51"/>
        <v>0</v>
      </c>
      <c r="AL102" s="283">
        <f t="shared" si="52"/>
        <v>0</v>
      </c>
      <c r="AM102" s="283">
        <f t="shared" si="53"/>
        <v>0</v>
      </c>
      <c r="AN102" s="283">
        <f t="shared" si="54"/>
        <v>0</v>
      </c>
      <c r="AO102" s="283">
        <f t="shared" si="55"/>
        <v>0</v>
      </c>
      <c r="AP102" s="283">
        <f t="shared" si="56"/>
        <v>4035.33</v>
      </c>
      <c r="AQ102" s="283">
        <f t="shared" si="57"/>
        <v>0</v>
      </c>
      <c r="AR102" s="283">
        <f t="shared" si="58"/>
        <v>0</v>
      </c>
      <c r="AS102" s="283">
        <f t="shared" si="59"/>
        <v>0</v>
      </c>
      <c r="AT102" s="283">
        <f t="shared" si="60"/>
        <v>0</v>
      </c>
      <c r="AU102" s="283">
        <f t="shared" si="61"/>
        <v>139262.85999999999</v>
      </c>
      <c r="AV102" s="283">
        <f t="shared" si="62"/>
        <v>0</v>
      </c>
      <c r="AW102" s="319">
        <f t="shared" si="63"/>
        <v>587719.64</v>
      </c>
    </row>
    <row r="103" spans="1:49" ht="12.75" customHeight="1" x14ac:dyDescent="0.2">
      <c r="A103" s="1" t="s">
        <v>724</v>
      </c>
      <c r="B103" s="7">
        <v>14892</v>
      </c>
      <c r="C103" s="7">
        <v>0</v>
      </c>
      <c r="D103" s="2">
        <f>(B103+C103)*0.124</f>
        <v>1846.61</v>
      </c>
      <c r="E103" s="2">
        <f t="shared" si="69"/>
        <v>729.71</v>
      </c>
      <c r="F103" s="2">
        <f>(B103+C103)*0.0524</f>
        <v>780.34</v>
      </c>
      <c r="G103" s="2">
        <f>+AW103</f>
        <v>1313.47</v>
      </c>
      <c r="H103" s="2">
        <f>(B103+C103)*0.0098</f>
        <v>145.94</v>
      </c>
      <c r="I103" s="2">
        <f>(AB103)*0.0084484</f>
        <v>0</v>
      </c>
      <c r="J103" s="381">
        <f>SUM(D103:I103)</f>
        <v>4816.07</v>
      </c>
      <c r="K103" s="1"/>
      <c r="L103" s="7"/>
      <c r="M103" s="7"/>
      <c r="N103" s="7"/>
      <c r="O103" s="7">
        <v>14892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>
        <f>SUM(L103:AC103)</f>
        <v>14892</v>
      </c>
      <c r="AF103" s="283">
        <f>+M103*$AF$12</f>
        <v>0</v>
      </c>
      <c r="AG103" s="283">
        <f>+N103*$AG$12</f>
        <v>0</v>
      </c>
      <c r="AH103" s="283">
        <f>+O103*$AH$12</f>
        <v>1313.47</v>
      </c>
      <c r="AI103" s="283">
        <f>+P103*$AI$12</f>
        <v>0</v>
      </c>
      <c r="AJ103" s="283">
        <f>+Q103*$AJ$12</f>
        <v>0</v>
      </c>
      <c r="AK103" s="283">
        <f>+R103*$AK$12</f>
        <v>0</v>
      </c>
      <c r="AL103" s="283">
        <f>+S103*$AL$12</f>
        <v>0</v>
      </c>
      <c r="AM103" s="283">
        <f>+T103*$AM$12</f>
        <v>0</v>
      </c>
      <c r="AN103" s="283">
        <f>+U103*$AN$12</f>
        <v>0</v>
      </c>
      <c r="AO103" s="283">
        <f>+V103*$AO$12</f>
        <v>0</v>
      </c>
      <c r="AP103" s="283">
        <f>+W103*$AP$12</f>
        <v>0</v>
      </c>
      <c r="AQ103" s="283">
        <f>+X103*$AQ$12</f>
        <v>0</v>
      </c>
      <c r="AR103" s="283">
        <f>+Y103*$AR$12</f>
        <v>0</v>
      </c>
      <c r="AS103" s="283">
        <f>+Z103*$AS$12</f>
        <v>0</v>
      </c>
      <c r="AT103" s="283">
        <f>+AA103*$AT$12</f>
        <v>0</v>
      </c>
      <c r="AU103" s="283">
        <f>+AB103*$AU$12</f>
        <v>0</v>
      </c>
      <c r="AV103" s="283">
        <f>+AC103*$AV$12</f>
        <v>0</v>
      </c>
      <c r="AW103" s="319">
        <f>SUM(AF103:AV103)</f>
        <v>1313.47</v>
      </c>
    </row>
    <row r="104" spans="1:49" x14ac:dyDescent="0.2">
      <c r="A104" s="1" t="s">
        <v>444</v>
      </c>
      <c r="B104" s="7">
        <v>85496</v>
      </c>
      <c r="C104" s="7">
        <v>0</v>
      </c>
      <c r="D104" s="2">
        <f>(B104+C104)*0.124+0.01</f>
        <v>10601.51</v>
      </c>
      <c r="E104" s="2">
        <f t="shared" ref="E104:E110" si="71">(B104+C104)*0.049</f>
        <v>4189.3</v>
      </c>
      <c r="F104" s="2">
        <f t="shared" ref="F104:F110" si="72">(B104+C104)*0.0524</f>
        <v>4479.99</v>
      </c>
      <c r="G104" s="2">
        <f t="shared" si="44"/>
        <v>7540.75</v>
      </c>
      <c r="H104" s="2">
        <f t="shared" si="65"/>
        <v>837.86</v>
      </c>
      <c r="I104" s="2">
        <f t="shared" si="45"/>
        <v>80.819999999999993</v>
      </c>
      <c r="J104" s="381">
        <f t="shared" si="41"/>
        <v>27730.23</v>
      </c>
      <c r="K104" s="1"/>
      <c r="L104" s="7"/>
      <c r="M104" s="7"/>
      <c r="N104" s="7"/>
      <c r="O104" s="7">
        <v>75930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>
        <v>9566</v>
      </c>
      <c r="AC104" s="7"/>
      <c r="AD104" s="7">
        <f t="shared" si="70"/>
        <v>85496</v>
      </c>
      <c r="AF104" s="283">
        <f t="shared" si="46"/>
        <v>0</v>
      </c>
      <c r="AG104" s="283">
        <f t="shared" si="47"/>
        <v>0</v>
      </c>
      <c r="AH104" s="283">
        <f t="shared" si="48"/>
        <v>6697.03</v>
      </c>
      <c r="AI104" s="283">
        <f t="shared" si="49"/>
        <v>0</v>
      </c>
      <c r="AJ104" s="283">
        <f t="shared" si="50"/>
        <v>0</v>
      </c>
      <c r="AK104" s="283">
        <f t="shared" si="51"/>
        <v>0</v>
      </c>
      <c r="AL104" s="283">
        <f t="shared" si="52"/>
        <v>0</v>
      </c>
      <c r="AM104" s="283">
        <f t="shared" si="53"/>
        <v>0</v>
      </c>
      <c r="AN104" s="283">
        <f t="shared" si="54"/>
        <v>0</v>
      </c>
      <c r="AO104" s="283">
        <f t="shared" si="55"/>
        <v>0</v>
      </c>
      <c r="AP104" s="283">
        <f t="shared" si="56"/>
        <v>0</v>
      </c>
      <c r="AQ104" s="283">
        <f t="shared" si="57"/>
        <v>0</v>
      </c>
      <c r="AR104" s="283">
        <f t="shared" si="58"/>
        <v>0</v>
      </c>
      <c r="AS104" s="283">
        <f t="shared" si="59"/>
        <v>0</v>
      </c>
      <c r="AT104" s="283">
        <f t="shared" si="60"/>
        <v>0</v>
      </c>
      <c r="AU104" s="283">
        <f t="shared" si="61"/>
        <v>843.72</v>
      </c>
      <c r="AV104" s="283">
        <f t="shared" si="62"/>
        <v>0</v>
      </c>
      <c r="AW104" s="319">
        <f t="shared" si="63"/>
        <v>7540.75</v>
      </c>
    </row>
    <row r="105" spans="1:49" x14ac:dyDescent="0.2">
      <c r="A105" s="1" t="s">
        <v>494</v>
      </c>
      <c r="B105" s="7">
        <v>214</v>
      </c>
      <c r="C105" s="7">
        <v>0</v>
      </c>
      <c r="D105" s="2">
        <f t="shared" si="68"/>
        <v>26.54</v>
      </c>
      <c r="E105" s="2">
        <f>(B105+C105)*0.049</f>
        <v>10.49</v>
      </c>
      <c r="F105" s="2">
        <f>(B105+C105)*0.0524</f>
        <v>11.21</v>
      </c>
      <c r="G105" s="2">
        <f t="shared" si="44"/>
        <v>18.87</v>
      </c>
      <c r="H105" s="2">
        <f t="shared" si="65"/>
        <v>2.1</v>
      </c>
      <c r="I105" s="2">
        <f t="shared" si="45"/>
        <v>0</v>
      </c>
      <c r="J105" s="381">
        <f t="shared" si="41"/>
        <v>69.209999999999994</v>
      </c>
      <c r="K105" s="1"/>
      <c r="L105" s="7"/>
      <c r="M105" s="7"/>
      <c r="N105" s="7"/>
      <c r="O105" s="7">
        <v>214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>
        <f>SUM(L105:AC105)</f>
        <v>214</v>
      </c>
      <c r="AF105" s="283">
        <f t="shared" si="46"/>
        <v>0</v>
      </c>
      <c r="AG105" s="283">
        <f t="shared" si="47"/>
        <v>0</v>
      </c>
      <c r="AH105" s="283">
        <f t="shared" si="48"/>
        <v>18.87</v>
      </c>
      <c r="AI105" s="283">
        <f t="shared" si="49"/>
        <v>0</v>
      </c>
      <c r="AJ105" s="283">
        <f t="shared" si="50"/>
        <v>0</v>
      </c>
      <c r="AK105" s="283">
        <f t="shared" si="51"/>
        <v>0</v>
      </c>
      <c r="AL105" s="283">
        <f t="shared" si="52"/>
        <v>0</v>
      </c>
      <c r="AM105" s="283">
        <f t="shared" si="53"/>
        <v>0</v>
      </c>
      <c r="AN105" s="283">
        <f t="shared" si="54"/>
        <v>0</v>
      </c>
      <c r="AO105" s="283">
        <f t="shared" si="55"/>
        <v>0</v>
      </c>
      <c r="AP105" s="283">
        <f t="shared" si="56"/>
        <v>0</v>
      </c>
      <c r="AQ105" s="283">
        <f t="shared" si="57"/>
        <v>0</v>
      </c>
      <c r="AR105" s="283">
        <f t="shared" si="58"/>
        <v>0</v>
      </c>
      <c r="AS105" s="283">
        <f t="shared" si="59"/>
        <v>0</v>
      </c>
      <c r="AT105" s="283">
        <f t="shared" si="60"/>
        <v>0</v>
      </c>
      <c r="AU105" s="283">
        <f t="shared" si="61"/>
        <v>0</v>
      </c>
      <c r="AV105" s="283">
        <f t="shared" si="62"/>
        <v>0</v>
      </c>
      <c r="AW105" s="319">
        <f t="shared" si="63"/>
        <v>18.87</v>
      </c>
    </row>
    <row r="106" spans="1:49" x14ac:dyDescent="0.2">
      <c r="A106" s="1" t="s">
        <v>83</v>
      </c>
      <c r="B106" s="7">
        <v>950</v>
      </c>
      <c r="C106" s="7">
        <v>18600</v>
      </c>
      <c r="D106" s="2">
        <f t="shared" si="68"/>
        <v>2424.1999999999998</v>
      </c>
      <c r="E106" s="2">
        <f t="shared" si="71"/>
        <v>957.95</v>
      </c>
      <c r="F106" s="2">
        <f t="shared" si="72"/>
        <v>1024.42</v>
      </c>
      <c r="G106" s="2">
        <f t="shared" si="44"/>
        <v>1677.76</v>
      </c>
      <c r="H106" s="2">
        <f t="shared" si="65"/>
        <v>191.59</v>
      </c>
      <c r="I106" s="2">
        <f t="shared" si="45"/>
        <v>0</v>
      </c>
      <c r="J106" s="381">
        <f t="shared" si="41"/>
        <v>6275.92</v>
      </c>
      <c r="K106" s="1"/>
      <c r="L106" s="7"/>
      <c r="M106" s="7"/>
      <c r="N106" s="7"/>
      <c r="O106" s="7"/>
      <c r="P106" s="7"/>
      <c r="Q106" s="7">
        <v>950</v>
      </c>
      <c r="R106" s="7"/>
      <c r="S106" s="7"/>
      <c r="T106" s="7">
        <v>18600</v>
      </c>
      <c r="U106" s="7"/>
      <c r="V106" s="7"/>
      <c r="W106" s="7"/>
      <c r="X106" s="7"/>
      <c r="Y106" s="7"/>
      <c r="Z106" s="7"/>
      <c r="AA106" s="7"/>
      <c r="AB106" s="7"/>
      <c r="AC106" s="7"/>
      <c r="AD106" s="7">
        <f t="shared" si="70"/>
        <v>19550</v>
      </c>
      <c r="AF106" s="283">
        <f t="shared" si="46"/>
        <v>0</v>
      </c>
      <c r="AG106" s="283">
        <f t="shared" si="47"/>
        <v>0</v>
      </c>
      <c r="AH106" s="283">
        <f t="shared" si="48"/>
        <v>0</v>
      </c>
      <c r="AI106" s="283">
        <f t="shared" si="49"/>
        <v>0</v>
      </c>
      <c r="AJ106" s="283">
        <f t="shared" si="50"/>
        <v>37.24</v>
      </c>
      <c r="AK106" s="283">
        <f t="shared" si="51"/>
        <v>0</v>
      </c>
      <c r="AL106" s="283">
        <f t="shared" si="52"/>
        <v>0</v>
      </c>
      <c r="AM106" s="283">
        <f t="shared" si="53"/>
        <v>1640.52</v>
      </c>
      <c r="AN106" s="283">
        <f t="shared" si="54"/>
        <v>0</v>
      </c>
      <c r="AO106" s="283">
        <f t="shared" si="55"/>
        <v>0</v>
      </c>
      <c r="AP106" s="283">
        <f t="shared" si="56"/>
        <v>0</v>
      </c>
      <c r="AQ106" s="283">
        <f t="shared" si="57"/>
        <v>0</v>
      </c>
      <c r="AR106" s="283">
        <f t="shared" si="58"/>
        <v>0</v>
      </c>
      <c r="AS106" s="283">
        <f t="shared" si="59"/>
        <v>0</v>
      </c>
      <c r="AT106" s="283">
        <f t="shared" si="60"/>
        <v>0</v>
      </c>
      <c r="AU106" s="283">
        <f t="shared" si="61"/>
        <v>0</v>
      </c>
      <c r="AV106" s="283">
        <f t="shared" si="62"/>
        <v>0</v>
      </c>
      <c r="AW106" s="319">
        <f t="shared" si="63"/>
        <v>1677.76</v>
      </c>
    </row>
    <row r="107" spans="1:49" x14ac:dyDescent="0.2">
      <c r="A107" s="18" t="s">
        <v>578</v>
      </c>
      <c r="B107" s="243">
        <v>73825</v>
      </c>
      <c r="C107" s="243">
        <v>11474</v>
      </c>
      <c r="D107" s="2">
        <f>(B107+C107)*0.124-0.03</f>
        <v>10577.05</v>
      </c>
      <c r="E107" s="78">
        <f>(B107+C107)*0.049</f>
        <v>4179.6499999999996</v>
      </c>
      <c r="F107" s="78">
        <f>(B107+C107)*0.0524</f>
        <v>4469.67</v>
      </c>
      <c r="G107" s="2">
        <f t="shared" si="44"/>
        <v>7523.38</v>
      </c>
      <c r="H107" s="2">
        <f>(B107+C107)*0.0098+0.01</f>
        <v>835.94</v>
      </c>
      <c r="I107" s="2">
        <f t="shared" si="45"/>
        <v>623.70000000000005</v>
      </c>
      <c r="J107" s="381">
        <f t="shared" si="41"/>
        <v>28209.39</v>
      </c>
      <c r="K107" s="18"/>
      <c r="L107" s="243"/>
      <c r="M107" s="243"/>
      <c r="N107" s="243"/>
      <c r="O107" s="243">
        <v>11474</v>
      </c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>
        <v>73825</v>
      </c>
      <c r="AC107" s="243"/>
      <c r="AD107" s="243">
        <f>SUM(L107:AC107)</f>
        <v>85299</v>
      </c>
      <c r="AF107" s="283">
        <f t="shared" si="46"/>
        <v>0</v>
      </c>
      <c r="AG107" s="283">
        <f t="shared" si="47"/>
        <v>0</v>
      </c>
      <c r="AH107" s="283">
        <f t="shared" si="48"/>
        <v>1012.01</v>
      </c>
      <c r="AI107" s="283">
        <f t="shared" si="49"/>
        <v>0</v>
      </c>
      <c r="AJ107" s="283">
        <f t="shared" si="50"/>
        <v>0</v>
      </c>
      <c r="AK107" s="283">
        <f t="shared" si="51"/>
        <v>0</v>
      </c>
      <c r="AL107" s="283">
        <f t="shared" si="52"/>
        <v>0</v>
      </c>
      <c r="AM107" s="283">
        <f t="shared" si="53"/>
        <v>0</v>
      </c>
      <c r="AN107" s="283">
        <f t="shared" si="54"/>
        <v>0</v>
      </c>
      <c r="AO107" s="283">
        <f t="shared" si="55"/>
        <v>0</v>
      </c>
      <c r="AP107" s="283">
        <f t="shared" si="56"/>
        <v>0</v>
      </c>
      <c r="AQ107" s="283">
        <f t="shared" si="57"/>
        <v>0</v>
      </c>
      <c r="AR107" s="283">
        <f t="shared" si="58"/>
        <v>0</v>
      </c>
      <c r="AS107" s="283">
        <f t="shared" si="59"/>
        <v>0</v>
      </c>
      <c r="AT107" s="283">
        <f t="shared" si="60"/>
        <v>0</v>
      </c>
      <c r="AU107" s="283">
        <f t="shared" si="61"/>
        <v>6511.37</v>
      </c>
      <c r="AV107" s="283">
        <f t="shared" si="62"/>
        <v>0</v>
      </c>
      <c r="AW107" s="319">
        <f t="shared" si="63"/>
        <v>7523.38</v>
      </c>
    </row>
    <row r="108" spans="1:49" x14ac:dyDescent="0.2">
      <c r="A108" s="1" t="s">
        <v>771</v>
      </c>
      <c r="B108" s="7"/>
      <c r="C108" s="7"/>
      <c r="D108" s="2">
        <f>(B108+C108)*0.124+0.03</f>
        <v>0.03</v>
      </c>
      <c r="E108" s="2">
        <f>(B108+C108)*0.049</f>
        <v>0</v>
      </c>
      <c r="F108" s="2">
        <f>(B108+C108)*0.0524</f>
        <v>0</v>
      </c>
      <c r="G108" s="2">
        <f>+AW108</f>
        <v>0</v>
      </c>
      <c r="H108" s="2">
        <f>(B108+C108)*0.0098</f>
        <v>0</v>
      </c>
      <c r="I108" s="2">
        <f>(AB108)*0.0084484</f>
        <v>0</v>
      </c>
      <c r="J108" s="381">
        <f>SUM(D108:I108)</f>
        <v>0.03</v>
      </c>
      <c r="K108" s="1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>
        <f>SUM(L108:AC108)</f>
        <v>0</v>
      </c>
      <c r="AF108" s="283">
        <f>+M108*$AF$12</f>
        <v>0</v>
      </c>
      <c r="AG108" s="283">
        <f>+N108*$AG$12</f>
        <v>0</v>
      </c>
      <c r="AH108" s="283">
        <f>+O108*$AH$12</f>
        <v>0</v>
      </c>
      <c r="AI108" s="283">
        <f>+P108*$AI$12</f>
        <v>0</v>
      </c>
      <c r="AJ108" s="283">
        <f>+Q108*$AJ$12</f>
        <v>0</v>
      </c>
      <c r="AK108" s="283">
        <f>+R108*$AK$12</f>
        <v>0</v>
      </c>
      <c r="AL108" s="283">
        <f>+S108*$AL$12</f>
        <v>0</v>
      </c>
      <c r="AM108" s="283">
        <f>+T108*$AM$12</f>
        <v>0</v>
      </c>
      <c r="AN108" s="283">
        <f>+U108*$AN$12</f>
        <v>0</v>
      </c>
      <c r="AO108" s="283">
        <f>+V108*$AO$12</f>
        <v>0</v>
      </c>
      <c r="AP108" s="283">
        <f>+W108*$AP$12</f>
        <v>0</v>
      </c>
      <c r="AQ108" s="283">
        <f>+X108*$AQ$12</f>
        <v>0</v>
      </c>
      <c r="AR108" s="283">
        <f>+Y108*$AR$12</f>
        <v>0</v>
      </c>
      <c r="AS108" s="283">
        <f>+Z108*$AS$12</f>
        <v>0</v>
      </c>
      <c r="AT108" s="283">
        <f>+AA108*$AT$12</f>
        <v>0</v>
      </c>
      <c r="AU108" s="283">
        <f>+AB108*$AU$12</f>
        <v>0</v>
      </c>
      <c r="AV108" s="283">
        <f>+AC108*$AV$12</f>
        <v>0</v>
      </c>
      <c r="AW108" s="319">
        <f>SUM(AF108:AV108)</f>
        <v>0</v>
      </c>
    </row>
    <row r="109" spans="1:49" x14ac:dyDescent="0.2">
      <c r="A109" s="18" t="s">
        <v>69</v>
      </c>
      <c r="B109" s="243">
        <v>213930</v>
      </c>
      <c r="C109" s="243">
        <v>0</v>
      </c>
      <c r="D109" s="2">
        <f t="shared" si="68"/>
        <v>26527.32</v>
      </c>
      <c r="E109" s="78">
        <f t="shared" si="71"/>
        <v>10482.57</v>
      </c>
      <c r="F109" s="78">
        <f t="shared" si="72"/>
        <v>11209.93</v>
      </c>
      <c r="G109" s="2">
        <f t="shared" si="44"/>
        <v>18868.63</v>
      </c>
      <c r="H109" s="2">
        <f t="shared" si="65"/>
        <v>2096.5100000000002</v>
      </c>
      <c r="I109" s="2">
        <f t="shared" si="45"/>
        <v>1807.37</v>
      </c>
      <c r="J109" s="381">
        <f>SUM(D109:I109)</f>
        <v>70992.33</v>
      </c>
      <c r="K109" s="18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7">
        <v>213930</v>
      </c>
      <c r="AC109" s="243"/>
      <c r="AD109" s="243">
        <f t="shared" si="70"/>
        <v>213930</v>
      </c>
      <c r="AF109" s="283">
        <f t="shared" si="46"/>
        <v>0</v>
      </c>
      <c r="AG109" s="283">
        <f t="shared" si="47"/>
        <v>0</v>
      </c>
      <c r="AH109" s="283">
        <f t="shared" si="48"/>
        <v>0</v>
      </c>
      <c r="AI109" s="283">
        <f t="shared" si="49"/>
        <v>0</v>
      </c>
      <c r="AJ109" s="283">
        <f t="shared" si="50"/>
        <v>0</v>
      </c>
      <c r="AK109" s="283">
        <f t="shared" si="51"/>
        <v>0</v>
      </c>
      <c r="AL109" s="283">
        <f t="shared" si="52"/>
        <v>0</v>
      </c>
      <c r="AM109" s="283">
        <f t="shared" si="53"/>
        <v>0</v>
      </c>
      <c r="AN109" s="283">
        <f t="shared" si="54"/>
        <v>0</v>
      </c>
      <c r="AO109" s="283">
        <f t="shared" si="55"/>
        <v>0</v>
      </c>
      <c r="AP109" s="283">
        <f t="shared" si="56"/>
        <v>0</v>
      </c>
      <c r="AQ109" s="283">
        <f t="shared" si="57"/>
        <v>0</v>
      </c>
      <c r="AR109" s="283">
        <f t="shared" si="58"/>
        <v>0</v>
      </c>
      <c r="AS109" s="283">
        <f t="shared" si="59"/>
        <v>0</v>
      </c>
      <c r="AT109" s="283">
        <f t="shared" si="60"/>
        <v>0</v>
      </c>
      <c r="AU109" s="283">
        <f t="shared" si="61"/>
        <v>18868.63</v>
      </c>
      <c r="AV109" s="283">
        <f t="shared" si="62"/>
        <v>0</v>
      </c>
      <c r="AW109" s="319">
        <f t="shared" si="63"/>
        <v>18868.63</v>
      </c>
    </row>
    <row r="110" spans="1:49" x14ac:dyDescent="0.2">
      <c r="A110" s="1" t="s">
        <v>70</v>
      </c>
      <c r="B110" s="7">
        <v>71531</v>
      </c>
      <c r="C110" s="7">
        <v>0</v>
      </c>
      <c r="D110" s="2">
        <f>(B110+C110)*0.124+0.01</f>
        <v>8869.85</v>
      </c>
      <c r="E110" s="2">
        <f t="shared" si="71"/>
        <v>3505.02</v>
      </c>
      <c r="F110" s="2">
        <f t="shared" si="72"/>
        <v>3748.22</v>
      </c>
      <c r="G110" s="2">
        <f t="shared" si="44"/>
        <v>6259.79</v>
      </c>
      <c r="H110" s="2">
        <f t="shared" si="65"/>
        <v>701</v>
      </c>
      <c r="I110" s="2">
        <f t="shared" si="45"/>
        <v>0</v>
      </c>
      <c r="J110" s="381">
        <f>SUM(D110:I110)</f>
        <v>23083.88</v>
      </c>
      <c r="K110" s="1"/>
      <c r="L110" s="7"/>
      <c r="M110" s="7"/>
      <c r="N110" s="7"/>
      <c r="O110" s="7"/>
      <c r="P110" s="7"/>
      <c r="Q110" s="7"/>
      <c r="R110" s="7">
        <v>1005</v>
      </c>
      <c r="S110" s="7"/>
      <c r="T110" s="7"/>
      <c r="U110" s="7"/>
      <c r="V110" s="7"/>
      <c r="W110" s="7"/>
      <c r="X110" s="7">
        <v>70526</v>
      </c>
      <c r="Y110" s="7"/>
      <c r="Z110" s="7"/>
      <c r="AA110" s="7"/>
      <c r="AB110" s="7"/>
      <c r="AC110" s="7"/>
      <c r="AD110" s="7">
        <f t="shared" si="70"/>
        <v>71531</v>
      </c>
      <c r="AF110" s="283">
        <f t="shared" si="46"/>
        <v>0</v>
      </c>
      <c r="AG110" s="283">
        <f t="shared" si="47"/>
        <v>0</v>
      </c>
      <c r="AH110" s="283">
        <f t="shared" si="48"/>
        <v>0</v>
      </c>
      <c r="AI110" s="283">
        <f t="shared" si="49"/>
        <v>0</v>
      </c>
      <c r="AJ110" s="283">
        <f t="shared" si="50"/>
        <v>0</v>
      </c>
      <c r="AK110" s="283">
        <f t="shared" si="51"/>
        <v>39.4</v>
      </c>
      <c r="AL110" s="283">
        <f t="shared" si="52"/>
        <v>0</v>
      </c>
      <c r="AM110" s="283">
        <f t="shared" si="53"/>
        <v>0</v>
      </c>
      <c r="AN110" s="283">
        <f t="shared" si="54"/>
        <v>0</v>
      </c>
      <c r="AO110" s="283">
        <f t="shared" si="55"/>
        <v>0</v>
      </c>
      <c r="AP110" s="283">
        <f t="shared" si="56"/>
        <v>0</v>
      </c>
      <c r="AQ110" s="283">
        <f t="shared" si="57"/>
        <v>6220.39</v>
      </c>
      <c r="AR110" s="283">
        <f t="shared" si="58"/>
        <v>0</v>
      </c>
      <c r="AS110" s="283">
        <f t="shared" si="59"/>
        <v>0</v>
      </c>
      <c r="AT110" s="283">
        <f t="shared" si="60"/>
        <v>0</v>
      </c>
      <c r="AU110" s="283">
        <f t="shared" si="61"/>
        <v>0</v>
      </c>
      <c r="AV110" s="283">
        <f t="shared" si="62"/>
        <v>0</v>
      </c>
      <c r="AW110" s="319">
        <f t="shared" si="63"/>
        <v>6259.79</v>
      </c>
    </row>
    <row r="111" spans="1:49" x14ac:dyDescent="0.2">
      <c r="A111" s="1" t="s">
        <v>367</v>
      </c>
      <c r="B111" s="7">
        <v>95797</v>
      </c>
      <c r="C111" s="7">
        <v>0</v>
      </c>
      <c r="D111" s="2">
        <f>(B111+C111)*0.124</f>
        <v>11878.83</v>
      </c>
      <c r="E111" s="2">
        <f>(B111+C111)*0.049</f>
        <v>4694.05</v>
      </c>
      <c r="F111" s="2">
        <f>(B111+C111)*0.0524</f>
        <v>5019.76</v>
      </c>
      <c r="G111" s="2">
        <f t="shared" si="44"/>
        <v>8449.2999999999993</v>
      </c>
      <c r="H111" s="2">
        <f t="shared" si="65"/>
        <v>938.81</v>
      </c>
      <c r="I111" s="2">
        <f t="shared" si="45"/>
        <v>0</v>
      </c>
      <c r="J111" s="381">
        <f>SUM(D111:I111)</f>
        <v>30980.75</v>
      </c>
      <c r="K111" s="1"/>
      <c r="L111" s="7"/>
      <c r="M111" s="7"/>
      <c r="N111" s="7"/>
      <c r="O111" s="7">
        <v>95797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>
        <f>SUM(L111:AC111)</f>
        <v>95797</v>
      </c>
      <c r="AF111" s="283">
        <f t="shared" si="46"/>
        <v>0</v>
      </c>
      <c r="AG111" s="283">
        <f t="shared" si="47"/>
        <v>0</v>
      </c>
      <c r="AH111" s="283">
        <f t="shared" si="48"/>
        <v>8449.2999999999993</v>
      </c>
      <c r="AI111" s="283">
        <f t="shared" si="49"/>
        <v>0</v>
      </c>
      <c r="AJ111" s="283">
        <f t="shared" si="50"/>
        <v>0</v>
      </c>
      <c r="AK111" s="283">
        <f t="shared" si="51"/>
        <v>0</v>
      </c>
      <c r="AL111" s="283">
        <f t="shared" si="52"/>
        <v>0</v>
      </c>
      <c r="AM111" s="283">
        <f t="shared" si="53"/>
        <v>0</v>
      </c>
      <c r="AN111" s="283">
        <f t="shared" si="54"/>
        <v>0</v>
      </c>
      <c r="AO111" s="283">
        <f t="shared" si="55"/>
        <v>0</v>
      </c>
      <c r="AP111" s="283">
        <f t="shared" si="56"/>
        <v>0</v>
      </c>
      <c r="AQ111" s="283">
        <f t="shared" si="57"/>
        <v>0</v>
      </c>
      <c r="AR111" s="283">
        <f t="shared" si="58"/>
        <v>0</v>
      </c>
      <c r="AS111" s="283">
        <f t="shared" si="59"/>
        <v>0</v>
      </c>
      <c r="AT111" s="283">
        <f t="shared" si="60"/>
        <v>0</v>
      </c>
      <c r="AU111" s="283">
        <f t="shared" si="61"/>
        <v>0</v>
      </c>
      <c r="AV111" s="283">
        <f t="shared" si="62"/>
        <v>0</v>
      </c>
      <c r="AW111" s="319">
        <f t="shared" si="63"/>
        <v>8449.2999999999993</v>
      </c>
    </row>
    <row r="112" spans="1:49" x14ac:dyDescent="0.2">
      <c r="A112" s="10"/>
      <c r="B112" s="32"/>
      <c r="C112" s="32"/>
      <c r="D112" s="33"/>
      <c r="E112" s="33"/>
      <c r="F112" s="33"/>
      <c r="G112" s="33"/>
      <c r="H112" s="33"/>
      <c r="I112" s="33"/>
      <c r="J112" s="382"/>
      <c r="K112" s="90"/>
      <c r="L112" s="90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W112" s="319"/>
    </row>
    <row r="113" spans="1:49" ht="13.5" thickBot="1" x14ac:dyDescent="0.25">
      <c r="A113" s="129" t="s">
        <v>71</v>
      </c>
      <c r="B113" s="7">
        <f t="shared" ref="B113:J113" si="73">SUM(B12:B112)</f>
        <v>24799317</v>
      </c>
      <c r="C113" s="7">
        <f t="shared" si="73"/>
        <v>63650177</v>
      </c>
      <c r="D113" s="2">
        <f t="shared" si="73"/>
        <v>10966121.51</v>
      </c>
      <c r="E113" s="2">
        <f t="shared" si="73"/>
        <v>4333387.76</v>
      </c>
      <c r="F113" s="2">
        <f t="shared" si="73"/>
        <v>4634074.5999999996</v>
      </c>
      <c r="G113" s="2">
        <f t="shared" si="73"/>
        <v>7492312.6100000003</v>
      </c>
      <c r="H113" s="2">
        <f t="shared" si="73"/>
        <v>866364.38</v>
      </c>
      <c r="I113" s="2">
        <f t="shared" si="73"/>
        <v>127693.25</v>
      </c>
      <c r="J113" s="383">
        <f t="shared" si="73"/>
        <v>28419954.109999999</v>
      </c>
      <c r="K113" s="7"/>
      <c r="L113" s="115" t="s">
        <v>72</v>
      </c>
      <c r="M113" s="37">
        <f t="shared" ref="M113:AD113" si="74">SUM(M12:M112)</f>
        <v>3011183</v>
      </c>
      <c r="N113" s="37">
        <f t="shared" si="74"/>
        <v>623493</v>
      </c>
      <c r="O113" s="37">
        <f t="shared" si="74"/>
        <v>59803830</v>
      </c>
      <c r="P113" s="37">
        <f t="shared" si="74"/>
        <v>1902105</v>
      </c>
      <c r="Q113" s="37">
        <f t="shared" si="74"/>
        <v>2088973</v>
      </c>
      <c r="R113" s="37">
        <f t="shared" si="74"/>
        <v>30857</v>
      </c>
      <c r="S113" s="37">
        <f t="shared" si="74"/>
        <v>106126</v>
      </c>
      <c r="T113" s="37">
        <f t="shared" si="74"/>
        <v>1029103</v>
      </c>
      <c r="U113" s="37">
        <f t="shared" si="74"/>
        <v>231126</v>
      </c>
      <c r="V113" s="37">
        <f t="shared" si="74"/>
        <v>227982</v>
      </c>
      <c r="W113" s="37">
        <f t="shared" si="74"/>
        <v>1490001</v>
      </c>
      <c r="X113" s="37">
        <f t="shared" si="74"/>
        <v>249317</v>
      </c>
      <c r="Y113" s="37">
        <f t="shared" si="74"/>
        <v>1912276</v>
      </c>
      <c r="Z113" s="37">
        <f t="shared" si="74"/>
        <v>210562</v>
      </c>
      <c r="AA113" s="37">
        <f t="shared" si="74"/>
        <v>25552</v>
      </c>
      <c r="AB113" s="37">
        <f t="shared" si="74"/>
        <v>15120539</v>
      </c>
      <c r="AC113" s="37">
        <f t="shared" si="74"/>
        <v>389623</v>
      </c>
      <c r="AD113" s="37">
        <f t="shared" si="74"/>
        <v>88452648</v>
      </c>
      <c r="AF113" s="320">
        <f t="shared" ref="AF113:AW113" si="75">SUM(AF14:AF112)</f>
        <v>265586.33</v>
      </c>
      <c r="AG113" s="320">
        <f t="shared" si="75"/>
        <v>54992.09</v>
      </c>
      <c r="AH113" s="320">
        <f t="shared" si="75"/>
        <v>5274139.43</v>
      </c>
      <c r="AI113" s="320">
        <f t="shared" si="75"/>
        <v>74562.509999999995</v>
      </c>
      <c r="AJ113" s="320">
        <f t="shared" si="75"/>
        <v>81880.14</v>
      </c>
      <c r="AK113" s="320">
        <f t="shared" si="75"/>
        <v>1209.5999999999999</v>
      </c>
      <c r="AL113" s="320">
        <f t="shared" si="75"/>
        <v>4160.1499999999996</v>
      </c>
      <c r="AM113" s="320">
        <f t="shared" si="75"/>
        <v>90766.89</v>
      </c>
      <c r="AN113" s="320">
        <f t="shared" si="75"/>
        <v>20385.32</v>
      </c>
      <c r="AO113" s="320">
        <f t="shared" si="75"/>
        <v>8936.9</v>
      </c>
      <c r="AP113" s="320">
        <f t="shared" si="75"/>
        <v>131418.1</v>
      </c>
      <c r="AQ113" s="320">
        <f t="shared" si="75"/>
        <v>21989.75</v>
      </c>
      <c r="AR113" s="320">
        <f t="shared" si="75"/>
        <v>74961.23</v>
      </c>
      <c r="AS113" s="320">
        <f t="shared" si="75"/>
        <v>18571.57</v>
      </c>
      <c r="AT113" s="320">
        <f t="shared" si="75"/>
        <v>1001.64</v>
      </c>
      <c r="AU113" s="320">
        <f t="shared" si="75"/>
        <v>1333101.68</v>
      </c>
      <c r="AV113" s="320">
        <f t="shared" si="75"/>
        <v>34364.75</v>
      </c>
      <c r="AW113" s="320">
        <f t="shared" si="75"/>
        <v>7492028.0800000001</v>
      </c>
    </row>
    <row r="114" spans="1:49" hidden="1" x14ac:dyDescent="0.2">
      <c r="A114" s="129" t="s">
        <v>73</v>
      </c>
      <c r="B114" s="7">
        <f>C113</f>
        <v>63650177</v>
      </c>
      <c r="C114" s="7"/>
      <c r="D114" s="2"/>
      <c r="E114" s="2"/>
      <c r="F114" s="2"/>
      <c r="G114" s="2"/>
      <c r="H114" s="2"/>
      <c r="I114" s="2"/>
      <c r="J114" s="383"/>
      <c r="K114" s="1"/>
      <c r="L114" s="7"/>
      <c r="M114" s="7"/>
      <c r="N114" s="7"/>
      <c r="O114" s="7"/>
      <c r="P114" s="7"/>
      <c r="Q114" s="7"/>
      <c r="R114" s="7"/>
      <c r="S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W114" s="319"/>
    </row>
    <row r="115" spans="1:49" ht="13.5" hidden="1" thickBot="1" x14ac:dyDescent="0.25">
      <c r="A115" s="130" t="s">
        <v>12</v>
      </c>
      <c r="B115" s="34">
        <f>B113+B114</f>
        <v>88449494</v>
      </c>
      <c r="C115" s="35"/>
      <c r="D115" s="36">
        <f t="shared" ref="D115:J115" si="76">D113</f>
        <v>10966121.51</v>
      </c>
      <c r="E115" s="36">
        <f t="shared" si="76"/>
        <v>4333387.76</v>
      </c>
      <c r="F115" s="36">
        <f t="shared" si="76"/>
        <v>4634074.5999999996</v>
      </c>
      <c r="G115" s="36">
        <f t="shared" si="76"/>
        <v>7492312.6100000003</v>
      </c>
      <c r="H115" s="36">
        <f t="shared" si="76"/>
        <v>866364.38</v>
      </c>
      <c r="I115" s="36">
        <f t="shared" si="76"/>
        <v>127693.25</v>
      </c>
      <c r="J115" s="384">
        <f t="shared" si="76"/>
        <v>28419954.109999999</v>
      </c>
      <c r="K115" s="1"/>
      <c r="L115" s="23" t="s">
        <v>74</v>
      </c>
      <c r="M115" s="8">
        <f>M113*0.0882</f>
        <v>265586.34000000003</v>
      </c>
      <c r="N115" s="8">
        <f>N113*0.0882</f>
        <v>54992.08</v>
      </c>
      <c r="O115" s="8">
        <f>O113*0.0882</f>
        <v>5274697.8099999996</v>
      </c>
      <c r="P115" s="8">
        <f>P113*0.0392</f>
        <v>74562.52</v>
      </c>
      <c r="Q115" s="8">
        <f>Q113*0.0392</f>
        <v>81887.740000000005</v>
      </c>
      <c r="R115" s="8">
        <f>R113*0.0392</f>
        <v>1209.5899999999999</v>
      </c>
      <c r="S115" s="8">
        <f>S113*0.0392</f>
        <v>4160.1400000000003</v>
      </c>
      <c r="T115" s="8">
        <f>T113*0.0882</f>
        <v>90766.88</v>
      </c>
      <c r="U115" s="8">
        <f>U113*0.0882</f>
        <v>20385.310000000001</v>
      </c>
      <c r="V115" s="8">
        <f>V113*0.0392</f>
        <v>8936.89</v>
      </c>
      <c r="W115" s="8">
        <f>W113*0.0882</f>
        <v>131418.09</v>
      </c>
      <c r="X115" s="8">
        <f>X113*0.0882</f>
        <v>21989.759999999998</v>
      </c>
      <c r="Y115" s="8">
        <f>Y113*0.0392</f>
        <v>74961.22</v>
      </c>
      <c r="Z115" s="8">
        <f>Z113*0.0882</f>
        <v>18571.57</v>
      </c>
      <c r="AA115" s="8">
        <f>AA113*0.0392</f>
        <v>1001.64</v>
      </c>
      <c r="AB115" s="8">
        <f>AB113*0.0882</f>
        <v>1333631.54</v>
      </c>
      <c r="AC115" s="8">
        <f>AC113*0.0882</f>
        <v>34364.75</v>
      </c>
      <c r="AW115" s="319"/>
    </row>
    <row r="116" spans="1:49" hidden="1" x14ac:dyDescent="0.2">
      <c r="A116" s="1"/>
      <c r="B116" s="7" t="s">
        <v>501</v>
      </c>
      <c r="C116" s="1"/>
      <c r="D116" s="1"/>
      <c r="E116" s="1"/>
      <c r="F116" s="1"/>
      <c r="G116" s="1"/>
      <c r="H116" s="1"/>
      <c r="I116" s="1"/>
      <c r="J116" s="1"/>
      <c r="K116" s="1"/>
      <c r="L116" s="22" t="s">
        <v>75</v>
      </c>
      <c r="M116" s="8">
        <f t="shared" ref="M116:V116" si="77">M113*0.0098</f>
        <v>29509.59</v>
      </c>
      <c r="N116" s="8">
        <f t="shared" si="77"/>
        <v>6110.23</v>
      </c>
      <c r="O116" s="8">
        <f t="shared" si="77"/>
        <v>586077.53</v>
      </c>
      <c r="P116" s="8">
        <f t="shared" si="77"/>
        <v>18640.63</v>
      </c>
      <c r="Q116" s="8">
        <f t="shared" si="77"/>
        <v>20471.939999999999</v>
      </c>
      <c r="R116" s="8">
        <f t="shared" si="77"/>
        <v>302.39999999999998</v>
      </c>
      <c r="S116" s="8">
        <f t="shared" si="77"/>
        <v>1040.03</v>
      </c>
      <c r="T116" s="8">
        <f t="shared" si="77"/>
        <v>10085.209999999999</v>
      </c>
      <c r="U116" s="8">
        <f t="shared" si="77"/>
        <v>2265.0300000000002</v>
      </c>
      <c r="V116" s="8">
        <f t="shared" si="77"/>
        <v>2234.2199999999998</v>
      </c>
      <c r="W116" s="8">
        <f t="shared" ref="W116:AC116" si="78">W113*0.0098</f>
        <v>14602.01</v>
      </c>
      <c r="X116" s="8">
        <f t="shared" si="78"/>
        <v>2443.31</v>
      </c>
      <c r="Y116" s="8">
        <f t="shared" si="78"/>
        <v>18740.3</v>
      </c>
      <c r="Z116" s="8">
        <f t="shared" si="78"/>
        <v>2063.5100000000002</v>
      </c>
      <c r="AA116" s="8">
        <f t="shared" si="78"/>
        <v>250.41</v>
      </c>
      <c r="AB116" s="8">
        <f t="shared" si="78"/>
        <v>148181.28</v>
      </c>
      <c r="AC116" s="8">
        <f t="shared" si="78"/>
        <v>3818.31</v>
      </c>
      <c r="AW116" s="319"/>
    </row>
    <row r="117" spans="1:49" hidden="1" x14ac:dyDescent="0.2">
      <c r="A117" s="1"/>
      <c r="B117" s="1"/>
      <c r="C117" s="1"/>
      <c r="D117" s="1"/>
      <c r="E117" s="1"/>
      <c r="F117" s="1"/>
      <c r="G117" s="24" t="s">
        <v>76</v>
      </c>
      <c r="H117" s="2">
        <v>0</v>
      </c>
      <c r="I117" s="2"/>
      <c r="J117" s="2">
        <f>'s6'!L28</f>
        <v>4701.87</v>
      </c>
      <c r="K117" s="2"/>
      <c r="L117" s="311" t="s">
        <v>654</v>
      </c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12"/>
      <c r="Y117" s="312"/>
      <c r="Z117" s="312"/>
      <c r="AA117" s="312"/>
      <c r="AB117" s="8">
        <f>AB113*0.0084484</f>
        <v>127744.36</v>
      </c>
      <c r="AC117" s="312"/>
    </row>
    <row r="118" spans="1:49" hidden="1" x14ac:dyDescent="0.2">
      <c r="A118" s="1"/>
      <c r="B118" s="1"/>
      <c r="C118" s="1"/>
      <c r="D118" s="1"/>
      <c r="E118" s="1"/>
      <c r="F118" s="2"/>
      <c r="H118" s="1"/>
      <c r="I118" s="1"/>
      <c r="J118" s="2"/>
      <c r="K118" s="1"/>
    </row>
    <row r="119" spans="1:49" hidden="1" x14ac:dyDescent="0.2">
      <c r="A119" s="1"/>
      <c r="B119" s="1"/>
      <c r="C119" s="1"/>
      <c r="D119" s="1"/>
      <c r="E119" s="1"/>
      <c r="F119" s="1"/>
      <c r="G119" s="5" t="s">
        <v>77</v>
      </c>
      <c r="H119" s="1"/>
      <c r="I119" s="1"/>
      <c r="J119" s="279">
        <f>19933583.87+8486370.24</f>
        <v>28419954.109999999</v>
      </c>
      <c r="K119" s="1"/>
      <c r="L119" t="s">
        <v>575</v>
      </c>
      <c r="M119" s="8">
        <v>295095.93</v>
      </c>
      <c r="N119" s="8">
        <v>61102.33</v>
      </c>
      <c r="O119" s="278">
        <v>5860090.7000000002</v>
      </c>
      <c r="P119" s="8">
        <v>93203.16</v>
      </c>
      <c r="Q119" s="8">
        <v>102350.18</v>
      </c>
      <c r="R119" s="8">
        <v>1512</v>
      </c>
      <c r="S119" s="8">
        <v>5200.18</v>
      </c>
      <c r="T119" s="8">
        <v>100852.1</v>
      </c>
      <c r="U119" s="8">
        <v>22650.36</v>
      </c>
      <c r="V119" s="8">
        <v>11171.12</v>
      </c>
      <c r="W119" s="8">
        <v>146020.1</v>
      </c>
      <c r="X119" s="8">
        <v>24433.05</v>
      </c>
      <c r="Y119" s="278">
        <v>93701.54</v>
      </c>
      <c r="Z119" s="8">
        <v>20635.07</v>
      </c>
      <c r="AA119" s="8">
        <v>1252.05</v>
      </c>
      <c r="AB119" s="8">
        <v>1481224.08</v>
      </c>
      <c r="AC119" s="8">
        <v>38183.040000000001</v>
      </c>
      <c r="AD119" s="8"/>
      <c r="AE119" s="8"/>
    </row>
    <row r="120" spans="1:49" hidden="1" x14ac:dyDescent="0.2">
      <c r="A120" s="1"/>
      <c r="B120" s="1"/>
      <c r="C120" s="1"/>
      <c r="D120" s="1"/>
      <c r="E120" s="1"/>
      <c r="F120" s="1"/>
      <c r="H120" s="1"/>
      <c r="I120" s="1"/>
      <c r="J120" s="2"/>
      <c r="K120" s="1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12"/>
      <c r="Z120" s="312"/>
      <c r="AA120" s="315" t="s">
        <v>659</v>
      </c>
      <c r="AB120" s="8">
        <v>127693.25</v>
      </c>
      <c r="AC120" s="312"/>
    </row>
    <row r="121" spans="1:49" hidden="1" x14ac:dyDescent="0.2">
      <c r="A121" s="1"/>
      <c r="B121" s="1"/>
      <c r="C121" s="1"/>
      <c r="D121" s="1"/>
      <c r="E121" s="1">
        <f>ST12.65+_ST5+ST5.35</f>
        <v>19933583.870000001</v>
      </c>
      <c r="F121" s="1"/>
      <c r="G121" s="5" t="s">
        <v>78</v>
      </c>
      <c r="H121" s="1"/>
      <c r="I121" s="1"/>
      <c r="J121" s="2">
        <f>+J115+J117-J119</f>
        <v>4701.87</v>
      </c>
      <c r="K121" s="1"/>
      <c r="L121" s="7" t="s">
        <v>315</v>
      </c>
      <c r="M121" s="8">
        <f>M115+M116-M119</f>
        <v>0</v>
      </c>
      <c r="N121" s="8">
        <f t="shared" ref="N121:AC121" si="79">N115+N116-N119</f>
        <v>-0.02</v>
      </c>
      <c r="O121" s="8">
        <f t="shared" si="79"/>
        <v>684.64</v>
      </c>
      <c r="P121" s="8">
        <f t="shared" si="79"/>
        <v>-0.01</v>
      </c>
      <c r="Q121" s="8">
        <f t="shared" si="79"/>
        <v>9.5</v>
      </c>
      <c r="R121" s="8">
        <f t="shared" si="79"/>
        <v>-0.01</v>
      </c>
      <c r="S121" s="8">
        <f t="shared" si="79"/>
        <v>-0.01</v>
      </c>
      <c r="T121" s="8">
        <f t="shared" si="79"/>
        <v>-0.01</v>
      </c>
      <c r="U121" s="8">
        <f t="shared" si="79"/>
        <v>-0.02</v>
      </c>
      <c r="V121" s="8">
        <f t="shared" si="79"/>
        <v>-0.01</v>
      </c>
      <c r="W121" s="8">
        <f t="shared" si="79"/>
        <v>0</v>
      </c>
      <c r="X121" s="8">
        <f t="shared" si="79"/>
        <v>0.02</v>
      </c>
      <c r="Y121" s="8">
        <f t="shared" si="79"/>
        <v>-0.02</v>
      </c>
      <c r="Z121" s="8">
        <f t="shared" si="79"/>
        <v>0.01</v>
      </c>
      <c r="AA121" s="8">
        <f t="shared" si="79"/>
        <v>0</v>
      </c>
      <c r="AB121" s="8">
        <f t="shared" si="79"/>
        <v>588.74</v>
      </c>
      <c r="AC121" s="8">
        <f t="shared" si="79"/>
        <v>0.02</v>
      </c>
    </row>
    <row r="122" spans="1:49" hidden="1" x14ac:dyDescent="0.2">
      <c r="A122" s="1"/>
      <c r="B122" s="1"/>
      <c r="C122" s="1"/>
      <c r="D122" s="1" t="s">
        <v>500</v>
      </c>
      <c r="E122" s="1">
        <v>19933583.870000001</v>
      </c>
      <c r="F122" s="1"/>
      <c r="G122" s="1"/>
      <c r="H122" s="1"/>
      <c r="I122" s="1"/>
      <c r="J122" s="1"/>
      <c r="K122" s="1"/>
      <c r="L122" s="7"/>
      <c r="AA122" s="314" t="s">
        <v>658</v>
      </c>
      <c r="AB122" s="8">
        <f>+AB117-AB120</f>
        <v>51.11</v>
      </c>
    </row>
    <row r="123" spans="1:49" hidden="1" x14ac:dyDescent="0.2">
      <c r="E123" s="221">
        <f>E121-E122</f>
        <v>0</v>
      </c>
      <c r="G123" s="11"/>
      <c r="H123" s="11"/>
      <c r="I123" s="11"/>
      <c r="O123" s="402" t="s">
        <v>734</v>
      </c>
    </row>
    <row r="124" spans="1:49" hidden="1" x14ac:dyDescent="0.2">
      <c r="G124" s="11"/>
      <c r="O124" s="402" t="s">
        <v>735</v>
      </c>
      <c r="Z124" s="402" t="s">
        <v>722</v>
      </c>
      <c r="AB124">
        <v>4.2059999999999997E-3</v>
      </c>
      <c r="AC124" t="s">
        <v>655</v>
      </c>
    </row>
    <row r="125" spans="1:49" hidden="1" x14ac:dyDescent="0.2">
      <c r="Z125" s="402" t="s">
        <v>723</v>
      </c>
      <c r="AB125">
        <f>0.004206*2%</f>
        <v>8.4120000000000001E-5</v>
      </c>
      <c r="AC125" t="s">
        <v>656</v>
      </c>
    </row>
    <row r="126" spans="1:49" hidden="1" x14ac:dyDescent="0.2">
      <c r="Z126" s="402" t="s">
        <v>764</v>
      </c>
      <c r="AB126" s="313">
        <f>+AB124-AB125</f>
        <v>4.1219000000000004E-3</v>
      </c>
      <c r="AC126" t="s">
        <v>657</v>
      </c>
    </row>
    <row r="127" spans="1:49" hidden="1" x14ac:dyDescent="0.2"/>
    <row r="128" spans="1:49" hidden="1" x14ac:dyDescent="0.2">
      <c r="G128" t="s">
        <v>81</v>
      </c>
    </row>
    <row r="129" spans="8:11" hidden="1" x14ac:dyDescent="0.2">
      <c r="H129" s="11"/>
      <c r="I129" s="11"/>
      <c r="K129" s="1" t="s">
        <v>79</v>
      </c>
    </row>
    <row r="130" spans="8:11" hidden="1" x14ac:dyDescent="0.2"/>
    <row r="131" spans="8:11" hidden="1" x14ac:dyDescent="0.2">
      <c r="H131" s="11"/>
      <c r="I131" s="11"/>
    </row>
    <row r="132" spans="8:11" hidden="1" x14ac:dyDescent="0.2"/>
    <row r="133" spans="8:11" hidden="1" x14ac:dyDescent="0.2"/>
    <row r="134" spans="8:11" hidden="1" x14ac:dyDescent="0.2"/>
    <row r="135" spans="8:11" hidden="1" x14ac:dyDescent="0.2"/>
    <row r="136" spans="8:11" hidden="1" x14ac:dyDescent="0.2"/>
    <row r="137" spans="8:11" hidden="1" x14ac:dyDescent="0.2"/>
    <row r="138" spans="8:11" hidden="1" x14ac:dyDescent="0.2"/>
    <row r="139" spans="8:11" hidden="1" x14ac:dyDescent="0.2"/>
    <row r="140" spans="8:11" hidden="1" x14ac:dyDescent="0.2"/>
    <row r="141" spans="8:11" hidden="1" x14ac:dyDescent="0.2"/>
    <row r="142" spans="8:11" hidden="1" x14ac:dyDescent="0.2"/>
    <row r="143" spans="8:11" hidden="1" x14ac:dyDescent="0.2"/>
    <row r="144" spans="8:11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55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9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6" sqref="A6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208</v>
      </c>
    </row>
    <row r="2" spans="1:6" ht="15.75" x14ac:dyDescent="0.25">
      <c r="A2" s="113" t="str">
        <f>ReportMonth</f>
        <v>NOVEMBER 2004</v>
      </c>
      <c r="B2" s="1"/>
      <c r="C2" s="1"/>
      <c r="D2" s="1"/>
      <c r="E2" s="1"/>
    </row>
    <row r="3" spans="1:6" s="85" customFormat="1" ht="15.75" x14ac:dyDescent="0.25">
      <c r="A3" s="66" t="s">
        <v>209</v>
      </c>
      <c r="B3" s="66"/>
      <c r="C3" s="43"/>
      <c r="D3" s="42"/>
      <c r="E3" s="43"/>
      <c r="F3" s="43"/>
    </row>
    <row r="4" spans="1:6" ht="15.75" x14ac:dyDescent="0.25">
      <c r="A4" s="42" t="s">
        <v>210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20" t="s">
        <v>211</v>
      </c>
    </row>
    <row r="7" spans="1:6" x14ac:dyDescent="0.2">
      <c r="A7" s="1"/>
      <c r="B7" s="1"/>
      <c r="C7" s="120" t="s">
        <v>170</v>
      </c>
      <c r="D7" s="120" t="s">
        <v>211</v>
      </c>
      <c r="E7" s="120" t="s">
        <v>170</v>
      </c>
      <c r="F7" s="131" t="s">
        <v>212</v>
      </c>
    </row>
    <row r="8" spans="1:6" x14ac:dyDescent="0.2">
      <c r="A8" s="110" t="s">
        <v>13</v>
      </c>
      <c r="B8" s="98" t="s">
        <v>213</v>
      </c>
      <c r="C8" s="98" t="s">
        <v>133</v>
      </c>
      <c r="D8" s="98" t="s">
        <v>213</v>
      </c>
      <c r="E8" s="98" t="s">
        <v>214</v>
      </c>
      <c r="F8" s="61" t="s">
        <v>72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215</v>
      </c>
      <c r="B10" s="7">
        <v>292677</v>
      </c>
      <c r="C10" s="2">
        <f t="shared" ref="C10:C32" si="0">B10*0.0098</f>
        <v>2868.23</v>
      </c>
      <c r="D10" s="7">
        <v>283699</v>
      </c>
      <c r="E10" s="2">
        <f>D10*0.02</f>
        <v>5673.98</v>
      </c>
      <c r="F10" s="11">
        <f>C10+E10</f>
        <v>8542.2099999999991</v>
      </c>
    </row>
    <row r="11" spans="1:6" x14ac:dyDescent="0.2">
      <c r="A11" s="1" t="s">
        <v>216</v>
      </c>
      <c r="B11" s="7">
        <v>6546569</v>
      </c>
      <c r="C11" s="2">
        <f>B11*0.0098-0.01</f>
        <v>64156.37</v>
      </c>
      <c r="D11" s="7">
        <v>6297478</v>
      </c>
      <c r="E11" s="2">
        <f t="shared" ref="E11:E28" si="1">D11*0.02</f>
        <v>125949.56</v>
      </c>
      <c r="F11" s="11">
        <f t="shared" ref="F11:F26" si="2">C11+E11</f>
        <v>190105.93</v>
      </c>
    </row>
    <row r="12" spans="1:6" x14ac:dyDescent="0.2">
      <c r="A12" s="1" t="s">
        <v>612</v>
      </c>
      <c r="B12" s="7">
        <v>1599906</v>
      </c>
      <c r="C12" s="2">
        <f>B12*0.0098</f>
        <v>15679.08</v>
      </c>
      <c r="D12" s="7">
        <v>1368906</v>
      </c>
      <c r="E12" s="2">
        <f>D12*0.02</f>
        <v>27378.12</v>
      </c>
      <c r="F12" s="11">
        <f>C12+E12</f>
        <v>43057.2</v>
      </c>
    </row>
    <row r="13" spans="1:6" x14ac:dyDescent="0.2">
      <c r="A13" s="1" t="s">
        <v>217</v>
      </c>
      <c r="B13" s="7">
        <v>356156</v>
      </c>
      <c r="C13" s="2">
        <f t="shared" si="0"/>
        <v>3490.33</v>
      </c>
      <c r="D13" s="7">
        <v>233465</v>
      </c>
      <c r="E13" s="2">
        <f t="shared" si="1"/>
        <v>4669.3</v>
      </c>
      <c r="F13" s="11">
        <f t="shared" si="2"/>
        <v>8159.63</v>
      </c>
    </row>
    <row r="14" spans="1:6" s="20" customFormat="1" x14ac:dyDescent="0.2">
      <c r="A14" s="18" t="s">
        <v>456</v>
      </c>
      <c r="B14" s="243">
        <v>1848000</v>
      </c>
      <c r="C14" s="2">
        <f t="shared" si="0"/>
        <v>18110.400000000001</v>
      </c>
      <c r="D14" s="7">
        <v>1848000</v>
      </c>
      <c r="E14" s="78">
        <f t="shared" si="1"/>
        <v>36960</v>
      </c>
      <c r="F14" s="244">
        <f>C14+E14</f>
        <v>55070.400000000001</v>
      </c>
    </row>
    <row r="15" spans="1:6" x14ac:dyDescent="0.2">
      <c r="A15" s="1" t="s">
        <v>218</v>
      </c>
      <c r="B15" s="7">
        <v>4573079</v>
      </c>
      <c r="C15" s="2">
        <f>B15*0.0098+0.01</f>
        <v>44816.18</v>
      </c>
      <c r="D15" s="7">
        <v>3700049</v>
      </c>
      <c r="E15" s="2">
        <f t="shared" si="1"/>
        <v>74000.98</v>
      </c>
      <c r="F15" s="11">
        <f t="shared" si="2"/>
        <v>118817.16</v>
      </c>
    </row>
    <row r="16" spans="1:6" x14ac:dyDescent="0.2">
      <c r="A16" s="1" t="s">
        <v>609</v>
      </c>
      <c r="B16" s="7">
        <v>214218</v>
      </c>
      <c r="C16" s="2">
        <f t="shared" si="0"/>
        <v>2099.34</v>
      </c>
      <c r="D16" s="7">
        <v>214218</v>
      </c>
      <c r="E16" s="2">
        <f t="shared" si="1"/>
        <v>4284.3599999999997</v>
      </c>
      <c r="F16" s="11">
        <f>C16+E16</f>
        <v>6383.7</v>
      </c>
    </row>
    <row r="17" spans="1:6" x14ac:dyDescent="0.2">
      <c r="A17" s="1" t="s">
        <v>219</v>
      </c>
      <c r="B17" s="7">
        <v>1811502</v>
      </c>
      <c r="C17" s="2">
        <f t="shared" si="0"/>
        <v>17752.72</v>
      </c>
      <c r="D17" s="7">
        <v>1765470</v>
      </c>
      <c r="E17" s="2">
        <f t="shared" si="1"/>
        <v>35309.4</v>
      </c>
      <c r="F17" s="11">
        <f t="shared" si="2"/>
        <v>53062.12</v>
      </c>
    </row>
    <row r="18" spans="1:6" x14ac:dyDescent="0.2">
      <c r="A18" s="1" t="s">
        <v>220</v>
      </c>
      <c r="B18" s="7">
        <v>1679832</v>
      </c>
      <c r="C18" s="2">
        <f t="shared" si="0"/>
        <v>16462.349999999999</v>
      </c>
      <c r="D18" s="7">
        <v>1679832</v>
      </c>
      <c r="E18" s="2">
        <f t="shared" si="1"/>
        <v>33596.639999999999</v>
      </c>
      <c r="F18" s="11">
        <f t="shared" si="2"/>
        <v>50058.99</v>
      </c>
    </row>
    <row r="19" spans="1:6" x14ac:dyDescent="0.2">
      <c r="A19" s="1" t="s">
        <v>593</v>
      </c>
      <c r="B19" s="7">
        <v>307001</v>
      </c>
      <c r="C19" s="2">
        <f>B19*0.0098</f>
        <v>3008.61</v>
      </c>
      <c r="D19" s="7">
        <v>235658</v>
      </c>
      <c r="E19" s="2">
        <f>D19*0.02</f>
        <v>4713.16</v>
      </c>
      <c r="F19" s="11">
        <f>C19+E19</f>
        <v>7721.77</v>
      </c>
    </row>
    <row r="20" spans="1:6" x14ac:dyDescent="0.2">
      <c r="A20" s="1" t="s">
        <v>358</v>
      </c>
      <c r="B20" s="7">
        <v>23962</v>
      </c>
      <c r="C20" s="2">
        <f t="shared" si="0"/>
        <v>234.83</v>
      </c>
      <c r="D20" s="7">
        <v>23962</v>
      </c>
      <c r="E20" s="2">
        <f t="shared" si="1"/>
        <v>479.24</v>
      </c>
      <c r="F20" s="11">
        <f>C20+E20</f>
        <v>714.07</v>
      </c>
    </row>
    <row r="21" spans="1:6" x14ac:dyDescent="0.2">
      <c r="A21" s="1" t="s">
        <v>465</v>
      </c>
      <c r="B21" s="7">
        <v>115922</v>
      </c>
      <c r="C21" s="2">
        <f>B21*0.0098-0.01</f>
        <v>1136.03</v>
      </c>
      <c r="D21" s="7">
        <v>88892</v>
      </c>
      <c r="E21" s="2">
        <f t="shared" si="1"/>
        <v>1777.84</v>
      </c>
      <c r="F21" s="244">
        <f t="shared" si="2"/>
        <v>2913.87</v>
      </c>
    </row>
    <row r="22" spans="1:6" s="20" customFormat="1" x14ac:dyDescent="0.2">
      <c r="A22" s="18" t="s">
        <v>221</v>
      </c>
      <c r="B22" s="243">
        <v>2083599</v>
      </c>
      <c r="C22" s="2">
        <f t="shared" si="0"/>
        <v>20419.27</v>
      </c>
      <c r="D22" s="7">
        <v>1998851</v>
      </c>
      <c r="E22" s="78">
        <f t="shared" si="1"/>
        <v>39977.019999999997</v>
      </c>
      <c r="F22" s="244">
        <f t="shared" si="2"/>
        <v>60396.29</v>
      </c>
    </row>
    <row r="23" spans="1:6" s="20" customFormat="1" x14ac:dyDescent="0.2">
      <c r="A23" s="18" t="s">
        <v>614</v>
      </c>
      <c r="B23" s="243">
        <v>103936</v>
      </c>
      <c r="C23" s="2">
        <f t="shared" si="0"/>
        <v>1018.57</v>
      </c>
      <c r="D23" s="7">
        <v>103936</v>
      </c>
      <c r="E23" s="78">
        <f t="shared" si="1"/>
        <v>2078.7199999999998</v>
      </c>
      <c r="F23" s="244">
        <f>C23+E23</f>
        <v>3097.29</v>
      </c>
    </row>
    <row r="24" spans="1:6" s="20" customFormat="1" x14ac:dyDescent="0.2">
      <c r="A24" s="18" t="s">
        <v>222</v>
      </c>
      <c r="B24" s="243">
        <v>459945</v>
      </c>
      <c r="C24" s="2">
        <f t="shared" si="0"/>
        <v>4507.46</v>
      </c>
      <c r="D24" s="7">
        <v>459945</v>
      </c>
      <c r="E24" s="78">
        <f t="shared" si="1"/>
        <v>9198.9</v>
      </c>
      <c r="F24" s="244">
        <f t="shared" si="2"/>
        <v>13706.36</v>
      </c>
    </row>
    <row r="25" spans="1:6" x14ac:dyDescent="0.2">
      <c r="A25" s="1" t="s">
        <v>464</v>
      </c>
      <c r="B25" s="7">
        <v>3786</v>
      </c>
      <c r="C25" s="2">
        <f t="shared" si="0"/>
        <v>37.1</v>
      </c>
      <c r="D25" s="7">
        <v>0</v>
      </c>
      <c r="E25" s="2">
        <f t="shared" si="1"/>
        <v>0</v>
      </c>
      <c r="F25" s="244">
        <f>C25+E25</f>
        <v>37.1</v>
      </c>
    </row>
    <row r="26" spans="1:6" x14ac:dyDescent="0.2">
      <c r="A26" s="1" t="s">
        <v>64</v>
      </c>
      <c r="B26" s="7">
        <v>502001</v>
      </c>
      <c r="C26" s="2">
        <f t="shared" si="0"/>
        <v>4919.6099999999997</v>
      </c>
      <c r="D26" s="7">
        <v>502001</v>
      </c>
      <c r="E26" s="2">
        <f t="shared" si="1"/>
        <v>10040.02</v>
      </c>
      <c r="F26" s="11">
        <f t="shared" si="2"/>
        <v>14959.63</v>
      </c>
    </row>
    <row r="27" spans="1:6" x14ac:dyDescent="0.2">
      <c r="A27" s="1" t="s">
        <v>359</v>
      </c>
      <c r="B27" s="7">
        <v>10350606</v>
      </c>
      <c r="C27" s="2">
        <f>B27*0.0098-0.01</f>
        <v>101435.93</v>
      </c>
      <c r="D27" s="7">
        <v>8755530</v>
      </c>
      <c r="E27" s="2">
        <f t="shared" si="1"/>
        <v>175110.6</v>
      </c>
      <c r="F27" s="11">
        <f t="shared" ref="F27:F32" si="3">C27+E27</f>
        <v>276546.53000000003</v>
      </c>
    </row>
    <row r="28" spans="1:6" x14ac:dyDescent="0.2">
      <c r="A28" s="1" t="s">
        <v>479</v>
      </c>
      <c r="B28" s="7">
        <v>2143691</v>
      </c>
      <c r="C28" s="2">
        <f t="shared" si="0"/>
        <v>21008.17</v>
      </c>
      <c r="D28" s="7">
        <v>1816133</v>
      </c>
      <c r="E28" s="2">
        <f t="shared" si="1"/>
        <v>36322.660000000003</v>
      </c>
      <c r="F28" s="11">
        <f t="shared" si="3"/>
        <v>57330.83</v>
      </c>
    </row>
    <row r="29" spans="1:6" x14ac:dyDescent="0.2">
      <c r="A29" s="1" t="s">
        <v>495</v>
      </c>
      <c r="B29" s="7">
        <v>2311764</v>
      </c>
      <c r="C29" s="2">
        <f t="shared" si="0"/>
        <v>22655.29</v>
      </c>
      <c r="D29" s="7">
        <v>2112264</v>
      </c>
      <c r="E29" s="2">
        <f>D29*0.02</f>
        <v>42245.279999999999</v>
      </c>
      <c r="F29" s="11">
        <f t="shared" si="3"/>
        <v>64900.57</v>
      </c>
    </row>
    <row r="30" spans="1:6" x14ac:dyDescent="0.2">
      <c r="A30" s="1" t="s">
        <v>740</v>
      </c>
      <c r="B30" s="7">
        <v>501</v>
      </c>
      <c r="C30" s="2">
        <f t="shared" si="0"/>
        <v>4.91</v>
      </c>
      <c r="D30" s="7">
        <v>0</v>
      </c>
      <c r="E30" s="2">
        <f>D30*0.02</f>
        <v>0</v>
      </c>
      <c r="F30" s="11">
        <f>C30+E30</f>
        <v>4.91</v>
      </c>
    </row>
    <row r="31" spans="1:6" x14ac:dyDescent="0.2">
      <c r="A31" s="1" t="s">
        <v>223</v>
      </c>
      <c r="B31" s="7">
        <v>26118</v>
      </c>
      <c r="C31" s="2">
        <f t="shared" si="0"/>
        <v>255.96</v>
      </c>
      <c r="D31" s="7">
        <v>16272</v>
      </c>
      <c r="E31" s="2">
        <f>D31*0.02</f>
        <v>325.44</v>
      </c>
      <c r="F31" s="11">
        <f t="shared" si="3"/>
        <v>581.4</v>
      </c>
    </row>
    <row r="32" spans="1:6" x14ac:dyDescent="0.2">
      <c r="A32" s="1" t="s">
        <v>224</v>
      </c>
      <c r="B32" s="7">
        <v>1031402</v>
      </c>
      <c r="C32" s="2">
        <f t="shared" si="0"/>
        <v>10107.74</v>
      </c>
      <c r="D32" s="7">
        <v>1033771</v>
      </c>
      <c r="E32" s="2">
        <f>D32*0.02</f>
        <v>20675.419999999998</v>
      </c>
      <c r="F32" s="11">
        <f t="shared" si="3"/>
        <v>30783.16</v>
      </c>
    </row>
    <row r="34" spans="1:6" ht="22.5" customHeight="1" thickBot="1" x14ac:dyDescent="0.25">
      <c r="A34" s="1" t="s">
        <v>12</v>
      </c>
      <c r="B34" s="34">
        <f>SUM(B9:B33)</f>
        <v>38386173</v>
      </c>
      <c r="C34" s="133">
        <f>SUM(C9:C33)</f>
        <v>376184.48</v>
      </c>
      <c r="D34" s="34">
        <f>SUM(D9:D33)</f>
        <v>34538332</v>
      </c>
      <c r="E34" s="133">
        <f>SUM(E9:E33)</f>
        <v>690766.64</v>
      </c>
      <c r="F34" s="133">
        <f>SUM(F10:F32)</f>
        <v>1066951.1200000001</v>
      </c>
    </row>
    <row r="35" spans="1:6" ht="28.5" hidden="1" customHeight="1" x14ac:dyDescent="0.2">
      <c r="A35" s="1" t="s">
        <v>225</v>
      </c>
      <c r="B35" s="134">
        <f>SUM(C34+E34)</f>
        <v>1066951.1200000001</v>
      </c>
      <c r="C35" s="1"/>
      <c r="D35" s="1"/>
      <c r="E35" s="1"/>
      <c r="F35" s="1"/>
    </row>
    <row r="36" spans="1:6" ht="21.75" hidden="1" customHeight="1" x14ac:dyDescent="0.2">
      <c r="A36" s="9" t="s">
        <v>226</v>
      </c>
      <c r="B36" s="279">
        <v>1066951.1200000001</v>
      </c>
      <c r="C36" s="1"/>
      <c r="D36" s="1"/>
      <c r="E36" s="1"/>
      <c r="F36" s="1"/>
    </row>
    <row r="37" spans="1:6" hidden="1" x14ac:dyDescent="0.2">
      <c r="A37" s="9" t="s">
        <v>227</v>
      </c>
      <c r="B37" s="2">
        <f>B36-B35</f>
        <v>0</v>
      </c>
      <c r="C37" s="1"/>
      <c r="D37" s="1"/>
      <c r="E37" s="1"/>
      <c r="F37" s="1"/>
    </row>
    <row r="38" spans="1:6" hidden="1" x14ac:dyDescent="0.2"/>
    <row r="39" spans="1:6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"/>
    </sheetView>
  </sheetViews>
  <sheetFormatPr defaultRowHeight="12.75" x14ac:dyDescent="0.2"/>
  <cols>
    <col min="1" max="1" width="18.28515625" customWidth="1"/>
    <col min="2" max="2" width="10.28515625" customWidth="1"/>
    <col min="3" max="3" width="11.7109375" hidden="1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customWidth="1"/>
    <col min="11" max="12" width="10" hidden="1" customWidth="1"/>
    <col min="13" max="13" width="9.42578125" customWidth="1"/>
    <col min="14" max="14" width="9.28515625" hidden="1" customWidth="1"/>
    <col min="15" max="15" width="10.42578125" hidden="1" customWidth="1"/>
    <col min="16" max="16" width="11.140625" hidden="1" customWidth="1"/>
    <col min="17" max="17" width="10.42578125" hidden="1" customWidth="1"/>
    <col min="18" max="18" width="10.85546875" customWidth="1"/>
    <col min="19" max="19" width="12" hidden="1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</cols>
  <sheetData>
    <row r="1" spans="1:25" ht="15.75" x14ac:dyDescent="0.25">
      <c r="A1" s="63" t="s">
        <v>228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7" t="str">
        <f>ReportMonth</f>
        <v>NOVEMBER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6" t="s">
        <v>229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230</v>
      </c>
      <c r="O5" s="6" t="s">
        <v>33</v>
      </c>
      <c r="P5" s="6" t="s">
        <v>34</v>
      </c>
      <c r="Q5" s="6" t="s">
        <v>35</v>
      </c>
      <c r="S5" s="97" t="s">
        <v>231</v>
      </c>
      <c r="T5" s="1"/>
      <c r="U5" s="1"/>
      <c r="V5" s="6" t="s">
        <v>232</v>
      </c>
      <c r="W5" s="1"/>
      <c r="X5" s="1"/>
      <c r="Y5" s="1"/>
    </row>
    <row r="6" spans="1:25" x14ac:dyDescent="0.2">
      <c r="A6" s="1"/>
      <c r="B6" s="6" t="s">
        <v>233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1"/>
      <c r="P6" s="1"/>
      <c r="Q6" s="1"/>
      <c r="R6" s="6" t="s">
        <v>36</v>
      </c>
      <c r="S6" s="97" t="s">
        <v>234</v>
      </c>
      <c r="T6" s="5" t="s">
        <v>12</v>
      </c>
      <c r="U6" s="5" t="s">
        <v>12</v>
      </c>
      <c r="V6" s="6" t="s">
        <v>235</v>
      </c>
      <c r="W6" s="5" t="s">
        <v>236</v>
      </c>
      <c r="X6" s="1"/>
      <c r="Y6" s="1"/>
    </row>
    <row r="7" spans="1:25" x14ac:dyDescent="0.2">
      <c r="A7" s="1"/>
      <c r="B7" s="38" t="s">
        <v>19</v>
      </c>
      <c r="C7" s="38" t="s">
        <v>237</v>
      </c>
      <c r="D7" s="38" t="s">
        <v>19</v>
      </c>
      <c r="E7" s="38" t="s">
        <v>238</v>
      </c>
      <c r="F7" s="38" t="s">
        <v>237</v>
      </c>
      <c r="G7" s="38" t="s">
        <v>237</v>
      </c>
      <c r="H7" s="38" t="s">
        <v>237</v>
      </c>
      <c r="I7" s="38" t="s">
        <v>237</v>
      </c>
      <c r="J7" s="38" t="s">
        <v>237</v>
      </c>
      <c r="K7" s="38" t="s">
        <v>237</v>
      </c>
      <c r="L7" s="38" t="s">
        <v>237</v>
      </c>
      <c r="M7" s="38" t="s">
        <v>237</v>
      </c>
      <c r="N7" s="38" t="s">
        <v>237</v>
      </c>
      <c r="O7" s="38" t="s">
        <v>237</v>
      </c>
      <c r="P7" s="38" t="s">
        <v>237</v>
      </c>
      <c r="Q7" s="38" t="s">
        <v>237</v>
      </c>
      <c r="R7" s="38" t="s">
        <v>237</v>
      </c>
      <c r="S7" s="38" t="s">
        <v>237</v>
      </c>
      <c r="T7" s="98" t="s">
        <v>100</v>
      </c>
      <c r="U7" s="98" t="s">
        <v>239</v>
      </c>
      <c r="V7" s="38" t="s">
        <v>240</v>
      </c>
      <c r="W7" s="40" t="s">
        <v>241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243</v>
      </c>
      <c r="B9" s="267">
        <v>71.540000000000006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26" si="0">SUM(B9+C9+D9+F9+G9+H9+I9+J9+K9+L9+M9+N9+O9+P9+Q9+R9+S9)</f>
        <v>71.540000000000006</v>
      </c>
      <c r="U9" s="2">
        <f t="shared" ref="U9:U26" si="1">E9</f>
        <v>0</v>
      </c>
      <c r="V9" s="2">
        <f>F9</f>
        <v>0</v>
      </c>
      <c r="W9" s="2">
        <f>SUM(T9:V9)</f>
        <v>71.540000000000006</v>
      </c>
      <c r="X9" s="1"/>
      <c r="Y9" s="1"/>
    </row>
    <row r="10" spans="1:25" hidden="1" x14ac:dyDescent="0.2">
      <c r="A10" s="1" t="s">
        <v>567</v>
      </c>
      <c r="B10" s="2"/>
      <c r="C10" s="26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0"/>
        <v>0</v>
      </c>
      <c r="U10" s="2">
        <f t="shared" si="1"/>
        <v>0</v>
      </c>
      <c r="V10" s="2"/>
      <c r="W10" s="2">
        <f t="shared" ref="W10:W26" si="2">SUM(T10:V10)</f>
        <v>0</v>
      </c>
      <c r="X10" s="1"/>
      <c r="Y10" s="1"/>
    </row>
    <row r="11" spans="1:25" x14ac:dyDescent="0.2">
      <c r="A11" s="1" t="s">
        <v>242</v>
      </c>
      <c r="B11" s="2"/>
      <c r="C11" s="2"/>
      <c r="D11" s="267">
        <v>83.35</v>
      </c>
      <c r="E11" s="267">
        <v>170.1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0"/>
        <v>83.35</v>
      </c>
      <c r="U11" s="2">
        <f t="shared" si="1"/>
        <v>170.1</v>
      </c>
      <c r="V11" s="2">
        <f>F11</f>
        <v>0</v>
      </c>
      <c r="W11" s="2">
        <f t="shared" si="2"/>
        <v>253.45</v>
      </c>
      <c r="X11" s="1"/>
      <c r="Y11" s="1"/>
    </row>
    <row r="12" spans="1:25" x14ac:dyDescent="0.2">
      <c r="A12" s="1" t="s">
        <v>729</v>
      </c>
      <c r="B12" s="2"/>
      <c r="C12" s="2"/>
      <c r="D12" s="267">
        <v>97.7</v>
      </c>
      <c r="E12" s="377">
        <v>199.38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97.7</v>
      </c>
      <c r="U12" s="2">
        <f>E12</f>
        <v>199.38</v>
      </c>
      <c r="V12" s="2"/>
      <c r="W12" s="2">
        <f>SUM(T12:V12)</f>
        <v>297.08</v>
      </c>
      <c r="X12" s="1"/>
      <c r="Y12" s="1"/>
    </row>
    <row r="13" spans="1:25" x14ac:dyDescent="0.2">
      <c r="A13" s="1" t="s">
        <v>245</v>
      </c>
      <c r="B13" s="2"/>
      <c r="C13" s="2"/>
      <c r="D13" s="267">
        <v>87.98</v>
      </c>
      <c r="E13" s="40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0"/>
        <v>87.98</v>
      </c>
      <c r="U13" s="2">
        <f t="shared" si="1"/>
        <v>0</v>
      </c>
      <c r="V13" s="2"/>
      <c r="W13" s="2">
        <f t="shared" si="2"/>
        <v>87.98</v>
      </c>
      <c r="X13" s="1"/>
      <c r="Y13" s="1"/>
    </row>
    <row r="14" spans="1:25" x14ac:dyDescent="0.2">
      <c r="A14" s="1" t="s">
        <v>246</v>
      </c>
      <c r="B14" s="2"/>
      <c r="C14" s="2"/>
      <c r="D14" s="377">
        <f>18110.4+16462.35+1018.57+4919.61+13415.28+17301.61+61715.28+2309.45+234.83+871.14+19588.74+2287.96+85804.19+17798.1+20700.19+159.47+10130.96+4507.46</f>
        <v>297335.59000000003</v>
      </c>
      <c r="E14" s="377">
        <f>36960+33596.64+2078.72+10040.02+27378.12+35309.4+125949.56+4713.16+479.24+1777.84+39977.02+4669.3+175110.6+36322.66+42245.28+325.44+20675.42+9198.9</f>
        <v>606807.31999999995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297335.59000000003</v>
      </c>
      <c r="U14" s="2">
        <f t="shared" si="1"/>
        <v>606807.31999999995</v>
      </c>
      <c r="V14" s="2">
        <v>0</v>
      </c>
      <c r="W14" s="2">
        <f t="shared" si="2"/>
        <v>904142.91</v>
      </c>
      <c r="X14" s="1"/>
      <c r="Y14" s="1"/>
    </row>
    <row r="15" spans="1:25" x14ac:dyDescent="0.2">
      <c r="A15" s="1" t="s">
        <v>247</v>
      </c>
      <c r="B15" s="2"/>
      <c r="C15" s="2"/>
      <c r="D15" s="267">
        <f>2599.2+36260.48</f>
        <v>38859.68</v>
      </c>
      <c r="E15" s="267">
        <f>5304.5+74000.98</f>
        <v>79305.48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38859.68</v>
      </c>
      <c r="U15" s="2">
        <f t="shared" si="1"/>
        <v>79305.48</v>
      </c>
      <c r="V15" s="2"/>
      <c r="W15" s="2">
        <f t="shared" si="2"/>
        <v>118165.16</v>
      </c>
      <c r="X15" s="1"/>
      <c r="Y15" s="1"/>
    </row>
    <row r="16" spans="1:25" x14ac:dyDescent="0.2">
      <c r="A16" s="1" t="s">
        <v>582</v>
      </c>
      <c r="B16" s="2"/>
      <c r="C16" s="2"/>
      <c r="D16" s="267">
        <v>2099.34</v>
      </c>
      <c r="E16" s="267">
        <v>4284.3599999999997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2099.34</v>
      </c>
      <c r="U16" s="2">
        <f t="shared" si="1"/>
        <v>4284.3599999999997</v>
      </c>
      <c r="V16" s="2"/>
      <c r="W16" s="2">
        <f t="shared" si="2"/>
        <v>6383.7</v>
      </c>
      <c r="X16" s="1"/>
      <c r="Y16" s="1"/>
    </row>
    <row r="17" spans="1:25" x14ac:dyDescent="0.2">
      <c r="A17" s="1" t="s">
        <v>566</v>
      </c>
      <c r="B17" s="2"/>
      <c r="C17" s="2"/>
      <c r="D17" s="2"/>
      <c r="E17" s="2"/>
      <c r="F17" s="267">
        <f>78.87+157.37+17.74</f>
        <v>253.98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0"/>
        <v>253.98</v>
      </c>
      <c r="U17" s="2">
        <f t="shared" si="1"/>
        <v>0</v>
      </c>
      <c r="V17" s="2"/>
      <c r="W17" s="2">
        <f t="shared" si="2"/>
        <v>253.98</v>
      </c>
      <c r="X17" s="1"/>
      <c r="Y17" s="1"/>
    </row>
    <row r="18" spans="1:25" x14ac:dyDescent="0.2">
      <c r="A18" s="2" t="s">
        <v>244</v>
      </c>
      <c r="B18" s="2"/>
      <c r="C18" s="2"/>
      <c r="D18" s="2"/>
      <c r="E18" s="2"/>
      <c r="F18" s="2"/>
      <c r="G18" s="267">
        <v>727.16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727.16</v>
      </c>
      <c r="U18" s="2">
        <f t="shared" si="1"/>
        <v>0</v>
      </c>
      <c r="V18" s="2"/>
      <c r="W18" s="2">
        <f t="shared" si="2"/>
        <v>727.16</v>
      </c>
      <c r="X18" s="1"/>
      <c r="Y18" s="1"/>
    </row>
    <row r="19" spans="1:25" x14ac:dyDescent="0.2">
      <c r="A19" s="2" t="s">
        <v>579</v>
      </c>
      <c r="B19" s="2"/>
      <c r="C19" s="2"/>
      <c r="D19" s="2"/>
      <c r="E19" s="2"/>
      <c r="F19" s="2"/>
      <c r="G19" s="267">
        <v>173.13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173.13</v>
      </c>
      <c r="U19" s="2">
        <f>E19</f>
        <v>0</v>
      </c>
      <c r="V19" s="2"/>
      <c r="W19" s="2">
        <f>SUM(T19:V19)</f>
        <v>173.13</v>
      </c>
      <c r="X19" s="1"/>
      <c r="Y19" s="1"/>
    </row>
    <row r="20" spans="1:25" x14ac:dyDescent="0.2">
      <c r="A20" s="2" t="s">
        <v>568</v>
      </c>
      <c r="B20" s="2"/>
      <c r="C20" s="2"/>
      <c r="D20" s="2"/>
      <c r="E20" s="2"/>
      <c r="F20" s="2"/>
      <c r="G20" s="2"/>
      <c r="H20" s="2"/>
      <c r="I20" s="2"/>
      <c r="J20" s="267">
        <v>29.72</v>
      </c>
      <c r="K20" s="2"/>
      <c r="L20" s="2"/>
      <c r="M20" s="2"/>
      <c r="N20" s="2"/>
      <c r="O20" s="2"/>
      <c r="P20" s="2"/>
      <c r="Q20" s="2"/>
      <c r="R20" s="2"/>
      <c r="S20" s="2"/>
      <c r="T20" s="2">
        <f t="shared" si="0"/>
        <v>29.72</v>
      </c>
      <c r="U20" s="2">
        <f t="shared" si="1"/>
        <v>0</v>
      </c>
      <c r="V20" s="2"/>
      <c r="W20" s="2">
        <f t="shared" si="2"/>
        <v>29.72</v>
      </c>
      <c r="X20" s="1"/>
      <c r="Y20" s="1"/>
    </row>
    <row r="21" spans="1:25" hidden="1" x14ac:dyDescent="0.2">
      <c r="A21" s="1" t="s">
        <v>569</v>
      </c>
      <c r="B21" s="2"/>
      <c r="C21" s="2"/>
      <c r="D21" s="2"/>
      <c r="E21" s="2"/>
      <c r="F21" s="2"/>
      <c r="G21" s="2"/>
      <c r="H21" s="2"/>
      <c r="I21" s="2"/>
      <c r="J21" s="2"/>
      <c r="K21" s="267"/>
      <c r="L21" s="2"/>
      <c r="M21" s="2"/>
      <c r="N21" s="2"/>
      <c r="O21" s="2"/>
      <c r="P21" s="2"/>
      <c r="Q21" s="2"/>
      <c r="R21" s="2"/>
      <c r="S21" s="2"/>
      <c r="T21" s="2">
        <f t="shared" si="0"/>
        <v>0</v>
      </c>
      <c r="U21" s="2">
        <f t="shared" si="1"/>
        <v>0</v>
      </c>
      <c r="V21" s="2"/>
      <c r="W21" s="2">
        <f t="shared" si="2"/>
        <v>0</v>
      </c>
      <c r="X21" s="1"/>
      <c r="Y21" s="1"/>
    </row>
    <row r="22" spans="1:25" x14ac:dyDescent="0.2">
      <c r="A22" s="1" t="s">
        <v>581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67">
        <v>37.1</v>
      </c>
      <c r="N22" s="2"/>
      <c r="O22" s="2"/>
      <c r="P22" s="2"/>
      <c r="Q22" s="2"/>
      <c r="R22" s="2"/>
      <c r="S22" s="2"/>
      <c r="T22" s="2">
        <f t="shared" si="0"/>
        <v>37.1</v>
      </c>
      <c r="U22" s="2">
        <f t="shared" si="1"/>
        <v>0</v>
      </c>
      <c r="V22" s="2"/>
      <c r="W22" s="2">
        <f t="shared" si="2"/>
        <v>37.1</v>
      </c>
      <c r="X22" s="1"/>
      <c r="Y22" s="1"/>
    </row>
    <row r="23" spans="1:25" hidden="1" x14ac:dyDescent="0.2">
      <c r="A23" s="1" t="s">
        <v>570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67"/>
      <c r="P23" s="2"/>
      <c r="Q23" s="2"/>
      <c r="R23" s="2"/>
      <c r="S23" s="2"/>
      <c r="T23" s="2">
        <f t="shared" si="0"/>
        <v>0</v>
      </c>
      <c r="U23" s="2">
        <f t="shared" si="1"/>
        <v>0</v>
      </c>
      <c r="V23" s="2"/>
      <c r="W23" s="2">
        <f t="shared" si="2"/>
        <v>0</v>
      </c>
      <c r="X23" s="1"/>
      <c r="Y23" s="1"/>
    </row>
    <row r="24" spans="1:25" x14ac:dyDescent="0.2">
      <c r="A24" s="1" t="s">
        <v>249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67">
        <f>2263.8+451.11+2441.09+620.29+264.89+830.53+288.12+8311.03+15631.74+3210.07-23.22+1955.1</f>
        <v>36244.550000000003</v>
      </c>
      <c r="S24" s="2"/>
      <c r="T24" s="2">
        <f t="shared" si="0"/>
        <v>36244.550000000003</v>
      </c>
      <c r="U24" s="2">
        <f t="shared" si="1"/>
        <v>0</v>
      </c>
      <c r="V24" s="2"/>
      <c r="W24" s="2">
        <f t="shared" si="2"/>
        <v>36244.550000000003</v>
      </c>
      <c r="X24" s="1"/>
      <c r="Y24" s="1"/>
    </row>
    <row r="25" spans="1:25" x14ac:dyDescent="0.2">
      <c r="A25" s="1" t="s">
        <v>248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67">
        <v>78.75</v>
      </c>
      <c r="S25" s="2"/>
      <c r="T25" s="2">
        <f t="shared" si="0"/>
        <v>78.75</v>
      </c>
      <c r="U25" s="2">
        <f t="shared" si="1"/>
        <v>0</v>
      </c>
      <c r="V25" s="2"/>
      <c r="W25" s="2">
        <f t="shared" si="2"/>
        <v>78.75</v>
      </c>
      <c r="X25" s="1"/>
      <c r="Y25" s="1"/>
    </row>
    <row r="26" spans="1:25" x14ac:dyDescent="0.2">
      <c r="A26" s="1" t="s">
        <v>571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67">
        <v>4.91</v>
      </c>
      <c r="S26" s="2"/>
      <c r="T26" s="2">
        <f t="shared" si="0"/>
        <v>4.91</v>
      </c>
      <c r="U26" s="2">
        <f t="shared" si="1"/>
        <v>0</v>
      </c>
      <c r="V26" s="2"/>
      <c r="W26" s="2">
        <f t="shared" si="2"/>
        <v>4.91</v>
      </c>
      <c r="X26" s="1"/>
      <c r="Y26" s="1"/>
    </row>
    <row r="27" spans="1:25" x14ac:dyDescent="0.2">
      <c r="X27" s="1"/>
      <c r="Y27" s="1"/>
    </row>
    <row r="28" spans="1:25" ht="25.5" customHeight="1" thickBot="1" x14ac:dyDescent="0.25">
      <c r="A28" s="21" t="s">
        <v>250</v>
      </c>
      <c r="B28" s="36">
        <f t="shared" ref="B28:W28" si="3">SUM(B8:B27)</f>
        <v>71.540000000000006</v>
      </c>
      <c r="C28" s="36">
        <f t="shared" si="3"/>
        <v>0</v>
      </c>
      <c r="D28" s="36">
        <f t="shared" si="3"/>
        <v>338563.64</v>
      </c>
      <c r="E28" s="36">
        <f t="shared" si="3"/>
        <v>690766.64</v>
      </c>
      <c r="F28" s="36">
        <f t="shared" si="3"/>
        <v>253.98</v>
      </c>
      <c r="G28" s="36">
        <f t="shared" si="3"/>
        <v>900.29</v>
      </c>
      <c r="H28" s="36">
        <f t="shared" si="3"/>
        <v>0</v>
      </c>
      <c r="I28" s="36">
        <f t="shared" si="3"/>
        <v>0</v>
      </c>
      <c r="J28" s="36">
        <f t="shared" si="3"/>
        <v>29.72</v>
      </c>
      <c r="K28" s="36">
        <f t="shared" si="3"/>
        <v>0</v>
      </c>
      <c r="L28" s="36">
        <f t="shared" si="3"/>
        <v>0</v>
      </c>
      <c r="M28" s="36">
        <f t="shared" si="3"/>
        <v>37.1</v>
      </c>
      <c r="N28" s="36">
        <f t="shared" si="3"/>
        <v>0</v>
      </c>
      <c r="O28" s="36">
        <f t="shared" si="3"/>
        <v>0</v>
      </c>
      <c r="P28" s="36">
        <f t="shared" si="3"/>
        <v>0</v>
      </c>
      <c r="Q28" s="36">
        <f t="shared" si="3"/>
        <v>0</v>
      </c>
      <c r="R28" s="36">
        <f t="shared" si="3"/>
        <v>36328.21</v>
      </c>
      <c r="S28" s="36">
        <f t="shared" si="3"/>
        <v>0</v>
      </c>
      <c r="T28" s="36">
        <f t="shared" si="3"/>
        <v>376184.48</v>
      </c>
      <c r="U28" s="36">
        <f t="shared" si="3"/>
        <v>690766.64</v>
      </c>
      <c r="V28" s="36">
        <f t="shared" si="3"/>
        <v>0</v>
      </c>
      <c r="W28" s="36">
        <f t="shared" si="3"/>
        <v>1066951.1200000001</v>
      </c>
      <c r="X28" s="2">
        <f>SUM(B28:S28)</f>
        <v>1066951.1200000001</v>
      </c>
      <c r="Y28" s="1"/>
    </row>
    <row r="29" spans="1:25" hidden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34">
        <f>'s5'!F34</f>
        <v>1066951.1200000001</v>
      </c>
      <c r="Y29" s="1"/>
    </row>
    <row r="30" spans="1:25" hidden="1" x14ac:dyDescent="0.2">
      <c r="A30" s="1"/>
      <c r="B30" s="7"/>
      <c r="C30" s="1"/>
      <c r="D30" s="254"/>
      <c r="E30" s="9"/>
      <c r="F30" s="9"/>
      <c r="G30" s="9"/>
      <c r="H30" s="1"/>
      <c r="I30" s="1"/>
      <c r="J30" s="14"/>
      <c r="K30" s="9"/>
      <c r="L30" s="9"/>
      <c r="M30" s="9"/>
      <c r="N30" s="9"/>
      <c r="O30" s="9"/>
      <c r="P30" s="14"/>
      <c r="Q30" s="9"/>
      <c r="R30" s="2"/>
      <c r="S30" s="1"/>
      <c r="T30" s="2"/>
      <c r="U30" s="2"/>
      <c r="V30" s="1"/>
      <c r="W30" s="2">
        <f>W28-X28</f>
        <v>0</v>
      </c>
      <c r="X30" s="134">
        <f>X28-X29</f>
        <v>0</v>
      </c>
      <c r="Y30" s="1"/>
    </row>
    <row r="31" spans="1:2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</row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41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6" width="11.7109375" customWidth="1"/>
    <col min="7" max="7" width="11.7109375" hidden="1" customWidth="1"/>
    <col min="8" max="8" width="15.7109375" hidden="1" customWidth="1"/>
    <col min="9" max="10" width="12" customWidth="1"/>
    <col min="11" max="11" width="11.85546875" customWidth="1"/>
    <col min="12" max="12" width="12.5703125" customWidth="1"/>
    <col min="14" max="14" width="18.7109375" customWidth="1"/>
    <col min="15" max="15" width="15.7109375" customWidth="1"/>
    <col min="16" max="16" width="12.7109375" customWidth="1"/>
    <col min="17" max="17" width="18.42578125" customWidth="1"/>
    <col min="18" max="18" width="14.85546875" customWidth="1"/>
    <col min="19" max="19" width="15.7109375" customWidth="1"/>
    <col min="20" max="21" width="16.28515625" customWidth="1"/>
    <col min="22" max="22" width="16.28515625" hidden="1" customWidth="1"/>
    <col min="23" max="23" width="14.7109375" hidden="1" customWidth="1"/>
    <col min="24" max="24" width="12.42578125" hidden="1" customWidth="1"/>
    <col min="25" max="25" width="10.7109375" hidden="1" customWidth="1"/>
    <col min="26" max="26" width="10.7109375" customWidth="1"/>
    <col min="31" max="31" width="10" customWidth="1"/>
    <col min="32" max="32" width="11.7109375" customWidth="1"/>
    <col min="33" max="34" width="12.5703125" customWidth="1"/>
    <col min="35" max="35" width="11.5703125" customWidth="1"/>
  </cols>
  <sheetData>
    <row r="1" spans="1:35" ht="15.75" x14ac:dyDescent="0.25">
      <c r="A1" s="111" t="s">
        <v>251</v>
      </c>
      <c r="B1" s="68"/>
      <c r="N1" s="68" t="s">
        <v>360</v>
      </c>
      <c r="O1" s="68"/>
      <c r="AD1" s="16"/>
      <c r="AE1" s="5"/>
      <c r="AF1" s="5"/>
      <c r="AG1" s="5"/>
      <c r="AH1" s="5"/>
    </row>
    <row r="2" spans="1:35" ht="15.75" x14ac:dyDescent="0.25">
      <c r="A2" s="122" t="str">
        <f>ReportMonth</f>
        <v>NOVEMBER 2004</v>
      </c>
      <c r="B2" s="68" t="s">
        <v>85</v>
      </c>
      <c r="N2" s="123" t="str">
        <f>ReportMonth</f>
        <v>NOVEMBER 2004</v>
      </c>
      <c r="O2" s="68" t="s">
        <v>85</v>
      </c>
      <c r="AD2" s="16"/>
      <c r="AE2" s="5"/>
      <c r="AF2" s="5"/>
      <c r="AG2" s="5"/>
      <c r="AH2" s="5"/>
    </row>
    <row r="3" spans="1:35" ht="21.75" customHeight="1" x14ac:dyDescent="0.25">
      <c r="A3" s="66" t="s">
        <v>252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N3" s="96" t="s">
        <v>253</v>
      </c>
      <c r="O3" s="43"/>
      <c r="P3" s="43"/>
      <c r="Q3" s="43"/>
      <c r="R3" s="43"/>
      <c r="S3" s="43"/>
      <c r="T3" s="43"/>
      <c r="U3" s="43"/>
      <c r="V3" s="43"/>
      <c r="AD3" s="16"/>
      <c r="AE3" s="5"/>
      <c r="AF3" s="5"/>
      <c r="AG3" s="5"/>
      <c r="AH3" s="5"/>
      <c r="AI3" s="24"/>
    </row>
    <row r="4" spans="1:35" ht="27" customHeight="1" x14ac:dyDescent="0.2">
      <c r="S4" s="24" t="s">
        <v>345</v>
      </c>
      <c r="T4" s="121"/>
      <c r="U4" s="121"/>
      <c r="V4" s="121" t="s">
        <v>255</v>
      </c>
      <c r="AD4" s="16"/>
      <c r="AE4" s="5"/>
      <c r="AF4" s="5"/>
      <c r="AG4" s="5"/>
      <c r="AH4" s="5"/>
      <c r="AI4" s="24"/>
    </row>
    <row r="5" spans="1:35" x14ac:dyDescent="0.2">
      <c r="B5" s="6" t="s">
        <v>257</v>
      </c>
      <c r="C5" s="29"/>
      <c r="D5" s="29"/>
      <c r="E5" s="29"/>
      <c r="F5" s="29"/>
      <c r="G5" s="29" t="s">
        <v>505</v>
      </c>
      <c r="H5" s="29"/>
      <c r="I5" s="29"/>
      <c r="J5" s="29"/>
      <c r="L5" s="29" t="s">
        <v>12</v>
      </c>
      <c r="M5" s="29"/>
      <c r="N5" s="29"/>
      <c r="O5" s="124" t="s">
        <v>258</v>
      </c>
      <c r="Q5" s="120" t="s">
        <v>259</v>
      </c>
      <c r="R5" s="6"/>
      <c r="S5" s="5" t="s">
        <v>260</v>
      </c>
      <c r="T5" s="5" t="s">
        <v>260</v>
      </c>
      <c r="U5" s="5" t="s">
        <v>346</v>
      </c>
      <c r="V5" s="5" t="s">
        <v>503</v>
      </c>
      <c r="W5" s="24" t="s">
        <v>254</v>
      </c>
      <c r="X5" s="16"/>
    </row>
    <row r="6" spans="1:35" ht="12" customHeight="1" x14ac:dyDescent="0.2">
      <c r="B6" s="39" t="s">
        <v>261</v>
      </c>
      <c r="C6" s="39" t="s">
        <v>262</v>
      </c>
      <c r="D6" s="39" t="s">
        <v>263</v>
      </c>
      <c r="E6" s="39" t="s">
        <v>615</v>
      </c>
      <c r="F6" s="39" t="s">
        <v>594</v>
      </c>
      <c r="G6" s="39" t="s">
        <v>506</v>
      </c>
      <c r="H6" s="39" t="s">
        <v>264</v>
      </c>
      <c r="I6" s="39" t="s">
        <v>583</v>
      </c>
      <c r="J6" s="39" t="s">
        <v>372</v>
      </c>
      <c r="K6" s="6" t="s">
        <v>580</v>
      </c>
      <c r="L6" s="93" t="s">
        <v>5</v>
      </c>
      <c r="M6" s="29"/>
      <c r="N6" s="29"/>
      <c r="O6" s="125" t="s">
        <v>214</v>
      </c>
      <c r="P6" s="6" t="s">
        <v>153</v>
      </c>
      <c r="Q6" s="125" t="s">
        <v>266</v>
      </c>
      <c r="R6" s="125" t="s">
        <v>267</v>
      </c>
      <c r="S6" s="139" t="s">
        <v>268</v>
      </c>
      <c r="T6" s="139" t="s">
        <v>8</v>
      </c>
      <c r="U6" s="139" t="s">
        <v>347</v>
      </c>
      <c r="V6" s="124" t="s">
        <v>269</v>
      </c>
      <c r="W6" s="61" t="s">
        <v>256</v>
      </c>
      <c r="AH6" s="24"/>
    </row>
    <row r="7" spans="1:35" x14ac:dyDescent="0.2">
      <c r="B7" s="38" t="s">
        <v>270</v>
      </c>
      <c r="C7" s="38" t="s">
        <v>270</v>
      </c>
      <c r="D7" s="38" t="s">
        <v>271</v>
      </c>
      <c r="E7" s="38" t="s">
        <v>466</v>
      </c>
      <c r="F7" s="38" t="s">
        <v>272</v>
      </c>
      <c r="G7" s="38" t="s">
        <v>270</v>
      </c>
      <c r="H7" s="38" t="s">
        <v>272</v>
      </c>
      <c r="I7" s="38" t="s">
        <v>584</v>
      </c>
      <c r="J7" s="38" t="s">
        <v>373</v>
      </c>
      <c r="K7" s="39" t="s">
        <v>273</v>
      </c>
      <c r="L7" s="38" t="s">
        <v>12</v>
      </c>
      <c r="M7" s="29"/>
      <c r="N7" s="29"/>
      <c r="O7" s="140" t="s">
        <v>274</v>
      </c>
      <c r="P7" s="141" t="s">
        <v>265</v>
      </c>
      <c r="Q7" s="140" t="s">
        <v>344</v>
      </c>
      <c r="R7" s="140" t="s">
        <v>275</v>
      </c>
      <c r="S7" s="142" t="s">
        <v>155</v>
      </c>
      <c r="T7" s="142" t="s">
        <v>10</v>
      </c>
      <c r="U7" s="142" t="s">
        <v>155</v>
      </c>
      <c r="V7" s="126" t="s">
        <v>276</v>
      </c>
      <c r="X7" s="6"/>
      <c r="Y7" s="6"/>
      <c r="Z7" s="6"/>
      <c r="AB7" s="5"/>
    </row>
    <row r="8" spans="1:35" ht="30" customHeight="1" x14ac:dyDescent="0.2">
      <c r="A8" s="16" t="s">
        <v>136</v>
      </c>
      <c r="B8" s="7"/>
      <c r="C8" s="7">
        <v>7975</v>
      </c>
      <c r="D8" s="7"/>
      <c r="E8" s="7"/>
      <c r="F8" s="7"/>
      <c r="G8" s="7"/>
      <c r="H8" s="7"/>
      <c r="I8" s="7"/>
      <c r="J8" s="7"/>
      <c r="K8" s="7"/>
      <c r="L8" s="7">
        <f t="shared" ref="L8:L22" si="0">SUM(B8:J8)</f>
        <v>7975</v>
      </c>
      <c r="N8" s="16" t="s">
        <v>136</v>
      </c>
      <c r="O8" s="2">
        <f>SUM(AvCaGals*0.0196)</f>
        <v>156.31</v>
      </c>
      <c r="P8" s="15"/>
      <c r="Q8" s="31">
        <f>AvCaBase/AVGAS10.5</f>
        <v>3.5697E-2</v>
      </c>
      <c r="R8" s="101">
        <f>CAP*AvCaPer</f>
        <v>156.31</v>
      </c>
      <c r="S8" s="2">
        <f>AvCaBase-AvCaDed</f>
        <v>0</v>
      </c>
      <c r="T8" s="101"/>
      <c r="U8" s="101">
        <f t="shared" ref="U8:U24" si="1">S8+T8</f>
        <v>0</v>
      </c>
      <c r="V8" s="101"/>
      <c r="X8" s="2"/>
      <c r="Y8" s="2"/>
      <c r="Z8" s="2"/>
      <c r="AB8" s="1"/>
      <c r="AC8" s="2"/>
      <c r="AD8" s="2"/>
      <c r="AE8" s="2"/>
      <c r="AF8" s="11"/>
      <c r="AG8" s="2"/>
      <c r="AH8" s="2"/>
    </row>
    <row r="9" spans="1:35" x14ac:dyDescent="0.2">
      <c r="A9" s="16" t="s">
        <v>137</v>
      </c>
      <c r="B9" s="7"/>
      <c r="C9" s="7">
        <v>4982</v>
      </c>
      <c r="D9" s="7"/>
      <c r="E9" s="7"/>
      <c r="F9" s="7"/>
      <c r="G9" s="7"/>
      <c r="H9" s="7"/>
      <c r="I9" s="7"/>
      <c r="J9" s="7"/>
      <c r="K9" s="7"/>
      <c r="L9" s="7">
        <f t="shared" si="0"/>
        <v>4982</v>
      </c>
      <c r="N9" s="16" t="s">
        <v>137</v>
      </c>
      <c r="O9" s="2">
        <f>SUM(AvChGals*0.0196)</f>
        <v>97.65</v>
      </c>
      <c r="P9" s="15"/>
      <c r="Q9" s="31">
        <f>AvChBase/AVGAS10.5</f>
        <v>2.23E-2</v>
      </c>
      <c r="R9" s="101">
        <f>CAP*AvChPer</f>
        <v>97.65</v>
      </c>
      <c r="S9" s="2">
        <f>AvChBase-AvChDed</f>
        <v>0</v>
      </c>
      <c r="T9" s="101"/>
      <c r="U9" s="101">
        <f t="shared" si="1"/>
        <v>0</v>
      </c>
      <c r="V9" s="101"/>
      <c r="X9" s="2"/>
      <c r="Y9" s="2"/>
      <c r="Z9" s="2"/>
      <c r="AB9" s="1"/>
      <c r="AC9" s="2"/>
      <c r="AD9" s="2"/>
      <c r="AE9" s="2"/>
      <c r="AF9" s="11"/>
      <c r="AG9" s="2"/>
      <c r="AH9" s="2"/>
    </row>
    <row r="10" spans="1:35" x14ac:dyDescent="0.2">
      <c r="A10" s="16" t="s">
        <v>138</v>
      </c>
      <c r="B10" s="7">
        <v>128526</v>
      </c>
      <c r="C10" s="7">
        <v>16613</v>
      </c>
      <c r="D10" s="7"/>
      <c r="E10" s="7">
        <v>150</v>
      </c>
      <c r="F10" s="7"/>
      <c r="G10" s="7"/>
      <c r="H10" s="7"/>
      <c r="I10" s="7"/>
      <c r="J10" s="7">
        <v>6768</v>
      </c>
      <c r="K10" s="7"/>
      <c r="L10" s="7">
        <f t="shared" si="0"/>
        <v>152057</v>
      </c>
      <c r="N10" s="16" t="s">
        <v>138</v>
      </c>
      <c r="O10" s="2">
        <f>SUM(AvClGals*0.0196)-0.01</f>
        <v>2980.31</v>
      </c>
      <c r="P10" s="15"/>
      <c r="Q10" s="31">
        <f>AvClBase/AVGAS10.5</f>
        <v>0.68061799999999995</v>
      </c>
      <c r="R10" s="101">
        <f>CAP*AvClPer</f>
        <v>2980.31</v>
      </c>
      <c r="S10" s="2">
        <f>AvClBase-AvClDed</f>
        <v>0</v>
      </c>
      <c r="T10" s="101"/>
      <c r="U10" s="101">
        <f t="shared" si="1"/>
        <v>0</v>
      </c>
      <c r="V10" s="101"/>
      <c r="X10" s="2"/>
      <c r="Y10" s="2"/>
      <c r="Z10" s="2"/>
      <c r="AB10" s="1"/>
      <c r="AC10" s="2"/>
      <c r="AD10" s="2"/>
      <c r="AE10" s="2"/>
      <c r="AF10" s="11"/>
      <c r="AG10" s="2"/>
      <c r="AH10" s="2"/>
    </row>
    <row r="11" spans="1:35" x14ac:dyDescent="0.2">
      <c r="A11" s="16" t="s">
        <v>139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N11" s="16" t="s">
        <v>139</v>
      </c>
      <c r="O11" s="78">
        <f>SUM(AvDoGals*0.0196)</f>
        <v>0</v>
      </c>
      <c r="P11" s="15">
        <v>0</v>
      </c>
      <c r="Q11" s="31">
        <f>AvDoBase/AVGAS10.5</f>
        <v>0</v>
      </c>
      <c r="R11" s="101">
        <f>CAP*AvDoPer</f>
        <v>0</v>
      </c>
      <c r="S11" s="2">
        <f>AvDoBase-AvDoDed</f>
        <v>0</v>
      </c>
      <c r="T11" s="101">
        <v>0</v>
      </c>
      <c r="U11" s="101">
        <f t="shared" si="1"/>
        <v>0</v>
      </c>
      <c r="V11" s="101"/>
      <c r="X11" s="2"/>
      <c r="Y11" s="2"/>
      <c r="Z11" s="2"/>
      <c r="AB11" s="1"/>
      <c r="AC11" s="2"/>
      <c r="AD11" s="2"/>
      <c r="AE11" s="2"/>
      <c r="AF11" s="11"/>
      <c r="AG11" s="2"/>
      <c r="AH11" s="2"/>
    </row>
    <row r="12" spans="1:35" x14ac:dyDescent="0.2">
      <c r="A12" s="16" t="s">
        <v>140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N12" s="16" t="s">
        <v>140</v>
      </c>
      <c r="O12" s="2">
        <f>SUM(AvElGals*0.0196)</f>
        <v>0</v>
      </c>
      <c r="P12" s="15"/>
      <c r="Q12" s="31">
        <f>AvElBase/AVGAS10.5</f>
        <v>0</v>
      </c>
      <c r="R12" s="101">
        <f>CAP*AvElPer</f>
        <v>0</v>
      </c>
      <c r="S12" s="2">
        <f>AvElBase-AvElDed</f>
        <v>0</v>
      </c>
      <c r="T12" s="101">
        <f>AvElGals*0.08</f>
        <v>0</v>
      </c>
      <c r="U12" s="101">
        <f t="shared" si="1"/>
        <v>0</v>
      </c>
      <c r="V12" s="101"/>
      <c r="X12" s="2"/>
      <c r="Y12" s="2"/>
      <c r="Z12" s="2"/>
      <c r="AB12" s="1"/>
      <c r="AC12" s="2"/>
      <c r="AD12" s="2"/>
      <c r="AE12" s="2"/>
      <c r="AF12" s="11"/>
      <c r="AG12" s="2"/>
      <c r="AH12" s="2"/>
    </row>
    <row r="13" spans="1:35" x14ac:dyDescent="0.2">
      <c r="A13" s="16" t="s">
        <v>141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N13" s="16" t="s">
        <v>141</v>
      </c>
      <c r="O13" s="2">
        <f>SUM(AvEsGals*0.0196)</f>
        <v>0</v>
      </c>
      <c r="P13" s="15"/>
      <c r="Q13" s="31">
        <f>AvEsBase/AVGAS10.5</f>
        <v>0</v>
      </c>
      <c r="R13" s="101">
        <f>CAP*AvEsPer</f>
        <v>0</v>
      </c>
      <c r="S13" s="2">
        <f>AvEsBase-AvEsDed</f>
        <v>0</v>
      </c>
      <c r="T13" s="101"/>
      <c r="U13" s="101">
        <f t="shared" si="1"/>
        <v>0</v>
      </c>
      <c r="V13" s="101"/>
      <c r="X13" s="2"/>
      <c r="Y13" s="2"/>
      <c r="Z13" s="2"/>
      <c r="AB13" s="1"/>
      <c r="AC13" s="2"/>
      <c r="AD13" s="2"/>
      <c r="AE13" s="2"/>
      <c r="AF13" s="11"/>
      <c r="AG13" s="2"/>
      <c r="AH13" s="2"/>
    </row>
    <row r="14" spans="1:35" x14ac:dyDescent="0.2">
      <c r="A14" s="16" t="s">
        <v>142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N14" s="16" t="s">
        <v>142</v>
      </c>
      <c r="O14" s="2">
        <f>SUM(AvEuGals*0.0196)</f>
        <v>0</v>
      </c>
      <c r="P14" s="15"/>
      <c r="Q14" s="31">
        <f>AvEuBase/AVGAS10.5</f>
        <v>0</v>
      </c>
      <c r="R14" s="101">
        <f>CAP*AvEuPer</f>
        <v>0</v>
      </c>
      <c r="S14" s="2">
        <f>AvEuBase-AvEuDed</f>
        <v>0</v>
      </c>
      <c r="T14" s="101"/>
      <c r="U14" s="101">
        <f t="shared" si="1"/>
        <v>0</v>
      </c>
      <c r="V14" s="101"/>
      <c r="X14" s="2"/>
      <c r="Y14" s="2"/>
      <c r="Z14" s="2"/>
      <c r="AB14" s="1"/>
      <c r="AC14" s="2"/>
      <c r="AD14" s="2"/>
      <c r="AE14" s="2"/>
      <c r="AF14" s="11"/>
      <c r="AG14" s="2"/>
      <c r="AH14" s="2"/>
    </row>
    <row r="15" spans="1:35" x14ac:dyDescent="0.2">
      <c r="A15" s="16" t="s">
        <v>143</v>
      </c>
      <c r="B15" s="7"/>
      <c r="C15" s="7">
        <v>4038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4038</v>
      </c>
      <c r="N15" s="16" t="s">
        <v>143</v>
      </c>
      <c r="O15" s="2">
        <f>SUM(AvHuGals*0.0196)</f>
        <v>79.14</v>
      </c>
      <c r="P15" s="15"/>
      <c r="Q15" s="31">
        <f>AvHuBase/AVGAS10.5</f>
        <v>1.8072999999999999E-2</v>
      </c>
      <c r="R15" s="101">
        <f>CAP*AvHuPer</f>
        <v>79.14</v>
      </c>
      <c r="S15" s="2">
        <f>AvHuBase-AvHuDed</f>
        <v>0</v>
      </c>
      <c r="T15" s="101">
        <f>AvHuGals*0.08</f>
        <v>323.04000000000002</v>
      </c>
      <c r="U15" s="101">
        <f t="shared" si="1"/>
        <v>323.04000000000002</v>
      </c>
      <c r="V15" s="101"/>
      <c r="X15" s="2"/>
      <c r="Y15" s="2"/>
      <c r="Z15" s="2"/>
      <c r="AB15" s="1"/>
      <c r="AC15" s="2"/>
      <c r="AD15" s="2"/>
      <c r="AE15" s="2"/>
      <c r="AF15" s="11"/>
      <c r="AG15" s="2"/>
      <c r="AH15" s="2"/>
    </row>
    <row r="16" spans="1:35" x14ac:dyDescent="0.2">
      <c r="A16" s="16" t="s">
        <v>144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N16" s="16" t="s">
        <v>144</v>
      </c>
      <c r="O16" s="2">
        <f>SUM(AvLaGals*0.0196)</f>
        <v>0</v>
      </c>
      <c r="P16" s="15"/>
      <c r="Q16" s="31">
        <f>AvLaBase/AVGAS10.5</f>
        <v>0</v>
      </c>
      <c r="R16" s="101">
        <f>CAP*AvLaPer</f>
        <v>0</v>
      </c>
      <c r="S16" s="2">
        <f>AvLaBase-AvLaDed</f>
        <v>0</v>
      </c>
      <c r="T16" s="101"/>
      <c r="U16" s="101">
        <f t="shared" si="1"/>
        <v>0</v>
      </c>
      <c r="V16" s="101"/>
      <c r="X16" s="2"/>
      <c r="Y16" s="2"/>
      <c r="Z16" s="2"/>
      <c r="AB16" s="1"/>
      <c r="AC16" s="2"/>
      <c r="AD16" s="2"/>
      <c r="AE16" s="2"/>
      <c r="AF16" s="11"/>
      <c r="AG16" s="2"/>
      <c r="AH16" s="2"/>
    </row>
    <row r="17" spans="1:35" x14ac:dyDescent="0.2">
      <c r="A17" s="16" t="s">
        <v>145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N17" s="16" t="s">
        <v>145</v>
      </c>
      <c r="O17" s="2">
        <f>SUM(AvLiGals*0.0196)</f>
        <v>0</v>
      </c>
      <c r="P17" s="15"/>
      <c r="Q17" s="31">
        <f>AvLiBase/AVGAS10.5</f>
        <v>0</v>
      </c>
      <c r="R17" s="101">
        <f>CAP*AvLiPer</f>
        <v>0</v>
      </c>
      <c r="S17" s="2">
        <f>AvLiBase-AvLiDed</f>
        <v>0</v>
      </c>
      <c r="T17" s="101"/>
      <c r="U17" s="101">
        <f t="shared" si="1"/>
        <v>0</v>
      </c>
      <c r="V17" s="101"/>
      <c r="X17" s="2"/>
      <c r="Y17" s="2"/>
      <c r="Z17" s="2"/>
      <c r="AB17" s="1"/>
      <c r="AC17" s="2"/>
      <c r="AD17" s="2"/>
      <c r="AE17" s="2"/>
      <c r="AF17" s="11"/>
      <c r="AG17" s="2"/>
      <c r="AH17" s="2"/>
    </row>
    <row r="18" spans="1:35" x14ac:dyDescent="0.2">
      <c r="A18" s="16" t="s">
        <v>146</v>
      </c>
      <c r="B18" s="7"/>
      <c r="C18" s="7"/>
      <c r="D18" s="7"/>
      <c r="E18" s="7"/>
      <c r="F18" s="7">
        <v>8977</v>
      </c>
      <c r="G18" s="7"/>
      <c r="H18" s="7"/>
      <c r="I18" s="7">
        <v>822</v>
      </c>
      <c r="J18" s="7"/>
      <c r="K18" s="7"/>
      <c r="L18" s="7">
        <f t="shared" si="0"/>
        <v>9799</v>
      </c>
      <c r="N18" s="16" t="s">
        <v>146</v>
      </c>
      <c r="O18" s="2">
        <f>SUM(AvLyGals*0.0196)</f>
        <v>192.06</v>
      </c>
      <c r="P18" s="15"/>
      <c r="Q18" s="31">
        <f>AvLyBase/AVGAS10.5</f>
        <v>4.3860999999999997E-2</v>
      </c>
      <c r="R18" s="101">
        <f>CAP*AvLyPer</f>
        <v>192.06</v>
      </c>
      <c r="S18" s="2">
        <f>AvLyBase-AvLyDed</f>
        <v>0</v>
      </c>
      <c r="T18" s="101"/>
      <c r="U18" s="101">
        <f t="shared" si="1"/>
        <v>0</v>
      </c>
      <c r="V18" s="101"/>
      <c r="X18" s="2"/>
      <c r="Y18" s="2"/>
      <c r="Z18" s="2"/>
      <c r="AB18" s="1"/>
      <c r="AC18" s="2"/>
      <c r="AD18" s="2"/>
      <c r="AE18" s="2"/>
      <c r="AF18" s="11"/>
      <c r="AG18" s="2"/>
      <c r="AH18" s="2"/>
    </row>
    <row r="19" spans="1:35" x14ac:dyDescent="0.2">
      <c r="A19" s="16" t="s">
        <v>147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N19" s="16" t="s">
        <v>147</v>
      </c>
      <c r="O19" s="2">
        <f>SUM(AvMiGals*0.0196)</f>
        <v>0</v>
      </c>
      <c r="P19" s="15"/>
      <c r="Q19" s="31">
        <f>AvMiBase/AVGAS10.5</f>
        <v>0</v>
      </c>
      <c r="R19" s="101">
        <f>CAP*AvMiPer</f>
        <v>0</v>
      </c>
      <c r="S19" s="2">
        <f>AvMiBase-AvMiDed</f>
        <v>0</v>
      </c>
      <c r="T19" s="101"/>
      <c r="U19" s="101">
        <f t="shared" si="1"/>
        <v>0</v>
      </c>
      <c r="V19" s="101"/>
      <c r="X19" s="2"/>
      <c r="Y19" s="2"/>
      <c r="Z19" s="2"/>
      <c r="AB19" s="1"/>
      <c r="AC19" s="2"/>
      <c r="AD19" s="2"/>
      <c r="AE19" s="2"/>
      <c r="AF19" s="11"/>
      <c r="AG19" s="2"/>
      <c r="AH19" s="2"/>
    </row>
    <row r="20" spans="1:35" x14ac:dyDescent="0.2">
      <c r="A20" s="16" t="s">
        <v>148</v>
      </c>
      <c r="B20" s="7"/>
      <c r="C20" s="7">
        <v>8307</v>
      </c>
      <c r="D20" s="7"/>
      <c r="E20" s="7"/>
      <c r="F20" s="7"/>
      <c r="G20" s="7"/>
      <c r="H20" s="7"/>
      <c r="I20" s="7"/>
      <c r="J20" s="7"/>
      <c r="K20" s="7"/>
      <c r="L20" s="7">
        <f t="shared" si="0"/>
        <v>8307</v>
      </c>
      <c r="N20" s="16" t="s">
        <v>148</v>
      </c>
      <c r="O20" s="2">
        <f>SUM(AvNyGals*0.0196)</f>
        <v>162.82</v>
      </c>
      <c r="P20" s="15"/>
      <c r="Q20" s="31">
        <f>AvNyBase/AVGAS10.5</f>
        <v>3.7183000000000001E-2</v>
      </c>
      <c r="R20" s="101">
        <f>CAP*AvNyPer</f>
        <v>162.82</v>
      </c>
      <c r="S20" s="2">
        <f>AvNyBase-AvNyDed</f>
        <v>0</v>
      </c>
      <c r="T20" s="101"/>
      <c r="U20" s="101">
        <f t="shared" si="1"/>
        <v>0</v>
      </c>
      <c r="V20" s="101"/>
      <c r="X20" s="2"/>
      <c r="Y20" s="2"/>
      <c r="Z20" s="2"/>
      <c r="AB20" s="1"/>
      <c r="AC20" s="2"/>
      <c r="AD20" s="2"/>
      <c r="AE20" s="2"/>
      <c r="AF20" s="11"/>
      <c r="AG20" s="2"/>
      <c r="AH20" s="2"/>
    </row>
    <row r="21" spans="1:35" x14ac:dyDescent="0.2">
      <c r="A21" s="16" t="s">
        <v>149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N21" s="16" t="s">
        <v>149</v>
      </c>
      <c r="O21" s="2">
        <f>SUM(AvPeGals*0.0196)</f>
        <v>0</v>
      </c>
      <c r="P21" s="15"/>
      <c r="Q21" s="31">
        <f>AvPeBase/AVGAS10.5</f>
        <v>0</v>
      </c>
      <c r="R21" s="101">
        <f>CAP*AvPePer</f>
        <v>0</v>
      </c>
      <c r="S21" s="2">
        <f>AvPeBase-AvPeDed</f>
        <v>0</v>
      </c>
      <c r="T21" s="101"/>
      <c r="U21" s="101">
        <f t="shared" si="1"/>
        <v>0</v>
      </c>
      <c r="V21" s="101"/>
      <c r="X21" s="2"/>
      <c r="Y21" s="2"/>
      <c r="Z21" s="2"/>
      <c r="AB21" s="1"/>
      <c r="AC21" s="2"/>
      <c r="AD21" s="2"/>
      <c r="AE21" s="2"/>
      <c r="AF21" s="11"/>
      <c r="AG21" s="2"/>
      <c r="AH21" s="2"/>
    </row>
    <row r="22" spans="1:35" x14ac:dyDescent="0.2">
      <c r="A22" s="16" t="s">
        <v>150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N22" s="16" t="s">
        <v>150</v>
      </c>
      <c r="O22" s="2">
        <f>SUM(AvStGals*0.0196)</f>
        <v>0</v>
      </c>
      <c r="P22" s="15"/>
      <c r="Q22" s="31">
        <f>AvStBase/AVGAS10.5</f>
        <v>0</v>
      </c>
      <c r="R22" s="101">
        <f>CAP*AvStPer</f>
        <v>0</v>
      </c>
      <c r="S22" s="2">
        <f>AvStBase-AvStDed</f>
        <v>0</v>
      </c>
      <c r="T22" s="101"/>
      <c r="U22" s="101">
        <f t="shared" si="1"/>
        <v>0</v>
      </c>
      <c r="V22" s="101"/>
      <c r="X22" s="2"/>
      <c r="Y22" s="2"/>
      <c r="Z22" s="2"/>
      <c r="AB22" s="1"/>
      <c r="AC22" s="2"/>
      <c r="AD22" s="2"/>
      <c r="AE22" s="2"/>
      <c r="AF22" s="11"/>
      <c r="AG22" s="2"/>
      <c r="AH22" s="2"/>
    </row>
    <row r="23" spans="1:35" x14ac:dyDescent="0.2">
      <c r="A23" s="16" t="s">
        <v>151</v>
      </c>
      <c r="B23" s="7"/>
      <c r="C23" s="7"/>
      <c r="D23" s="7">
        <v>8005</v>
      </c>
      <c r="E23" s="7"/>
      <c r="F23" s="7">
        <v>9046</v>
      </c>
      <c r="G23" s="7"/>
      <c r="H23" s="7"/>
      <c r="I23" s="7"/>
      <c r="J23" s="7"/>
      <c r="K23" s="7">
        <v>7957</v>
      </c>
      <c r="L23" s="7">
        <f>SUM(B23:K23)</f>
        <v>25008</v>
      </c>
      <c r="N23" s="16" t="s">
        <v>151</v>
      </c>
      <c r="O23" s="2">
        <f>SUM(AvWaGals*0.0196)</f>
        <v>490.16</v>
      </c>
      <c r="P23" s="15"/>
      <c r="Q23" s="31">
        <f>AvWaBase/AVGAS10.5</f>
        <v>0.111939</v>
      </c>
      <c r="R23" s="101">
        <f>CAP*AvWaPer</f>
        <v>490.16</v>
      </c>
      <c r="S23" s="2">
        <f>AvWaBase-AvWaDed</f>
        <v>0</v>
      </c>
      <c r="T23" s="101"/>
      <c r="U23" s="101">
        <f t="shared" si="1"/>
        <v>0</v>
      </c>
      <c r="V23" s="101"/>
      <c r="X23" s="2"/>
      <c r="Y23" s="2"/>
      <c r="Z23" s="2"/>
      <c r="AB23" s="1"/>
      <c r="AC23" s="2"/>
      <c r="AD23" s="2"/>
      <c r="AE23" s="2"/>
      <c r="AF23" s="11"/>
      <c r="AG23" s="2"/>
      <c r="AH23" s="2"/>
    </row>
    <row r="24" spans="1:35" x14ac:dyDescent="0.2">
      <c r="A24" s="16" t="s">
        <v>152</v>
      </c>
      <c r="B24" s="7"/>
      <c r="C24" s="7"/>
      <c r="D24" s="7">
        <v>11244</v>
      </c>
      <c r="E24" s="7"/>
      <c r="F24" s="7"/>
      <c r="G24" s="7"/>
      <c r="H24" s="7"/>
      <c r="I24" s="7"/>
      <c r="J24" s="7"/>
      <c r="K24" s="7"/>
      <c r="L24" s="7">
        <f>SUM(B24:J24)</f>
        <v>11244</v>
      </c>
      <c r="N24" s="16" t="s">
        <v>152</v>
      </c>
      <c r="O24" s="33">
        <f>SUM(AvWhGals*0.0196)</f>
        <v>220.38</v>
      </c>
      <c r="P24" s="48"/>
      <c r="Q24" s="49">
        <f>AvWhBase/AVGAS10.5</f>
        <v>5.0328999999999999E-2</v>
      </c>
      <c r="R24" s="102">
        <f>CAP*AvWhPer</f>
        <v>220.38</v>
      </c>
      <c r="S24" s="33">
        <f>AvWhBase-AvWhDed</f>
        <v>0</v>
      </c>
      <c r="T24" s="102"/>
      <c r="U24" s="102">
        <f t="shared" si="1"/>
        <v>0</v>
      </c>
      <c r="V24" s="102"/>
      <c r="W24" s="95"/>
      <c r="X24" s="2"/>
      <c r="Y24" s="2"/>
      <c r="Z24" s="2"/>
      <c r="AB24" s="1"/>
      <c r="AC24" s="2"/>
      <c r="AD24" s="2"/>
      <c r="AE24" s="33"/>
      <c r="AF24" s="95"/>
      <c r="AG24" s="33"/>
      <c r="AH24" s="2"/>
    </row>
    <row r="25" spans="1:35" ht="24" customHeight="1" thickBot="1" x14ac:dyDescent="0.25">
      <c r="A25" s="94" t="s">
        <v>12</v>
      </c>
      <c r="B25" s="34">
        <f>SUM(B8:B24)</f>
        <v>128526</v>
      </c>
      <c r="C25" s="34">
        <f>SUM(C8:C24)</f>
        <v>41915</v>
      </c>
      <c r="D25" s="34">
        <f t="shared" ref="D25:K25" si="2">SUM(D8:D24)</f>
        <v>19249</v>
      </c>
      <c r="E25" s="34">
        <f t="shared" si="2"/>
        <v>150</v>
      </c>
      <c r="F25" s="34">
        <v>18023</v>
      </c>
      <c r="G25" s="34">
        <f t="shared" si="2"/>
        <v>0</v>
      </c>
      <c r="H25" s="34">
        <f t="shared" si="2"/>
        <v>0</v>
      </c>
      <c r="I25" s="34">
        <f t="shared" si="2"/>
        <v>822</v>
      </c>
      <c r="J25" s="34">
        <f t="shared" si="2"/>
        <v>6768</v>
      </c>
      <c r="K25" s="34">
        <f t="shared" si="2"/>
        <v>7957</v>
      </c>
      <c r="L25" s="34">
        <f>SUM(L8:L24)</f>
        <v>223410</v>
      </c>
      <c r="M25" s="7"/>
      <c r="N25" s="16" t="s">
        <v>12</v>
      </c>
      <c r="O25" s="135">
        <f>SUM(AvCaBase:AvWhBase)</f>
        <v>4378.83</v>
      </c>
      <c r="P25" s="136">
        <f>'s4'!E11</f>
        <v>4378.83</v>
      </c>
      <c r="Q25" s="47">
        <f>SUM(Q8:Q24)</f>
        <v>1</v>
      </c>
      <c r="R25" s="137">
        <f>SUM(AvCaDed:AvWhDed)</f>
        <v>4378.83</v>
      </c>
      <c r="S25" s="135">
        <f>SUM(S8:S24)</f>
        <v>0</v>
      </c>
      <c r="T25" s="46">
        <f>SUM(T8:T24)</f>
        <v>323.04000000000002</v>
      </c>
      <c r="U25" s="46">
        <f>SUM(U8:U24)</f>
        <v>323.04000000000002</v>
      </c>
      <c r="V25" s="46">
        <f>SUM(V8:V24)</f>
        <v>0</v>
      </c>
      <c r="W25" s="81">
        <f>AVGAS10.5-CAP+AV_OPT</f>
        <v>323.04000000000002</v>
      </c>
      <c r="AB25" s="2"/>
      <c r="AC25" s="14"/>
      <c r="AD25" s="2"/>
      <c r="AE25" s="2"/>
      <c r="AF25" s="2"/>
      <c r="AG25" s="2"/>
      <c r="AH25" s="2"/>
      <c r="AI25" s="11"/>
    </row>
    <row r="26" spans="1:35" hidden="1" x14ac:dyDescent="0.2">
      <c r="D26" s="7"/>
      <c r="E26" s="7"/>
      <c r="F26" s="7"/>
      <c r="G26" s="7"/>
    </row>
    <row r="27" spans="1:35" hidden="1" x14ac:dyDescent="0.2">
      <c r="L27" s="7"/>
      <c r="S27" s="100"/>
      <c r="T27" s="100"/>
      <c r="U27" s="100"/>
      <c r="V27" s="100">
        <f>AH25</f>
        <v>0</v>
      </c>
      <c r="X27" s="4"/>
      <c r="Y27" s="4"/>
      <c r="Z27" s="4"/>
    </row>
    <row r="28" spans="1:35" hidden="1" x14ac:dyDescent="0.2">
      <c r="A28" t="s">
        <v>277</v>
      </c>
      <c r="B28" s="44">
        <v>2519.11</v>
      </c>
      <c r="C28" s="44">
        <f>323.04+821.53</f>
        <v>1144.57</v>
      </c>
      <c r="D28" s="44">
        <v>377.28</v>
      </c>
      <c r="E28" s="44">
        <v>2.94</v>
      </c>
      <c r="F28" s="44">
        <v>353.25</v>
      </c>
      <c r="G28" s="44">
        <v>0</v>
      </c>
      <c r="H28" s="44">
        <v>0</v>
      </c>
      <c r="I28" s="44">
        <v>16.11</v>
      </c>
      <c r="J28" s="44">
        <v>132.65</v>
      </c>
      <c r="K28" s="44">
        <v>155.96</v>
      </c>
      <c r="L28" s="45">
        <f>SUM(B28:K28)</f>
        <v>4701.87</v>
      </c>
      <c r="N28" s="280">
        <v>0</v>
      </c>
      <c r="Q28">
        <f>CAP+AV_OPT</f>
        <v>4701.87</v>
      </c>
      <c r="X28" s="9"/>
      <c r="Y28" s="9"/>
      <c r="Z28" s="9"/>
      <c r="AB28" s="2"/>
    </row>
    <row r="29" spans="1:35" hidden="1" x14ac:dyDescent="0.2">
      <c r="Q29" s="25"/>
      <c r="R29" s="17">
        <f>AvDeduct-CAP</f>
        <v>0</v>
      </c>
    </row>
    <row r="30" spans="1:35" hidden="1" x14ac:dyDescent="0.2">
      <c r="T30" s="11"/>
      <c r="U30" s="11"/>
      <c r="V30" s="11">
        <f>AH25</f>
        <v>0</v>
      </c>
    </row>
    <row r="31" spans="1:35" hidden="1" x14ac:dyDescent="0.2"/>
    <row r="32" spans="1:35" hidden="1" x14ac:dyDescent="0.2">
      <c r="P32">
        <f>AVGAS10.5+AV_OPT</f>
        <v>4701.87</v>
      </c>
    </row>
    <row r="33" spans="14:15" hidden="1" x14ac:dyDescent="0.2">
      <c r="N33" s="403">
        <v>4701.87</v>
      </c>
    </row>
    <row r="34" spans="14:15" hidden="1" x14ac:dyDescent="0.2"/>
    <row r="35" spans="14:15" hidden="1" x14ac:dyDescent="0.2">
      <c r="N35" s="277">
        <f>Q28-N33</f>
        <v>0</v>
      </c>
      <c r="O35" s="2"/>
    </row>
    <row r="36" spans="14:15" hidden="1" x14ac:dyDescent="0.2"/>
    <row r="37" spans="14:15" hidden="1" x14ac:dyDescent="0.2"/>
    <row r="38" spans="14:15" hidden="1" x14ac:dyDescent="0.2"/>
    <row r="39" spans="14:15" hidden="1" x14ac:dyDescent="0.2"/>
    <row r="40" spans="14:15" hidden="1" x14ac:dyDescent="0.2"/>
    <row r="41" spans="14:15" hidden="1" x14ac:dyDescent="0.2"/>
    <row r="42" spans="14:15" hidden="1" x14ac:dyDescent="0.2"/>
    <row r="43" spans="14:15" hidden="1" x14ac:dyDescent="0.2"/>
    <row r="44" spans="14:15" hidden="1" x14ac:dyDescent="0.2"/>
    <row r="45" spans="14:15" hidden="1" x14ac:dyDescent="0.2"/>
    <row r="46" spans="14:15" hidden="1" x14ac:dyDescent="0.2"/>
    <row r="47" spans="14:15" hidden="1" x14ac:dyDescent="0.2"/>
    <row r="48" spans="14:15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</sheetData>
  <phoneticPr fontId="0" type="noConversion"/>
  <printOptions horizontalCentered="1"/>
  <pageMargins left="0.75" right="0.75" top="1" bottom="1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369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10" sqref="A10"/>
    </sheetView>
  </sheetViews>
  <sheetFormatPr defaultRowHeight="12.75" x14ac:dyDescent="0.2"/>
  <cols>
    <col min="1" max="1" width="28.7109375" customWidth="1"/>
    <col min="2" max="2" width="15.28515625" customWidth="1"/>
    <col min="3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1" max="21" width="0" hidden="1" customWidth="1"/>
    <col min="22" max="22" width="11.5703125" hidden="1" customWidth="1"/>
    <col min="23" max="23" width="0" hidden="1" customWidth="1"/>
  </cols>
  <sheetData>
    <row r="1" spans="1:20" ht="15.75" x14ac:dyDescent="0.25">
      <c r="A1" s="63" t="s">
        <v>278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7" t="str">
        <f>ReportMonth</f>
        <v>NOVEMBER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65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445</v>
      </c>
      <c r="B4" s="42"/>
      <c r="C4" s="42"/>
      <c r="D4" s="42"/>
      <c r="E4" s="42"/>
      <c r="F4" s="87"/>
      <c r="G4" s="65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279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7" t="s">
        <v>280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7" t="str">
        <f>CONCATENATE("FEES COLLECTED IN ",ReportMonth," FOR ",ActivityMonth," TRANSACTIONS")</f>
        <v>FEES COLLECTED IN NOVEMBER 2004 FOR NOVEMBER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4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281</v>
      </c>
      <c r="C9" s="50" t="s">
        <v>282</v>
      </c>
      <c r="D9" s="52" t="s">
        <v>283</v>
      </c>
      <c r="E9" s="52"/>
      <c r="F9" s="52" t="s">
        <v>284</v>
      </c>
      <c r="G9" s="52"/>
      <c r="H9" s="52" t="s">
        <v>285</v>
      </c>
      <c r="I9" s="52"/>
      <c r="J9" s="52" t="s">
        <v>286</v>
      </c>
      <c r="K9" s="52"/>
      <c r="L9" s="52" t="s">
        <v>287</v>
      </c>
      <c r="M9" s="52"/>
      <c r="N9" s="52" t="s">
        <v>288</v>
      </c>
      <c r="O9" s="52"/>
      <c r="P9" s="52" t="s">
        <v>289</v>
      </c>
      <c r="Q9" s="52"/>
      <c r="R9" s="50" t="s">
        <v>290</v>
      </c>
      <c r="S9" s="57" t="s">
        <v>291</v>
      </c>
      <c r="T9" s="5" t="s">
        <v>114</v>
      </c>
    </row>
    <row r="10" spans="1:20" x14ac:dyDescent="0.2">
      <c r="A10" s="1"/>
      <c r="B10" s="6" t="s">
        <v>292</v>
      </c>
      <c r="C10" s="50" t="s">
        <v>292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293</v>
      </c>
    </row>
    <row r="11" spans="1:20" x14ac:dyDescent="0.2">
      <c r="A11" s="110" t="s">
        <v>13</v>
      </c>
      <c r="B11" s="38" t="s">
        <v>294</v>
      </c>
      <c r="C11" s="51" t="s">
        <v>295</v>
      </c>
      <c r="D11" s="54" t="s">
        <v>296</v>
      </c>
      <c r="E11" s="55" t="s">
        <v>297</v>
      </c>
      <c r="F11" s="54" t="s">
        <v>296</v>
      </c>
      <c r="G11" s="56" t="s">
        <v>297</v>
      </c>
      <c r="H11" s="56" t="s">
        <v>296</v>
      </c>
      <c r="I11" s="56" t="s">
        <v>297</v>
      </c>
      <c r="J11" s="54" t="s">
        <v>296</v>
      </c>
      <c r="K11" s="56" t="s">
        <v>297</v>
      </c>
      <c r="L11" s="54" t="s">
        <v>296</v>
      </c>
      <c r="M11" s="55" t="s">
        <v>297</v>
      </c>
      <c r="N11" s="54" t="s">
        <v>296</v>
      </c>
      <c r="O11" s="56" t="s">
        <v>297</v>
      </c>
      <c r="P11" s="54" t="s">
        <v>296</v>
      </c>
      <c r="Q11" s="56" t="s">
        <v>297</v>
      </c>
      <c r="R11" s="56"/>
      <c r="S11" s="58" t="s">
        <v>5</v>
      </c>
      <c r="T11" s="5" t="s">
        <v>298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20" x14ac:dyDescent="0.2">
      <c r="A13" s="1" t="s">
        <v>101</v>
      </c>
      <c r="B13" s="2">
        <v>8774.14</v>
      </c>
      <c r="C13" s="78">
        <v>140.4</v>
      </c>
      <c r="D13" s="7">
        <v>255281</v>
      </c>
      <c r="E13" s="7"/>
      <c r="F13" s="7"/>
      <c r="G13" s="7"/>
      <c r="H13" s="7"/>
      <c r="I13" s="7"/>
      <c r="J13" s="7"/>
      <c r="K13" s="7"/>
      <c r="L13" s="7">
        <v>914604</v>
      </c>
      <c r="M13" s="7"/>
      <c r="N13" s="7"/>
      <c r="O13" s="7"/>
      <c r="P13" s="7"/>
      <c r="Q13" s="7"/>
      <c r="R13" s="7"/>
      <c r="S13" s="60">
        <f t="shared" ref="S13:S22" si="0">SUM((D13+F13+H13+J13+L13+N13+P13+R13)-(E13+G13+I13+K13+M13+O13+Q13))</f>
        <v>1169885</v>
      </c>
      <c r="T13" s="1">
        <f t="shared" ref="T13:T22" si="1">S13-J13</f>
        <v>1169885</v>
      </c>
    </row>
    <row r="14" spans="1:20" s="20" customFormat="1" x14ac:dyDescent="0.2">
      <c r="A14" s="18" t="s">
        <v>299</v>
      </c>
      <c r="B14" s="78">
        <v>-117.63</v>
      </c>
      <c r="C14" s="78">
        <v>0</v>
      </c>
      <c r="D14" s="243"/>
      <c r="E14" s="243">
        <v>6720</v>
      </c>
      <c r="F14" s="243"/>
      <c r="G14" s="243"/>
      <c r="H14" s="243"/>
      <c r="I14" s="243"/>
      <c r="J14" s="243"/>
      <c r="K14" s="243"/>
      <c r="L14" s="243"/>
      <c r="M14" s="243">
        <v>8964</v>
      </c>
      <c r="N14" s="243"/>
      <c r="O14" s="243"/>
      <c r="P14" s="243"/>
      <c r="Q14" s="243"/>
      <c r="R14" s="243"/>
      <c r="S14" s="245">
        <f t="shared" si="0"/>
        <v>-15684</v>
      </c>
      <c r="T14" s="18">
        <f t="shared" si="1"/>
        <v>-15684</v>
      </c>
    </row>
    <row r="15" spans="1:20" s="20" customFormat="1" x14ac:dyDescent="0.2">
      <c r="A15" s="18" t="s">
        <v>300</v>
      </c>
      <c r="B15" s="78">
        <v>649.63</v>
      </c>
      <c r="C15" s="78">
        <v>23.05</v>
      </c>
      <c r="D15" s="243"/>
      <c r="E15" s="243"/>
      <c r="F15" s="243"/>
      <c r="G15" s="243"/>
      <c r="H15" s="243">
        <v>41915</v>
      </c>
      <c r="I15" s="243"/>
      <c r="J15" s="243"/>
      <c r="K15" s="243"/>
      <c r="L15" s="243">
        <v>44702</v>
      </c>
      <c r="M15" s="243"/>
      <c r="N15" s="243"/>
      <c r="O15" s="243"/>
      <c r="P15" s="243"/>
      <c r="Q15" s="243"/>
      <c r="R15" s="243"/>
      <c r="S15" s="245">
        <f>SUM((D15+F15+H15+J15+L15+N15+P15+R15)-(E15+G15+I15+K15+M15+O15+Q15))</f>
        <v>86617</v>
      </c>
      <c r="T15" s="18">
        <f>S15-J15</f>
        <v>86617</v>
      </c>
    </row>
    <row r="16" spans="1:20" x14ac:dyDescent="0.2">
      <c r="A16" s="1" t="s">
        <v>742</v>
      </c>
      <c r="B16" s="2">
        <v>53.5</v>
      </c>
      <c r="C16" s="78">
        <v>3.92</v>
      </c>
      <c r="D16" s="7">
        <v>7135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60">
        <f>SUM((D16+F16+H16+J16+L16+N16+P16+R16)-(E16+G16+I16+K16+M16+O16+Q16))</f>
        <v>7135</v>
      </c>
      <c r="T16" s="1">
        <f>S16-J16</f>
        <v>7135</v>
      </c>
    </row>
    <row r="17" spans="1:20" x14ac:dyDescent="0.2">
      <c r="A17" s="1" t="s">
        <v>762</v>
      </c>
      <c r="B17" s="2">
        <v>0.01</v>
      </c>
      <c r="C17" s="7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60">
        <f>SUM((D17+F17+H17+J17+L17+N17+P17+R17)-(E17+G17+I17+K17+M17+O17+Q17))</f>
        <v>0</v>
      </c>
      <c r="T17" s="1">
        <f>S17-J17</f>
        <v>0</v>
      </c>
    </row>
    <row r="18" spans="1:20" x14ac:dyDescent="0.2">
      <c r="A18" s="1" t="s">
        <v>433</v>
      </c>
      <c r="B18" s="2">
        <v>-2004.1</v>
      </c>
      <c r="C18" s="78">
        <v>0</v>
      </c>
      <c r="D18" s="7"/>
      <c r="E18" s="7"/>
      <c r="F18" s="7"/>
      <c r="G18" s="7"/>
      <c r="H18" s="7"/>
      <c r="I18" s="7"/>
      <c r="J18" s="7"/>
      <c r="K18" s="7"/>
      <c r="L18" s="7"/>
      <c r="M18" s="7">
        <v>267213</v>
      </c>
      <c r="N18" s="7"/>
      <c r="O18" s="7"/>
      <c r="P18" s="7"/>
      <c r="Q18" s="7"/>
      <c r="R18" s="7"/>
      <c r="S18" s="60">
        <f>SUM((D18+F18+H18+J18+L18+N18+P18+R18)-(E18+G18+I18+K18+M18+O18+Q18))</f>
        <v>-267213</v>
      </c>
      <c r="T18" s="1">
        <f>S18-J18</f>
        <v>-267213</v>
      </c>
    </row>
    <row r="19" spans="1:20" x14ac:dyDescent="0.2">
      <c r="A19" s="1" t="s">
        <v>350</v>
      </c>
      <c r="B19" s="2">
        <v>106554.03</v>
      </c>
      <c r="C19" s="78">
        <v>3325.27</v>
      </c>
      <c r="D19" s="7">
        <v>5988318</v>
      </c>
      <c r="E19" s="7"/>
      <c r="F19" s="7"/>
      <c r="G19" s="7"/>
      <c r="H19" s="7"/>
      <c r="I19" s="7"/>
      <c r="J19" s="7">
        <v>57628</v>
      </c>
      <c r="K19" s="7"/>
      <c r="L19" s="7">
        <v>7910529</v>
      </c>
      <c r="M19" s="7">
        <v>75029</v>
      </c>
      <c r="N19" s="7"/>
      <c r="O19" s="7"/>
      <c r="P19" s="7">
        <v>383386</v>
      </c>
      <c r="Q19" s="7"/>
      <c r="R19" s="7"/>
      <c r="S19" s="60">
        <f t="shared" si="0"/>
        <v>14264832</v>
      </c>
      <c r="T19" s="1">
        <f t="shared" si="1"/>
        <v>14207204</v>
      </c>
    </row>
    <row r="20" spans="1:20" x14ac:dyDescent="0.2">
      <c r="A20" s="1" t="s">
        <v>453</v>
      </c>
      <c r="B20" s="2">
        <v>107643.27</v>
      </c>
      <c r="C20" s="78">
        <v>7183.11</v>
      </c>
      <c r="D20" s="7">
        <v>12664050</v>
      </c>
      <c r="E20" s="7">
        <v>1163436</v>
      </c>
      <c r="F20" s="7">
        <v>396152</v>
      </c>
      <c r="G20" s="7">
        <v>18994</v>
      </c>
      <c r="H20" s="7"/>
      <c r="I20" s="7"/>
      <c r="J20" s="7"/>
      <c r="K20" s="7"/>
      <c r="L20" s="7">
        <v>1457820</v>
      </c>
      <c r="M20" s="7">
        <v>31771</v>
      </c>
      <c r="N20" s="7"/>
      <c r="O20" s="7"/>
      <c r="P20" s="7">
        <v>1048615</v>
      </c>
      <c r="Q20" s="7"/>
      <c r="R20" s="7"/>
      <c r="S20" s="60">
        <f t="shared" si="0"/>
        <v>14352436</v>
      </c>
      <c r="T20" s="1">
        <f t="shared" si="1"/>
        <v>14352436</v>
      </c>
    </row>
    <row r="21" spans="1:20" x14ac:dyDescent="0.2">
      <c r="A21" s="1" t="s">
        <v>454</v>
      </c>
      <c r="B21" s="2">
        <v>224.72</v>
      </c>
      <c r="C21" s="78">
        <v>32.35</v>
      </c>
      <c r="D21" s="7">
        <v>58822</v>
      </c>
      <c r="E21" s="7"/>
      <c r="F21" s="7"/>
      <c r="G21" s="7"/>
      <c r="H21" s="7"/>
      <c r="I21" s="7"/>
      <c r="J21" s="7"/>
      <c r="K21" s="7"/>
      <c r="L21" s="7">
        <v>1973</v>
      </c>
      <c r="M21" s="7">
        <v>30833</v>
      </c>
      <c r="N21" s="7"/>
      <c r="O21" s="7"/>
      <c r="P21" s="7"/>
      <c r="Q21" s="7"/>
      <c r="R21" s="7"/>
      <c r="S21" s="60">
        <f t="shared" si="0"/>
        <v>29962</v>
      </c>
      <c r="T21" s="1">
        <f t="shared" si="1"/>
        <v>29962</v>
      </c>
    </row>
    <row r="22" spans="1:20" x14ac:dyDescent="0.2">
      <c r="A22" s="1" t="s">
        <v>90</v>
      </c>
      <c r="B22" s="2">
        <v>536.69000000000005</v>
      </c>
      <c r="C22" s="78">
        <v>29.84</v>
      </c>
      <c r="D22" s="7">
        <v>54262</v>
      </c>
      <c r="E22" s="7"/>
      <c r="F22" s="7"/>
      <c r="G22" s="7"/>
      <c r="H22" s="7"/>
      <c r="I22" s="7"/>
      <c r="J22" s="7"/>
      <c r="K22" s="7"/>
      <c r="L22" s="7">
        <v>17297</v>
      </c>
      <c r="M22" s="7"/>
      <c r="N22" s="7"/>
      <c r="O22" s="7"/>
      <c r="P22" s="7"/>
      <c r="Q22" s="7"/>
      <c r="R22" s="7"/>
      <c r="S22" s="60">
        <f t="shared" si="0"/>
        <v>71559</v>
      </c>
      <c r="T22" s="1">
        <f t="shared" si="1"/>
        <v>71559</v>
      </c>
    </row>
    <row r="23" spans="1:20" x14ac:dyDescent="0.2">
      <c r="A23" s="1" t="s">
        <v>301</v>
      </c>
      <c r="B23" s="2">
        <v>-319.32</v>
      </c>
      <c r="C23" s="78">
        <v>90.19</v>
      </c>
      <c r="D23" s="7"/>
      <c r="E23" s="7"/>
      <c r="F23" s="7"/>
      <c r="G23" s="7"/>
      <c r="H23" s="7"/>
      <c r="I23" s="7"/>
      <c r="J23" s="7">
        <v>163975</v>
      </c>
      <c r="K23" s="7"/>
      <c r="L23" s="7"/>
      <c r="M23" s="7">
        <v>42576</v>
      </c>
      <c r="N23" s="7"/>
      <c r="O23" s="7"/>
      <c r="P23" s="7"/>
      <c r="Q23" s="7"/>
      <c r="R23" s="7"/>
      <c r="S23" s="60">
        <f t="shared" ref="S23:S34" si="2">SUM((D23+F23+H23+J23+L23+N23+P23+R23)-(E23+G23+I23+K23+M23+O23+Q23))</f>
        <v>121399</v>
      </c>
      <c r="T23" s="1">
        <f t="shared" ref="T23:T34" si="3">S23-J23</f>
        <v>-42576</v>
      </c>
    </row>
    <row r="24" spans="1:20" x14ac:dyDescent="0.2">
      <c r="A24" s="1" t="s">
        <v>640</v>
      </c>
      <c r="B24" s="2">
        <v>13.85</v>
      </c>
      <c r="C24" s="78">
        <v>0.48</v>
      </c>
      <c r="D24" s="7">
        <v>868</v>
      </c>
      <c r="E24" s="7"/>
      <c r="F24" s="7"/>
      <c r="G24" s="7"/>
      <c r="H24" s="7"/>
      <c r="I24" s="7"/>
      <c r="J24" s="7"/>
      <c r="K24" s="7"/>
      <c r="L24" s="7">
        <v>979</v>
      </c>
      <c r="M24" s="7"/>
      <c r="N24" s="7"/>
      <c r="O24" s="7"/>
      <c r="P24" s="7"/>
      <c r="Q24" s="7"/>
      <c r="R24" s="7"/>
      <c r="S24" s="60">
        <f>SUM((D24+F24+H24+J24+L24+N24+P24+R24)-(E24+G24+I24+K24+M24+O24+Q24))</f>
        <v>1847</v>
      </c>
      <c r="T24" s="1">
        <f>S24-J24</f>
        <v>1847</v>
      </c>
    </row>
    <row r="25" spans="1:20" x14ac:dyDescent="0.2">
      <c r="A25" s="1" t="s">
        <v>302</v>
      </c>
      <c r="B25" s="2">
        <v>168058.04</v>
      </c>
      <c r="C25" s="78">
        <v>9785.75</v>
      </c>
      <c r="D25" s="7">
        <v>17610210</v>
      </c>
      <c r="E25" s="7">
        <v>7832</v>
      </c>
      <c r="F25" s="7"/>
      <c r="G25" s="7"/>
      <c r="H25" s="7">
        <v>164524</v>
      </c>
      <c r="I25" s="7"/>
      <c r="J25" s="7">
        <v>17535</v>
      </c>
      <c r="K25" s="7"/>
      <c r="L25" s="7">
        <v>3258142</v>
      </c>
      <c r="M25" s="7">
        <v>228158</v>
      </c>
      <c r="N25" s="7"/>
      <c r="O25" s="7"/>
      <c r="P25" s="7">
        <v>1610853</v>
      </c>
      <c r="Q25" s="7"/>
      <c r="R25" s="7"/>
      <c r="S25" s="60">
        <f>SUM((D25+F25+H25+J25+L25+N25+P25+R25)-(E25+G25+I25+K25+M25+O25+Q25))</f>
        <v>22425274</v>
      </c>
      <c r="T25" s="1">
        <f>S25-J25</f>
        <v>22407739</v>
      </c>
    </row>
    <row r="26" spans="1:20" x14ac:dyDescent="0.2">
      <c r="A26" s="18" t="s">
        <v>91</v>
      </c>
      <c r="B26" s="2">
        <v>400.7</v>
      </c>
      <c r="C26" s="78">
        <v>16.059999999999999</v>
      </c>
      <c r="D26" s="7">
        <v>29191</v>
      </c>
      <c r="E26" s="7"/>
      <c r="F26" s="7"/>
      <c r="G26" s="7"/>
      <c r="H26" s="7"/>
      <c r="I26" s="7"/>
      <c r="J26" s="7"/>
      <c r="K26" s="7"/>
      <c r="L26" s="7">
        <v>24235</v>
      </c>
      <c r="M26" s="7"/>
      <c r="N26" s="7"/>
      <c r="O26" s="7"/>
      <c r="P26" s="7"/>
      <c r="Q26" s="7"/>
      <c r="R26" s="7"/>
      <c r="S26" s="60">
        <f t="shared" si="2"/>
        <v>53426</v>
      </c>
      <c r="T26" s="1">
        <f t="shared" si="3"/>
        <v>53426</v>
      </c>
    </row>
    <row r="27" spans="1:20" x14ac:dyDescent="0.2">
      <c r="A27" s="18" t="s">
        <v>92</v>
      </c>
      <c r="B27" s="2">
        <v>-2509.4899999999998</v>
      </c>
      <c r="C27" s="78">
        <v>0</v>
      </c>
      <c r="D27" s="7"/>
      <c r="E27" s="7">
        <v>306564</v>
      </c>
      <c r="F27" s="7"/>
      <c r="G27" s="7"/>
      <c r="H27" s="7"/>
      <c r="I27" s="7"/>
      <c r="J27" s="7"/>
      <c r="K27" s="7"/>
      <c r="L27" s="7"/>
      <c r="M27" s="7">
        <v>28035</v>
      </c>
      <c r="N27" s="7"/>
      <c r="O27" s="7"/>
      <c r="P27" s="7"/>
      <c r="Q27" s="7"/>
      <c r="R27" s="7"/>
      <c r="S27" s="60">
        <f t="shared" si="2"/>
        <v>-334599</v>
      </c>
      <c r="T27" s="1">
        <f t="shared" si="3"/>
        <v>-334599</v>
      </c>
    </row>
    <row r="28" spans="1:20" x14ac:dyDescent="0.2">
      <c r="A28" s="18" t="s">
        <v>616</v>
      </c>
      <c r="B28" s="2">
        <v>0</v>
      </c>
      <c r="C28" s="78">
        <v>39.29</v>
      </c>
      <c r="D28" s="7"/>
      <c r="E28" s="7"/>
      <c r="F28" s="7"/>
      <c r="G28" s="7"/>
      <c r="H28" s="7"/>
      <c r="I28" s="7"/>
      <c r="J28" s="7">
        <v>71436</v>
      </c>
      <c r="K28" s="7"/>
      <c r="L28" s="7"/>
      <c r="M28" s="7"/>
      <c r="N28" s="7"/>
      <c r="O28" s="7"/>
      <c r="P28" s="7"/>
      <c r="Q28" s="7"/>
      <c r="R28" s="7"/>
      <c r="S28" s="60">
        <f>SUM((D28+F28+H28+J28+L28+N28+P28+R28)-(E28+G28+I28+K28+M28+O28+Q28))</f>
        <v>71436</v>
      </c>
      <c r="T28" s="1">
        <f>S28-J28</f>
        <v>0</v>
      </c>
    </row>
    <row r="29" spans="1:20" x14ac:dyDescent="0.2">
      <c r="A29" s="18" t="s">
        <v>617</v>
      </c>
      <c r="B29" s="2">
        <v>72.72</v>
      </c>
      <c r="C29" s="78">
        <v>7.35</v>
      </c>
      <c r="D29" s="7">
        <v>9834</v>
      </c>
      <c r="E29" s="7">
        <v>138</v>
      </c>
      <c r="F29" s="7"/>
      <c r="G29" s="7"/>
      <c r="H29" s="7"/>
      <c r="I29" s="7"/>
      <c r="J29" s="7">
        <v>3522</v>
      </c>
      <c r="K29" s="7"/>
      <c r="L29" s="7"/>
      <c r="M29" s="7"/>
      <c r="N29" s="7"/>
      <c r="O29" s="7"/>
      <c r="P29" s="7"/>
      <c r="Q29" s="7"/>
      <c r="R29" s="7"/>
      <c r="S29" s="60">
        <f>SUM((D29+F29+H29+J29+L29+N29+P29+R29)-(E29+G29+I29+K29+M29+O29+Q29))</f>
        <v>13218</v>
      </c>
      <c r="T29" s="1">
        <f>S29-J29</f>
        <v>9696</v>
      </c>
    </row>
    <row r="30" spans="1:20" x14ac:dyDescent="0.2">
      <c r="A30" s="1" t="s">
        <v>618</v>
      </c>
      <c r="B30" s="2">
        <v>107953.2</v>
      </c>
      <c r="C30" s="78">
        <v>5196.49</v>
      </c>
      <c r="D30" s="7">
        <v>9431281</v>
      </c>
      <c r="E30" s="7">
        <v>328054</v>
      </c>
      <c r="F30" s="7"/>
      <c r="G30" s="7">
        <v>20362</v>
      </c>
      <c r="H30" s="7">
        <v>16888</v>
      </c>
      <c r="I30" s="7"/>
      <c r="J30" s="7"/>
      <c r="K30" s="7"/>
      <c r="L30" s="7">
        <v>116228</v>
      </c>
      <c r="M30" s="7">
        <v>1945572</v>
      </c>
      <c r="N30" s="7"/>
      <c r="O30" s="7"/>
      <c r="P30" s="7">
        <v>7123351</v>
      </c>
      <c r="Q30" s="7"/>
      <c r="R30" s="7"/>
      <c r="S30" s="60">
        <f t="shared" si="2"/>
        <v>14393760</v>
      </c>
      <c r="T30" s="1">
        <f t="shared" si="3"/>
        <v>14393760</v>
      </c>
    </row>
    <row r="31" spans="1:20" x14ac:dyDescent="0.2">
      <c r="A31" s="1" t="s">
        <v>303</v>
      </c>
      <c r="B31" s="2">
        <v>1006.09</v>
      </c>
      <c r="C31" s="78">
        <v>64.59</v>
      </c>
      <c r="D31" s="7">
        <v>117442</v>
      </c>
      <c r="E31" s="7"/>
      <c r="F31" s="7"/>
      <c r="G31" s="7"/>
      <c r="H31" s="7"/>
      <c r="I31" s="7"/>
      <c r="J31" s="7"/>
      <c r="K31" s="7"/>
      <c r="L31" s="7">
        <v>16703</v>
      </c>
      <c r="M31" s="7"/>
      <c r="N31" s="7"/>
      <c r="O31" s="7"/>
      <c r="P31" s="7"/>
      <c r="Q31" s="7"/>
      <c r="R31" s="7"/>
      <c r="S31" s="60">
        <f t="shared" si="2"/>
        <v>134145</v>
      </c>
      <c r="T31" s="1">
        <f t="shared" si="3"/>
        <v>134145</v>
      </c>
    </row>
    <row r="32" spans="1:20" x14ac:dyDescent="0.2">
      <c r="A32" s="1" t="s">
        <v>780</v>
      </c>
      <c r="B32" s="2">
        <v>-262.22000000000003</v>
      </c>
      <c r="C32" s="78"/>
      <c r="D32" s="7"/>
      <c r="E32" s="7"/>
      <c r="F32" s="7"/>
      <c r="G32" s="7"/>
      <c r="H32" s="7"/>
      <c r="I32" s="7"/>
      <c r="J32" s="7"/>
      <c r="K32" s="7"/>
      <c r="L32" s="7"/>
      <c r="M32" s="7">
        <v>34962</v>
      </c>
      <c r="N32" s="7"/>
      <c r="O32" s="7"/>
      <c r="P32" s="7"/>
      <c r="Q32" s="7"/>
      <c r="R32" s="7"/>
      <c r="S32" s="60">
        <f>SUM((D32+F32+H32+J32+L32+N32+P32+R32)-(E32+G32+I32+K32+M32+O32+Q32))</f>
        <v>-34962</v>
      </c>
      <c r="T32" s="1">
        <f>S32-J32</f>
        <v>-34962</v>
      </c>
    </row>
    <row r="33" spans="1:22" x14ac:dyDescent="0.2">
      <c r="A33" s="1" t="s">
        <v>457</v>
      </c>
      <c r="B33" s="2">
        <v>-1651.34</v>
      </c>
      <c r="C33" s="78"/>
      <c r="D33" s="7"/>
      <c r="E33" s="7"/>
      <c r="F33" s="7"/>
      <c r="G33" s="7"/>
      <c r="H33" s="7"/>
      <c r="I33" s="7"/>
      <c r="J33" s="7"/>
      <c r="K33" s="7"/>
      <c r="L33" s="7"/>
      <c r="M33" s="7">
        <v>220179</v>
      </c>
      <c r="N33" s="7"/>
      <c r="O33" s="7"/>
      <c r="P33" s="7"/>
      <c r="Q33" s="7"/>
      <c r="R33" s="7"/>
      <c r="S33" s="60">
        <f>SUM((D33+F33+H33+J33+L33+N33+P33+R33)-(E33+G33+I33+K33+M33+O33+Q33))</f>
        <v>-220179</v>
      </c>
      <c r="T33" s="1">
        <f>S33-J33</f>
        <v>-220179</v>
      </c>
    </row>
    <row r="34" spans="1:22" x14ac:dyDescent="0.2">
      <c r="A34" s="1" t="s">
        <v>455</v>
      </c>
      <c r="B34" s="2">
        <v>-9818.2000000000007</v>
      </c>
      <c r="C34" s="78">
        <v>425.44</v>
      </c>
      <c r="D34" s="7">
        <v>773523</v>
      </c>
      <c r="E34" s="7">
        <v>73897</v>
      </c>
      <c r="F34" s="7"/>
      <c r="G34" s="7"/>
      <c r="H34" s="7"/>
      <c r="I34" s="7"/>
      <c r="J34" s="7"/>
      <c r="K34" s="7"/>
      <c r="L34" s="7">
        <v>22554</v>
      </c>
      <c r="M34" s="7">
        <v>2031273</v>
      </c>
      <c r="N34" s="7"/>
      <c r="O34" s="7"/>
      <c r="P34" s="7"/>
      <c r="Q34" s="7"/>
      <c r="R34" s="7"/>
      <c r="S34" s="60">
        <f t="shared" si="2"/>
        <v>-1309093</v>
      </c>
      <c r="T34" s="1">
        <f t="shared" si="3"/>
        <v>-1309093</v>
      </c>
    </row>
    <row r="35" spans="1:22" x14ac:dyDescent="0.2">
      <c r="A35" s="1" t="s">
        <v>467</v>
      </c>
      <c r="B35" s="2">
        <v>-3003.46</v>
      </c>
      <c r="C35" s="78">
        <v>1.0900000000000001</v>
      </c>
      <c r="D35" s="7">
        <v>1976</v>
      </c>
      <c r="E35" s="7"/>
      <c r="F35" s="7"/>
      <c r="G35" s="7"/>
      <c r="H35" s="7"/>
      <c r="I35" s="7"/>
      <c r="J35" s="7"/>
      <c r="K35" s="7"/>
      <c r="L35" s="7">
        <v>10127</v>
      </c>
      <c r="M35" s="7">
        <v>412564</v>
      </c>
      <c r="N35" s="7"/>
      <c r="O35" s="7"/>
      <c r="P35" s="7"/>
      <c r="Q35" s="7"/>
      <c r="R35" s="7"/>
      <c r="S35" s="60">
        <f>SUM((D35+F35+H35+J35+L35+N35+P35+R35)-(E35+G35+I35+K35+M35+O35+Q35))</f>
        <v>-400461</v>
      </c>
      <c r="T35" s="1">
        <f>S35-J35</f>
        <v>-400461</v>
      </c>
    </row>
    <row r="36" spans="1:22" x14ac:dyDescent="0.2">
      <c r="A36" s="1" t="s">
        <v>728</v>
      </c>
      <c r="B36" s="2">
        <v>187.25</v>
      </c>
      <c r="C36" s="7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24966</v>
      </c>
      <c r="S36" s="60">
        <f>SUM((D36+F36+H36+J36+L36+N36+P36+R36)-(E36+G36+I36+K36+M36+O36+Q36))</f>
        <v>24966</v>
      </c>
      <c r="T36" s="1">
        <f>S36-J36</f>
        <v>24966</v>
      </c>
      <c r="U36" s="1"/>
      <c r="V36" s="1"/>
    </row>
    <row r="37" spans="1:22" x14ac:dyDescent="0.2">
      <c r="A37" s="1" t="s">
        <v>593</v>
      </c>
      <c r="B37" s="2">
        <v>1541.79</v>
      </c>
      <c r="C37" s="78">
        <v>9.91</v>
      </c>
      <c r="D37" s="7"/>
      <c r="E37" s="7"/>
      <c r="F37" s="7"/>
      <c r="G37" s="7"/>
      <c r="H37" s="7">
        <v>18023</v>
      </c>
      <c r="I37" s="7"/>
      <c r="J37" s="7"/>
      <c r="K37" s="7"/>
      <c r="L37" s="7">
        <v>195293</v>
      </c>
      <c r="M37" s="7">
        <v>7744</v>
      </c>
      <c r="N37" s="7"/>
      <c r="O37" s="7"/>
      <c r="P37" s="7"/>
      <c r="Q37" s="7"/>
      <c r="R37" s="7"/>
      <c r="S37" s="60">
        <f>SUM((D37+F37+H37+J37+L37+N37+P37+R37)-(E37+G37+I37+K37+M37+O37+Q37))</f>
        <v>205572</v>
      </c>
      <c r="T37" s="1">
        <f>S37-J37</f>
        <v>205572</v>
      </c>
      <c r="U37" s="1"/>
      <c r="V37" s="1"/>
    </row>
    <row r="38" spans="1:22" x14ac:dyDescent="0.2">
      <c r="A38" s="1" t="s">
        <v>351</v>
      </c>
      <c r="B38" s="2">
        <v>76806.98</v>
      </c>
      <c r="C38" s="78">
        <v>3440.05</v>
      </c>
      <c r="D38" s="7">
        <v>6254640</v>
      </c>
      <c r="E38" s="7"/>
      <c r="F38" s="7"/>
      <c r="G38" s="7"/>
      <c r="H38" s="7"/>
      <c r="I38" s="7"/>
      <c r="J38" s="7"/>
      <c r="K38" s="7"/>
      <c r="L38" s="7">
        <v>3986291</v>
      </c>
      <c r="M38" s="7"/>
      <c r="N38" s="7"/>
      <c r="O38" s="7"/>
      <c r="P38" s="7"/>
      <c r="Q38" s="7"/>
      <c r="R38" s="7"/>
      <c r="S38" s="245">
        <f>SUM((D38+F38+H38+J38+L38+N38+P38+R38)-(E38+G38+I38+K38+M38+O38+Q38))</f>
        <v>10240931</v>
      </c>
      <c r="T38" s="18">
        <f>S38-J38</f>
        <v>10240931</v>
      </c>
    </row>
    <row r="39" spans="1:22" x14ac:dyDescent="0.2">
      <c r="A39" s="1" t="s">
        <v>468</v>
      </c>
      <c r="B39" s="2">
        <v>75960.5</v>
      </c>
      <c r="C39" s="78">
        <v>4255.3900000000003</v>
      </c>
      <c r="D39" s="7">
        <v>7737072</v>
      </c>
      <c r="E39" s="7">
        <v>737570</v>
      </c>
      <c r="F39" s="7"/>
      <c r="G39" s="7"/>
      <c r="H39" s="7"/>
      <c r="I39" s="7"/>
      <c r="J39" s="7"/>
      <c r="K39" s="7"/>
      <c r="L39" s="7">
        <v>3497802</v>
      </c>
      <c r="M39" s="7">
        <v>348237</v>
      </c>
      <c r="N39" s="7"/>
      <c r="O39" s="7"/>
      <c r="P39" s="7"/>
      <c r="Q39" s="7"/>
      <c r="R39" s="7"/>
      <c r="S39" s="60">
        <f>SUM((D39+F39+H39+J39+L39+N39+P39+R39)-(E39+G39+I39+K39+M39+O39+Q39))</f>
        <v>10149067</v>
      </c>
      <c r="T39" s="1">
        <f>S39-J39</f>
        <v>10149067</v>
      </c>
    </row>
    <row r="40" spans="1:22" x14ac:dyDescent="0.2">
      <c r="A40" s="1" t="s">
        <v>93</v>
      </c>
      <c r="B40" s="2">
        <v>6366.63</v>
      </c>
      <c r="C40" s="78">
        <v>273.45999999999998</v>
      </c>
      <c r="D40" s="7">
        <v>497206</v>
      </c>
      <c r="E40" s="7">
        <v>96032</v>
      </c>
      <c r="F40" s="7"/>
      <c r="G40" s="7"/>
      <c r="H40" s="7"/>
      <c r="I40" s="7"/>
      <c r="J40" s="7"/>
      <c r="K40" s="7"/>
      <c r="L40" s="7">
        <v>3900775</v>
      </c>
      <c r="M40" s="7">
        <v>3453065</v>
      </c>
      <c r="N40" s="7"/>
      <c r="O40" s="7"/>
      <c r="P40" s="7"/>
      <c r="Q40" s="7"/>
      <c r="R40" s="7"/>
      <c r="S40" s="60">
        <f t="shared" ref="S40:S51" si="4">SUM((D40+F40+H40+J40+L40+N40+P40+R40)-(E40+G40+I40+K40+M40+O40+Q40))</f>
        <v>848884</v>
      </c>
      <c r="T40" s="1">
        <f t="shared" ref="T40:T51" si="5">S40-J40</f>
        <v>848884</v>
      </c>
      <c r="U40" s="1"/>
      <c r="V40" s="1"/>
    </row>
    <row r="41" spans="1:22" x14ac:dyDescent="0.2">
      <c r="A41" s="1" t="s">
        <v>361</v>
      </c>
      <c r="B41" s="2">
        <v>7723.42</v>
      </c>
      <c r="C41" s="78">
        <v>73.39</v>
      </c>
      <c r="D41" s="7">
        <v>133428</v>
      </c>
      <c r="E41" s="7"/>
      <c r="F41" s="7"/>
      <c r="G41" s="7"/>
      <c r="H41" s="7"/>
      <c r="I41" s="7"/>
      <c r="J41" s="7"/>
      <c r="K41" s="7"/>
      <c r="L41" s="7">
        <v>880893</v>
      </c>
      <c r="M41" s="7"/>
      <c r="N41" s="7"/>
      <c r="O41" s="7"/>
      <c r="P41" s="7">
        <v>15468</v>
      </c>
      <c r="Q41" s="7"/>
      <c r="R41" s="7"/>
      <c r="S41" s="60">
        <f t="shared" si="4"/>
        <v>1029789</v>
      </c>
      <c r="T41" s="1">
        <f t="shared" si="5"/>
        <v>1029789</v>
      </c>
      <c r="U41" s="1"/>
      <c r="V41" s="1"/>
    </row>
    <row r="42" spans="1:22" x14ac:dyDescent="0.2">
      <c r="A42" s="1" t="s">
        <v>370</v>
      </c>
      <c r="B42" s="2">
        <v>-2803.82</v>
      </c>
      <c r="C42" s="78">
        <v>131.32</v>
      </c>
      <c r="D42" s="7"/>
      <c r="E42" s="7">
        <v>16459</v>
      </c>
      <c r="F42" s="7">
        <v>238759</v>
      </c>
      <c r="G42" s="7"/>
      <c r="H42" s="7"/>
      <c r="I42" s="7"/>
      <c r="J42" s="7"/>
      <c r="K42" s="7"/>
      <c r="L42" s="7"/>
      <c r="M42" s="7">
        <v>596142</v>
      </c>
      <c r="N42" s="7"/>
      <c r="O42" s="7"/>
      <c r="P42" s="7"/>
      <c r="Q42" s="7"/>
      <c r="R42" s="7"/>
      <c r="S42" s="60">
        <f t="shared" si="4"/>
        <v>-373842</v>
      </c>
      <c r="T42" s="1">
        <f t="shared" si="5"/>
        <v>-373842</v>
      </c>
      <c r="U42" s="1"/>
      <c r="V42" s="1"/>
    </row>
    <row r="43" spans="1:22" x14ac:dyDescent="0.2">
      <c r="A43" s="1" t="s">
        <v>782</v>
      </c>
      <c r="B43" s="2">
        <v>-936.4</v>
      </c>
      <c r="C43" s="78">
        <v>8.3000000000000007</v>
      </c>
      <c r="D43" s="7"/>
      <c r="E43" s="7"/>
      <c r="F43" s="7"/>
      <c r="G43" s="7"/>
      <c r="H43" s="7"/>
      <c r="I43" s="7"/>
      <c r="J43" s="7">
        <v>15083</v>
      </c>
      <c r="K43" s="7"/>
      <c r="L43" s="7"/>
      <c r="M43" s="7">
        <v>124853</v>
      </c>
      <c r="N43" s="7"/>
      <c r="O43" s="7"/>
      <c r="P43" s="7"/>
      <c r="Q43" s="7"/>
      <c r="R43" s="7"/>
      <c r="S43" s="60">
        <f>SUM((D43+F43+H43+J43+L43+N43+P43+R43)-(E43+G43+I43+K43+M43+O43+Q43))</f>
        <v>-109770</v>
      </c>
      <c r="T43" s="1">
        <f>S43-J43</f>
        <v>-124853</v>
      </c>
      <c r="U43" s="1"/>
      <c r="V43" s="1"/>
    </row>
    <row r="44" spans="1:22" x14ac:dyDescent="0.2">
      <c r="A44" s="1" t="s">
        <v>436</v>
      </c>
      <c r="B44" s="2">
        <v>224.26</v>
      </c>
      <c r="C44" s="78">
        <v>13.29</v>
      </c>
      <c r="D44" s="7">
        <v>24160</v>
      </c>
      <c r="E44" s="7"/>
      <c r="F44" s="7"/>
      <c r="G44" s="7"/>
      <c r="H44" s="7"/>
      <c r="I44" s="7"/>
      <c r="J44" s="7"/>
      <c r="K44" s="7"/>
      <c r="L44" s="7">
        <v>5741</v>
      </c>
      <c r="M44" s="7"/>
      <c r="N44" s="7"/>
      <c r="O44" s="7"/>
      <c r="P44" s="7"/>
      <c r="Q44" s="7"/>
      <c r="R44" s="7"/>
      <c r="S44" s="60">
        <f t="shared" si="4"/>
        <v>29901</v>
      </c>
      <c r="T44" s="1">
        <f t="shared" si="5"/>
        <v>29901</v>
      </c>
      <c r="U44" s="1"/>
      <c r="V44" s="1"/>
    </row>
    <row r="45" spans="1:22" x14ac:dyDescent="0.2">
      <c r="A45" s="1" t="s">
        <v>46</v>
      </c>
      <c r="B45" s="2">
        <v>510.95</v>
      </c>
      <c r="C45" s="78">
        <v>35.28</v>
      </c>
      <c r="D45" s="7">
        <v>64151</v>
      </c>
      <c r="E45" s="7"/>
      <c r="F45" s="7"/>
      <c r="G45" s="7"/>
      <c r="H45" s="7"/>
      <c r="I45" s="7"/>
      <c r="J45" s="7"/>
      <c r="K45" s="7"/>
      <c r="L45" s="7">
        <v>14279</v>
      </c>
      <c r="M45" s="7">
        <v>10303</v>
      </c>
      <c r="N45" s="7"/>
      <c r="O45" s="7"/>
      <c r="P45" s="7"/>
      <c r="Q45" s="7"/>
      <c r="R45" s="7"/>
      <c r="S45" s="60">
        <f t="shared" si="4"/>
        <v>68127</v>
      </c>
      <c r="T45" s="1">
        <f t="shared" si="5"/>
        <v>68127</v>
      </c>
      <c r="U45" s="1"/>
      <c r="V45" s="1"/>
    </row>
    <row r="46" spans="1:22" s="20" customFormat="1" x14ac:dyDescent="0.2">
      <c r="A46" s="18" t="s">
        <v>94</v>
      </c>
      <c r="B46" s="78">
        <v>179.82</v>
      </c>
      <c r="C46" s="78">
        <v>9.02</v>
      </c>
      <c r="D46" s="243">
        <v>4992</v>
      </c>
      <c r="E46" s="243"/>
      <c r="F46" s="243"/>
      <c r="G46" s="243"/>
      <c r="H46" s="243">
        <v>11399</v>
      </c>
      <c r="I46" s="243"/>
      <c r="J46" s="243"/>
      <c r="K46" s="243"/>
      <c r="L46" s="243">
        <v>7585</v>
      </c>
      <c r="M46" s="243"/>
      <c r="N46" s="243"/>
      <c r="O46" s="243"/>
      <c r="P46" s="243"/>
      <c r="Q46" s="243"/>
      <c r="R46" s="243"/>
      <c r="S46" s="245">
        <f t="shared" si="4"/>
        <v>23976</v>
      </c>
      <c r="T46" s="18">
        <f t="shared" si="5"/>
        <v>23976</v>
      </c>
      <c r="U46" s="18"/>
      <c r="V46" s="18"/>
    </row>
    <row r="47" spans="1:22" x14ac:dyDescent="0.2">
      <c r="A47" s="1" t="s">
        <v>95</v>
      </c>
      <c r="B47" s="2">
        <v>-6508.51</v>
      </c>
      <c r="C47" s="78">
        <v>171.34</v>
      </c>
      <c r="D47" s="7">
        <v>311520</v>
      </c>
      <c r="E47" s="7">
        <v>1097888</v>
      </c>
      <c r="F47" s="7"/>
      <c r="G47" s="7"/>
      <c r="H47" s="7"/>
      <c r="I47" s="7"/>
      <c r="J47" s="7"/>
      <c r="K47" s="7"/>
      <c r="L47" s="7"/>
      <c r="M47" s="7">
        <v>81433</v>
      </c>
      <c r="N47" s="7"/>
      <c r="O47" s="7"/>
      <c r="P47" s="7"/>
      <c r="Q47" s="7"/>
      <c r="R47" s="7"/>
      <c r="S47" s="60">
        <f t="shared" si="4"/>
        <v>-867801</v>
      </c>
      <c r="T47" s="1">
        <f t="shared" si="5"/>
        <v>-867801</v>
      </c>
      <c r="U47" s="1"/>
      <c r="V47" s="1"/>
    </row>
    <row r="48" spans="1:22" s="20" customFormat="1" x14ac:dyDescent="0.2">
      <c r="A48" s="18" t="s">
        <v>362</v>
      </c>
      <c r="B48" s="78">
        <v>-455.53</v>
      </c>
      <c r="C48" s="78">
        <v>0</v>
      </c>
      <c r="D48" s="243"/>
      <c r="E48" s="243">
        <v>52748</v>
      </c>
      <c r="F48" s="243"/>
      <c r="G48" s="243"/>
      <c r="H48" s="243"/>
      <c r="I48" s="243"/>
      <c r="J48" s="243"/>
      <c r="K48" s="243"/>
      <c r="L48" s="243"/>
      <c r="M48" s="243">
        <v>7989</v>
      </c>
      <c r="N48" s="243"/>
      <c r="O48" s="243"/>
      <c r="P48" s="243"/>
      <c r="Q48" s="243"/>
      <c r="R48" s="243"/>
      <c r="S48" s="245">
        <f t="shared" si="4"/>
        <v>-60737</v>
      </c>
      <c r="T48" s="18">
        <f t="shared" si="5"/>
        <v>-60737</v>
      </c>
      <c r="U48" s="18"/>
      <c r="V48" s="18"/>
    </row>
    <row r="49" spans="1:22" s="20" customFormat="1" x14ac:dyDescent="0.2">
      <c r="A49" s="18" t="s">
        <v>304</v>
      </c>
      <c r="B49" s="78">
        <v>-79.53</v>
      </c>
      <c r="C49" s="78">
        <v>13.85</v>
      </c>
      <c r="D49" s="243"/>
      <c r="E49" s="243"/>
      <c r="F49" s="243"/>
      <c r="G49" s="243"/>
      <c r="H49" s="243"/>
      <c r="I49" s="243"/>
      <c r="J49" s="243">
        <v>25183</v>
      </c>
      <c r="K49" s="243"/>
      <c r="L49" s="243"/>
      <c r="M49" s="243">
        <v>10604</v>
      </c>
      <c r="N49" s="243"/>
      <c r="O49" s="243"/>
      <c r="P49" s="243"/>
      <c r="Q49" s="243"/>
      <c r="R49" s="18"/>
      <c r="S49" s="245">
        <f t="shared" si="4"/>
        <v>14579</v>
      </c>
      <c r="T49" s="18">
        <f t="shared" si="5"/>
        <v>-10604</v>
      </c>
      <c r="U49" s="243"/>
      <c r="V49" s="243"/>
    </row>
    <row r="50" spans="1:22" s="20" customFormat="1" x14ac:dyDescent="0.2">
      <c r="A50" s="18" t="s">
        <v>371</v>
      </c>
      <c r="B50" s="78">
        <v>950.59</v>
      </c>
      <c r="C50" s="78">
        <v>197.99</v>
      </c>
      <c r="D50" s="243">
        <v>359983</v>
      </c>
      <c r="E50" s="243">
        <v>250189</v>
      </c>
      <c r="F50" s="243"/>
      <c r="G50" s="243"/>
      <c r="H50" s="243"/>
      <c r="I50" s="243"/>
      <c r="J50" s="243"/>
      <c r="K50" s="243"/>
      <c r="L50" s="243">
        <v>39121</v>
      </c>
      <c r="M50" s="243">
        <v>22170</v>
      </c>
      <c r="N50" s="243"/>
      <c r="O50" s="243"/>
      <c r="P50" s="243"/>
      <c r="Q50" s="243"/>
      <c r="R50" s="18"/>
      <c r="S50" s="245">
        <f t="shared" si="4"/>
        <v>126745</v>
      </c>
      <c r="T50" s="18">
        <f t="shared" si="5"/>
        <v>126745</v>
      </c>
      <c r="U50" s="243"/>
      <c r="V50" s="243"/>
    </row>
    <row r="51" spans="1:22" x14ac:dyDescent="0.2">
      <c r="A51" s="1" t="s">
        <v>305</v>
      </c>
      <c r="B51" s="2">
        <v>28.41</v>
      </c>
      <c r="C51" s="78">
        <v>173.64</v>
      </c>
      <c r="D51" s="7">
        <v>315714</v>
      </c>
      <c r="E51" s="7">
        <v>289427</v>
      </c>
      <c r="F51" s="7"/>
      <c r="G51" s="7"/>
      <c r="H51" s="7"/>
      <c r="I51" s="7"/>
      <c r="J51" s="7"/>
      <c r="K51" s="7"/>
      <c r="L51" s="7"/>
      <c r="M51" s="7">
        <v>22499</v>
      </c>
      <c r="N51" s="7"/>
      <c r="O51" s="7"/>
      <c r="P51" s="7"/>
      <c r="Q51" s="7"/>
      <c r="R51" s="1"/>
      <c r="S51" s="60">
        <f t="shared" si="4"/>
        <v>3788</v>
      </c>
      <c r="T51" s="1">
        <f t="shared" si="5"/>
        <v>3788</v>
      </c>
      <c r="U51" s="7"/>
      <c r="V51" s="7"/>
    </row>
    <row r="52" spans="1:22" s="20" customFormat="1" x14ac:dyDescent="0.2">
      <c r="A52" s="18" t="s">
        <v>306</v>
      </c>
      <c r="B52" s="78">
        <v>-4485.1000000000004</v>
      </c>
      <c r="C52" s="78">
        <v>49.38</v>
      </c>
      <c r="D52" s="243">
        <v>89787</v>
      </c>
      <c r="E52" s="243">
        <v>34307</v>
      </c>
      <c r="F52" s="243"/>
      <c r="G52" s="243"/>
      <c r="H52" s="243"/>
      <c r="I52" s="243"/>
      <c r="J52" s="243"/>
      <c r="K52" s="243"/>
      <c r="L52" s="243">
        <v>24907</v>
      </c>
      <c r="M52" s="243">
        <v>678400</v>
      </c>
      <c r="N52" s="243"/>
      <c r="O52" s="243"/>
      <c r="P52" s="243"/>
      <c r="Q52" s="243"/>
      <c r="R52" s="243"/>
      <c r="S52" s="245">
        <f t="shared" ref="S52:S73" si="6">SUM((D52+F52+H52+J52+L52+N52+P52+R52)-(E52+G52+I52+K52+M52+O52+Q52))</f>
        <v>-598013</v>
      </c>
      <c r="T52" s="18">
        <f t="shared" ref="T52:T67" si="7">S52-J52</f>
        <v>-598013</v>
      </c>
      <c r="U52" s="18"/>
      <c r="V52" s="18"/>
    </row>
    <row r="53" spans="1:22" s="20" customFormat="1" x14ac:dyDescent="0.2">
      <c r="A53" s="18" t="s">
        <v>477</v>
      </c>
      <c r="B53" s="78">
        <v>-8908.17</v>
      </c>
      <c r="C53" s="78"/>
      <c r="D53" s="243"/>
      <c r="E53" s="243">
        <v>52064</v>
      </c>
      <c r="F53" s="243"/>
      <c r="G53" s="243"/>
      <c r="H53" s="243"/>
      <c r="I53" s="243"/>
      <c r="J53" s="243"/>
      <c r="K53" s="243"/>
      <c r="L53" s="243">
        <v>9300</v>
      </c>
      <c r="M53" s="243">
        <v>1144992</v>
      </c>
      <c r="N53" s="243"/>
      <c r="O53" s="243"/>
      <c r="P53" s="243"/>
      <c r="Q53" s="243"/>
      <c r="R53" s="243"/>
      <c r="S53" s="245">
        <f t="shared" si="6"/>
        <v>-1187756</v>
      </c>
      <c r="T53" s="18">
        <f t="shared" si="7"/>
        <v>-1187756</v>
      </c>
      <c r="U53" s="18"/>
      <c r="V53" s="18"/>
    </row>
    <row r="54" spans="1:22" x14ac:dyDescent="0.2">
      <c r="A54" s="1" t="s">
        <v>52</v>
      </c>
      <c r="B54" s="2">
        <v>-3063.11</v>
      </c>
      <c r="C54" s="78">
        <v>265.58999999999997</v>
      </c>
      <c r="D54" s="7">
        <v>482882</v>
      </c>
      <c r="E54" s="7">
        <v>915264</v>
      </c>
      <c r="F54" s="7"/>
      <c r="G54" s="7"/>
      <c r="H54" s="7"/>
      <c r="I54" s="7"/>
      <c r="J54" s="7"/>
      <c r="K54" s="7"/>
      <c r="L54" s="7">
        <v>23967</v>
      </c>
      <c r="M54" s="7"/>
      <c r="N54" s="7"/>
      <c r="O54" s="7"/>
      <c r="P54" s="7"/>
      <c r="Q54" s="7"/>
      <c r="R54" s="7"/>
      <c r="S54" s="60">
        <f t="shared" si="6"/>
        <v>-408415</v>
      </c>
      <c r="T54" s="1">
        <f t="shared" si="7"/>
        <v>-408415</v>
      </c>
      <c r="U54" s="1"/>
      <c r="V54" s="1"/>
    </row>
    <row r="55" spans="1:22" ht="13.5" customHeight="1" x14ac:dyDescent="0.2">
      <c r="A55" s="1" t="s">
        <v>732</v>
      </c>
      <c r="B55" s="2">
        <v>-326.04000000000002</v>
      </c>
      <c r="C55" s="78">
        <v>0</v>
      </c>
      <c r="D55" s="7"/>
      <c r="E55" s="7">
        <v>43472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60">
        <f>SUM((D55+F55+H55+J55+L55+N55+P55+R55)-(E55+G55+I55+K55+M55+O55+Q55))</f>
        <v>-43472</v>
      </c>
      <c r="T55" s="1">
        <f>S55-J55</f>
        <v>-43472</v>
      </c>
      <c r="U55" s="1"/>
      <c r="V55" s="1"/>
    </row>
    <row r="56" spans="1:22" ht="13.5" customHeight="1" x14ac:dyDescent="0.2">
      <c r="A56" s="1" t="s">
        <v>307</v>
      </c>
      <c r="B56" s="2">
        <v>-43.4</v>
      </c>
      <c r="C56" s="78">
        <v>0</v>
      </c>
      <c r="D56" s="7"/>
      <c r="E56" s="7">
        <v>1419</v>
      </c>
      <c r="F56" s="7"/>
      <c r="G56" s="7"/>
      <c r="H56" s="7"/>
      <c r="I56" s="7"/>
      <c r="J56" s="7"/>
      <c r="K56" s="7"/>
      <c r="L56" s="7"/>
      <c r="M56" s="7">
        <v>4367</v>
      </c>
      <c r="N56" s="7"/>
      <c r="O56" s="7"/>
      <c r="P56" s="7"/>
      <c r="Q56" s="7"/>
      <c r="R56" s="7"/>
      <c r="S56" s="60">
        <f t="shared" si="6"/>
        <v>-5786</v>
      </c>
      <c r="T56" s="1">
        <f t="shared" si="7"/>
        <v>-5786</v>
      </c>
      <c r="U56" s="1"/>
      <c r="V56" s="1"/>
    </row>
    <row r="57" spans="1:22" s="20" customFormat="1" x14ac:dyDescent="0.2">
      <c r="A57" s="18" t="s">
        <v>54</v>
      </c>
      <c r="B57" s="78">
        <v>36878.01</v>
      </c>
      <c r="C57" s="78">
        <v>827.86</v>
      </c>
      <c r="D57" s="243">
        <v>1505196</v>
      </c>
      <c r="E57" s="243"/>
      <c r="F57" s="243"/>
      <c r="G57" s="243"/>
      <c r="H57" s="243"/>
      <c r="I57" s="243"/>
      <c r="J57" s="243"/>
      <c r="K57" s="243"/>
      <c r="L57" s="243">
        <v>3385410</v>
      </c>
      <c r="M57" s="243"/>
      <c r="N57" s="243"/>
      <c r="O57" s="243"/>
      <c r="P57" s="243">
        <v>26462</v>
      </c>
      <c r="Q57" s="243"/>
      <c r="R57" s="243"/>
      <c r="S57" s="245">
        <f t="shared" si="6"/>
        <v>4917068</v>
      </c>
      <c r="T57" s="18">
        <f t="shared" si="7"/>
        <v>4917068</v>
      </c>
      <c r="U57" s="18"/>
      <c r="V57" s="18"/>
    </row>
    <row r="58" spans="1:22" s="20" customFormat="1" x14ac:dyDescent="0.2">
      <c r="A58" s="18" t="s">
        <v>55</v>
      </c>
      <c r="B58" s="78">
        <v>497.21</v>
      </c>
      <c r="C58" s="78">
        <v>23.26</v>
      </c>
      <c r="D58" s="243">
        <v>42287</v>
      </c>
      <c r="E58" s="243"/>
      <c r="F58" s="243"/>
      <c r="G58" s="243"/>
      <c r="H58" s="243"/>
      <c r="I58" s="243"/>
      <c r="J58" s="243"/>
      <c r="K58" s="243"/>
      <c r="L58" s="243">
        <v>24008</v>
      </c>
      <c r="M58" s="243"/>
      <c r="N58" s="243"/>
      <c r="O58" s="243"/>
      <c r="P58" s="243"/>
      <c r="Q58" s="243"/>
      <c r="R58" s="243"/>
      <c r="S58" s="245">
        <f t="shared" si="6"/>
        <v>66295</v>
      </c>
      <c r="T58" s="18">
        <f t="shared" si="7"/>
        <v>66295</v>
      </c>
      <c r="U58" s="18"/>
      <c r="V58" s="18"/>
    </row>
    <row r="59" spans="1:22" s="20" customFormat="1" x14ac:dyDescent="0.2">
      <c r="A59" s="18" t="s">
        <v>491</v>
      </c>
      <c r="B59" s="78">
        <v>0.83</v>
      </c>
      <c r="C59" s="78">
        <v>0.06</v>
      </c>
      <c r="D59" s="243">
        <v>110</v>
      </c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5">
        <f t="shared" si="6"/>
        <v>110</v>
      </c>
      <c r="T59" s="18">
        <f t="shared" si="7"/>
        <v>110</v>
      </c>
      <c r="U59" s="18"/>
      <c r="V59" s="18"/>
    </row>
    <row r="60" spans="1:22" x14ac:dyDescent="0.2">
      <c r="A60" s="1" t="s">
        <v>721</v>
      </c>
      <c r="B60" s="2">
        <v>6378.75</v>
      </c>
      <c r="C60" s="78">
        <v>0</v>
      </c>
      <c r="D60" s="7"/>
      <c r="E60" s="7"/>
      <c r="F60" s="7"/>
      <c r="G60" s="7"/>
      <c r="H60" s="7"/>
      <c r="I60" s="7"/>
      <c r="J60" s="7"/>
      <c r="K60" s="7"/>
      <c r="L60" s="7">
        <v>850500</v>
      </c>
      <c r="M60" s="7"/>
      <c r="N60" s="7"/>
      <c r="O60" s="7"/>
      <c r="P60" s="7"/>
      <c r="Q60" s="7"/>
      <c r="R60" s="7"/>
      <c r="S60" s="60">
        <f>SUM((D60+F60+H60+J60+L60+N60+P60+R60)-(E60+G60+I60+K60+M60+O60+Q60))</f>
        <v>850500</v>
      </c>
      <c r="T60" s="1">
        <f>S60-J60</f>
        <v>850500</v>
      </c>
      <c r="U60" s="1"/>
      <c r="V60" s="1"/>
    </row>
    <row r="61" spans="1:22" x14ac:dyDescent="0.2">
      <c r="A61" s="1" t="s">
        <v>461</v>
      </c>
      <c r="B61" s="2">
        <v>0</v>
      </c>
      <c r="C61" s="78">
        <v>66.92</v>
      </c>
      <c r="D61" s="7"/>
      <c r="E61" s="7"/>
      <c r="F61" s="7"/>
      <c r="G61" s="7"/>
      <c r="H61" s="7"/>
      <c r="I61" s="7"/>
      <c r="J61" s="7">
        <v>121675</v>
      </c>
      <c r="K61" s="7"/>
      <c r="L61" s="7"/>
      <c r="M61" s="7"/>
      <c r="N61" s="7"/>
      <c r="O61" s="7"/>
      <c r="P61" s="7"/>
      <c r="Q61" s="7"/>
      <c r="R61" s="7"/>
      <c r="S61" s="60">
        <f t="shared" si="6"/>
        <v>121675</v>
      </c>
      <c r="T61" s="1">
        <f t="shared" si="7"/>
        <v>0</v>
      </c>
      <c r="U61" s="1"/>
      <c r="V61" s="1"/>
    </row>
    <row r="62" spans="1:22" x14ac:dyDescent="0.2">
      <c r="A62" s="1" t="s">
        <v>738</v>
      </c>
      <c r="B62" s="2">
        <v>-1329.17</v>
      </c>
      <c r="C62" s="78">
        <v>0</v>
      </c>
      <c r="D62" s="7"/>
      <c r="E62" s="7">
        <v>139841</v>
      </c>
      <c r="F62" s="7"/>
      <c r="G62" s="7"/>
      <c r="H62" s="7"/>
      <c r="I62" s="7"/>
      <c r="J62" s="7"/>
      <c r="K62" s="7"/>
      <c r="L62" s="7"/>
      <c r="M62" s="7">
        <v>37382</v>
      </c>
      <c r="N62" s="7"/>
      <c r="O62" s="7"/>
      <c r="P62" s="7"/>
      <c r="Q62" s="7"/>
      <c r="R62" s="7"/>
      <c r="S62" s="60">
        <f>SUM((D62+F62+H62+J62+L62+N62+P62+R62)-(E62+G62+I62+K62+M62+O62+Q62))</f>
        <v>-177223</v>
      </c>
      <c r="T62" s="1">
        <f>S62-J62</f>
        <v>-177223</v>
      </c>
      <c r="U62" s="1"/>
      <c r="V62" s="1"/>
    </row>
    <row r="63" spans="1:22" x14ac:dyDescent="0.2">
      <c r="A63" s="1" t="s">
        <v>737</v>
      </c>
      <c r="B63" s="2">
        <v>-10049.379999999999</v>
      </c>
      <c r="C63" s="78">
        <v>25.75</v>
      </c>
      <c r="D63" s="7">
        <v>46813</v>
      </c>
      <c r="E63" s="7">
        <v>273842</v>
      </c>
      <c r="F63" s="7"/>
      <c r="G63" s="7">
        <v>1996</v>
      </c>
      <c r="H63" s="7"/>
      <c r="I63" s="7"/>
      <c r="J63" s="7"/>
      <c r="K63" s="7"/>
      <c r="L63" s="7"/>
      <c r="M63" s="7">
        <v>1110892</v>
      </c>
      <c r="N63" s="7"/>
      <c r="O63" s="7"/>
      <c r="P63" s="7"/>
      <c r="Q63" s="7"/>
      <c r="R63" s="7"/>
      <c r="S63" s="60">
        <f>SUM((D63+F63+H63+J63+L63+N63+P63+R63)-(E63+G63+I63+K63+M63+O63+Q63))</f>
        <v>-1339917</v>
      </c>
      <c r="T63" s="1">
        <f>S63-J63</f>
        <v>-1339917</v>
      </c>
      <c r="U63" s="1"/>
      <c r="V63" s="1"/>
    </row>
    <row r="64" spans="1:22" x14ac:dyDescent="0.2">
      <c r="A64" s="1" t="s">
        <v>96</v>
      </c>
      <c r="B64" s="2">
        <v>-273.38</v>
      </c>
      <c r="C64" s="78">
        <v>0</v>
      </c>
      <c r="D64" s="7"/>
      <c r="E64" s="7"/>
      <c r="F64" s="7"/>
      <c r="G64" s="7"/>
      <c r="H64" s="7"/>
      <c r="I64" s="7"/>
      <c r="J64" s="7"/>
      <c r="K64" s="7"/>
      <c r="L64" s="7"/>
      <c r="M64" s="7">
        <v>36450</v>
      </c>
      <c r="N64" s="7"/>
      <c r="O64" s="7"/>
      <c r="P64" s="7"/>
      <c r="Q64" s="7"/>
      <c r="R64" s="7"/>
      <c r="S64" s="60">
        <f t="shared" si="6"/>
        <v>-36450</v>
      </c>
      <c r="T64" s="1">
        <f t="shared" si="7"/>
        <v>-36450</v>
      </c>
      <c r="U64" s="1"/>
      <c r="V64" s="1"/>
    </row>
    <row r="65" spans="1:20" s="20" customFormat="1" x14ac:dyDescent="0.2">
      <c r="A65" s="18" t="s">
        <v>439</v>
      </c>
      <c r="B65" s="78">
        <v>5709.94</v>
      </c>
      <c r="C65" s="78">
        <v>131.76</v>
      </c>
      <c r="D65" s="243">
        <v>239565</v>
      </c>
      <c r="E65" s="243">
        <v>46381</v>
      </c>
      <c r="F65" s="243"/>
      <c r="G65" s="243"/>
      <c r="H65" s="243"/>
      <c r="I65" s="243"/>
      <c r="J65" s="243"/>
      <c r="K65" s="243"/>
      <c r="L65" s="243">
        <v>990886</v>
      </c>
      <c r="M65" s="243">
        <v>422745</v>
      </c>
      <c r="N65" s="243"/>
      <c r="O65" s="243"/>
      <c r="P65" s="243"/>
      <c r="Q65" s="243"/>
      <c r="R65" s="243"/>
      <c r="S65" s="245">
        <f t="shared" si="6"/>
        <v>761325</v>
      </c>
      <c r="T65" s="18">
        <f t="shared" si="7"/>
        <v>761325</v>
      </c>
    </row>
    <row r="66" spans="1:20" s="20" customFormat="1" x14ac:dyDescent="0.2">
      <c r="A66" s="18" t="s">
        <v>363</v>
      </c>
      <c r="B66" s="78">
        <v>15110.34</v>
      </c>
      <c r="C66" s="78">
        <v>647.19000000000005</v>
      </c>
      <c r="D66" s="243">
        <v>1117872</v>
      </c>
      <c r="E66" s="243">
        <v>5073</v>
      </c>
      <c r="F66" s="243">
        <v>58844</v>
      </c>
      <c r="G66" s="243"/>
      <c r="H66" s="243"/>
      <c r="I66" s="243"/>
      <c r="J66" s="243"/>
      <c r="K66" s="243"/>
      <c r="L66" s="243">
        <v>1366932</v>
      </c>
      <c r="M66" s="243">
        <v>523863</v>
      </c>
      <c r="N66" s="243"/>
      <c r="O66" s="243"/>
      <c r="P66" s="243"/>
      <c r="Q66" s="243"/>
      <c r="R66" s="243"/>
      <c r="S66" s="245">
        <f t="shared" si="6"/>
        <v>2014712</v>
      </c>
      <c r="T66" s="18">
        <f t="shared" si="7"/>
        <v>2014712</v>
      </c>
    </row>
    <row r="67" spans="1:20" s="20" customFormat="1" x14ac:dyDescent="0.2">
      <c r="A67" s="18" t="s">
        <v>102</v>
      </c>
      <c r="B67" s="78">
        <v>-3859.45</v>
      </c>
      <c r="C67" s="78">
        <v>55.88</v>
      </c>
      <c r="D67" s="243">
        <v>37092</v>
      </c>
      <c r="E67" s="243">
        <v>20745</v>
      </c>
      <c r="F67" s="243"/>
      <c r="G67" s="243">
        <v>211947</v>
      </c>
      <c r="H67" s="243"/>
      <c r="I67" s="243"/>
      <c r="J67" s="243">
        <v>64506</v>
      </c>
      <c r="K67" s="243"/>
      <c r="L67" s="243">
        <v>16210</v>
      </c>
      <c r="M67" s="243">
        <v>605554</v>
      </c>
      <c r="N67" s="243"/>
      <c r="O67" s="243"/>
      <c r="P67" s="243">
        <v>270351</v>
      </c>
      <c r="Q67" s="243"/>
      <c r="R67" s="243"/>
      <c r="S67" s="245">
        <f t="shared" si="6"/>
        <v>-450087</v>
      </c>
      <c r="T67" s="18">
        <f t="shared" si="7"/>
        <v>-514593</v>
      </c>
    </row>
    <row r="68" spans="1:20" x14ac:dyDescent="0.2">
      <c r="A68" s="1" t="s">
        <v>97</v>
      </c>
      <c r="B68" s="2">
        <v>2423.67</v>
      </c>
      <c r="C68" s="78">
        <v>167.51</v>
      </c>
      <c r="D68" s="7">
        <v>304561</v>
      </c>
      <c r="E68" s="7"/>
      <c r="F68" s="7"/>
      <c r="G68" s="7"/>
      <c r="H68" s="7"/>
      <c r="I68" s="7"/>
      <c r="J68" s="7"/>
      <c r="K68" s="7"/>
      <c r="L68" s="7">
        <v>18595</v>
      </c>
      <c r="M68" s="7"/>
      <c r="N68" s="7"/>
      <c r="O68" s="7"/>
      <c r="P68" s="7"/>
      <c r="Q68" s="7"/>
      <c r="R68" s="7"/>
      <c r="S68" s="60">
        <f t="shared" si="6"/>
        <v>323156</v>
      </c>
      <c r="T68" s="1">
        <f t="shared" ref="T68:T73" si="8">S68-J68</f>
        <v>323156</v>
      </c>
    </row>
    <row r="69" spans="1:20" s="20" customFormat="1" x14ac:dyDescent="0.2">
      <c r="A69" s="18" t="s">
        <v>498</v>
      </c>
      <c r="B69" s="78">
        <v>0</v>
      </c>
      <c r="C69" s="78">
        <v>1.1399999999999999</v>
      </c>
      <c r="D69" s="243"/>
      <c r="E69" s="243"/>
      <c r="F69" s="243"/>
      <c r="G69" s="243"/>
      <c r="H69" s="243"/>
      <c r="I69" s="243"/>
      <c r="J69" s="243">
        <v>2074</v>
      </c>
      <c r="K69" s="243"/>
      <c r="L69" s="243"/>
      <c r="M69" s="243"/>
      <c r="N69" s="243"/>
      <c r="O69" s="243"/>
      <c r="P69" s="243"/>
      <c r="Q69" s="243"/>
      <c r="R69" s="243"/>
      <c r="S69" s="245">
        <f t="shared" si="6"/>
        <v>2074</v>
      </c>
      <c r="T69" s="18">
        <f t="shared" si="8"/>
        <v>0</v>
      </c>
    </row>
    <row r="70" spans="1:20" s="20" customFormat="1" x14ac:dyDescent="0.2">
      <c r="A70" s="18" t="s">
        <v>103</v>
      </c>
      <c r="B70" s="78">
        <v>56479.66</v>
      </c>
      <c r="C70" s="78">
        <v>1100.3399999999999</v>
      </c>
      <c r="D70" s="243">
        <v>1983763</v>
      </c>
      <c r="E70" s="243">
        <v>15020</v>
      </c>
      <c r="F70" s="243">
        <v>16857</v>
      </c>
      <c r="G70" s="243"/>
      <c r="H70" s="243"/>
      <c r="I70" s="243"/>
      <c r="J70" s="243"/>
      <c r="K70" s="243"/>
      <c r="L70" s="243">
        <v>5301135</v>
      </c>
      <c r="M70" s="243">
        <v>60302</v>
      </c>
      <c r="N70" s="243"/>
      <c r="O70" s="243"/>
      <c r="P70" s="243">
        <v>304188</v>
      </c>
      <c r="Q70" s="243"/>
      <c r="R70" s="243"/>
      <c r="S70" s="245">
        <f t="shared" si="6"/>
        <v>7530621</v>
      </c>
      <c r="T70" s="18">
        <f t="shared" si="8"/>
        <v>7530621</v>
      </c>
    </row>
    <row r="71" spans="1:20" x14ac:dyDescent="0.2">
      <c r="A71" s="1" t="s">
        <v>463</v>
      </c>
      <c r="B71" s="2">
        <v>-18.54</v>
      </c>
      <c r="C71" s="78">
        <v>0</v>
      </c>
      <c r="D71" s="7"/>
      <c r="E71" s="7">
        <v>1312</v>
      </c>
      <c r="F71" s="7"/>
      <c r="G71" s="7"/>
      <c r="H71" s="7"/>
      <c r="I71" s="7"/>
      <c r="J71" s="7"/>
      <c r="K71" s="7"/>
      <c r="L71" s="7"/>
      <c r="M71" s="7">
        <v>1160</v>
      </c>
      <c r="N71" s="7"/>
      <c r="O71" s="7"/>
      <c r="P71" s="7"/>
      <c r="Q71" s="7"/>
      <c r="R71" s="7"/>
      <c r="S71" s="60">
        <f t="shared" si="6"/>
        <v>-2472</v>
      </c>
      <c r="T71" s="1">
        <f t="shared" si="8"/>
        <v>-2472</v>
      </c>
    </row>
    <row r="72" spans="1:20" x14ac:dyDescent="0.2">
      <c r="A72" s="1" t="s">
        <v>104</v>
      </c>
      <c r="B72" s="2">
        <v>-456.98</v>
      </c>
      <c r="C72" s="78"/>
      <c r="D72" s="7"/>
      <c r="E72" s="7"/>
      <c r="F72" s="7"/>
      <c r="G72" s="7"/>
      <c r="H72" s="7"/>
      <c r="I72" s="7"/>
      <c r="J72" s="7"/>
      <c r="K72" s="7"/>
      <c r="L72" s="7"/>
      <c r="M72" s="7">
        <v>60931</v>
      </c>
      <c r="N72" s="7"/>
      <c r="O72" s="7"/>
      <c r="P72" s="7"/>
      <c r="Q72" s="7"/>
      <c r="R72" s="7"/>
      <c r="S72" s="60">
        <f t="shared" si="6"/>
        <v>-60931</v>
      </c>
      <c r="T72" s="1">
        <f t="shared" si="8"/>
        <v>-60931</v>
      </c>
    </row>
    <row r="73" spans="1:20" s="20" customFormat="1" x14ac:dyDescent="0.2">
      <c r="A73" s="18" t="s">
        <v>739</v>
      </c>
      <c r="B73" s="78">
        <v>-927.53</v>
      </c>
      <c r="C73" s="78">
        <v>0</v>
      </c>
      <c r="D73" s="243"/>
      <c r="E73" s="243"/>
      <c r="F73" s="243"/>
      <c r="G73" s="243"/>
      <c r="H73" s="243"/>
      <c r="I73" s="243"/>
      <c r="J73" s="243"/>
      <c r="K73" s="243"/>
      <c r="L73" s="243"/>
      <c r="M73" s="243">
        <v>123670</v>
      </c>
      <c r="N73" s="243"/>
      <c r="O73" s="243"/>
      <c r="P73" s="243"/>
      <c r="Q73" s="243"/>
      <c r="R73" s="243"/>
      <c r="S73" s="245">
        <f t="shared" si="6"/>
        <v>-123670</v>
      </c>
      <c r="T73" s="18">
        <f t="shared" si="8"/>
        <v>-123670</v>
      </c>
    </row>
    <row r="74" spans="1:20" s="20" customFormat="1" x14ac:dyDescent="0.2">
      <c r="A74" s="18" t="s">
        <v>308</v>
      </c>
      <c r="B74" s="78">
        <v>31135.24</v>
      </c>
      <c r="C74" s="78">
        <v>763.31</v>
      </c>
      <c r="D74" s="243">
        <v>1387832</v>
      </c>
      <c r="E74" s="243"/>
      <c r="F74" s="243"/>
      <c r="G74" s="243"/>
      <c r="H74" s="243"/>
      <c r="I74" s="243"/>
      <c r="J74" s="243"/>
      <c r="K74" s="243"/>
      <c r="L74" s="243">
        <v>2658001</v>
      </c>
      <c r="M74" s="243">
        <v>9995</v>
      </c>
      <c r="N74" s="243"/>
      <c r="O74" s="243"/>
      <c r="P74" s="243">
        <v>115527</v>
      </c>
      <c r="Q74" s="243"/>
      <c r="R74" s="243"/>
      <c r="S74" s="245">
        <f t="shared" ref="S74:S81" si="9">SUM((D74+F74+H74+J74+L74+N74+P74+R74)-(E74+G74+I74+K74+M74+O74+Q74))</f>
        <v>4151365</v>
      </c>
      <c r="T74" s="18">
        <f t="shared" ref="T74:T81" si="10">S74-J74</f>
        <v>4151365</v>
      </c>
    </row>
    <row r="75" spans="1:20" s="20" customFormat="1" x14ac:dyDescent="0.2">
      <c r="A75" s="18" t="s">
        <v>442</v>
      </c>
      <c r="B75" s="78">
        <v>-2044.79</v>
      </c>
      <c r="C75" s="78">
        <v>104.29</v>
      </c>
      <c r="D75" s="243">
        <v>189611</v>
      </c>
      <c r="E75" s="243">
        <v>433569</v>
      </c>
      <c r="F75" s="243"/>
      <c r="G75" s="243"/>
      <c r="H75" s="243"/>
      <c r="I75" s="243"/>
      <c r="J75" s="243"/>
      <c r="K75" s="243"/>
      <c r="L75" s="243">
        <v>33003</v>
      </c>
      <c r="M75" s="243">
        <v>61683</v>
      </c>
      <c r="N75" s="243"/>
      <c r="O75" s="243"/>
      <c r="P75" s="243"/>
      <c r="Q75" s="243"/>
      <c r="R75" s="243"/>
      <c r="S75" s="245">
        <f t="shared" si="9"/>
        <v>-272638</v>
      </c>
      <c r="T75" s="18">
        <f t="shared" si="10"/>
        <v>-272638</v>
      </c>
    </row>
    <row r="76" spans="1:20" s="20" customFormat="1" x14ac:dyDescent="0.2">
      <c r="A76" s="18" t="s">
        <v>478</v>
      </c>
      <c r="B76" s="78">
        <v>26182.03</v>
      </c>
      <c r="C76" s="78">
        <v>1090.06</v>
      </c>
      <c r="D76" s="243">
        <v>1979922</v>
      </c>
      <c r="E76" s="243">
        <v>28589</v>
      </c>
      <c r="F76" s="243">
        <v>2001</v>
      </c>
      <c r="G76" s="243"/>
      <c r="H76" s="243"/>
      <c r="I76" s="243"/>
      <c r="J76" s="243"/>
      <c r="K76" s="243"/>
      <c r="L76" s="243">
        <v>1552457</v>
      </c>
      <c r="M76" s="243">
        <v>14854</v>
      </c>
      <c r="N76" s="243"/>
      <c r="O76" s="243"/>
      <c r="P76" s="243"/>
      <c r="Q76" s="243"/>
      <c r="R76" s="243"/>
      <c r="S76" s="245">
        <f>SUM((D76+F76+H76+J76+L76+N76+P76+R76)-(E76+G76+I76+K76+M76+O76+Q76))</f>
        <v>3490937</v>
      </c>
      <c r="T76" s="18">
        <f>S76-J76</f>
        <v>3490937</v>
      </c>
    </row>
    <row r="77" spans="1:20" s="20" customFormat="1" x14ac:dyDescent="0.2">
      <c r="A77" s="18" t="s">
        <v>309</v>
      </c>
      <c r="B77" s="78">
        <v>-13.34</v>
      </c>
      <c r="C77" s="78">
        <v>4.49</v>
      </c>
      <c r="D77" s="243">
        <v>8155</v>
      </c>
      <c r="E77" s="243"/>
      <c r="F77" s="243"/>
      <c r="G77" s="243"/>
      <c r="H77" s="243"/>
      <c r="I77" s="243"/>
      <c r="J77" s="243"/>
      <c r="K77" s="243"/>
      <c r="L77" s="243"/>
      <c r="M77" s="243">
        <v>9933</v>
      </c>
      <c r="N77" s="243"/>
      <c r="O77" s="243"/>
      <c r="P77" s="243"/>
      <c r="Q77" s="243"/>
      <c r="R77" s="243"/>
      <c r="S77" s="245">
        <f t="shared" si="9"/>
        <v>-1778</v>
      </c>
      <c r="T77" s="18">
        <f t="shared" si="10"/>
        <v>-1778</v>
      </c>
    </row>
    <row r="78" spans="1:20" s="20" customFormat="1" x14ac:dyDescent="0.2">
      <c r="A78" s="18" t="s">
        <v>364</v>
      </c>
      <c r="B78" s="78">
        <v>924.84</v>
      </c>
      <c r="C78" s="78"/>
      <c r="D78" s="243"/>
      <c r="E78" s="243">
        <v>105544</v>
      </c>
      <c r="F78" s="243"/>
      <c r="G78" s="243"/>
      <c r="H78" s="243"/>
      <c r="I78" s="243"/>
      <c r="J78" s="243"/>
      <c r="K78" s="243"/>
      <c r="L78" s="243">
        <v>1025266</v>
      </c>
      <c r="M78" s="243">
        <v>796410</v>
      </c>
      <c r="N78" s="243"/>
      <c r="O78" s="243"/>
      <c r="P78" s="243"/>
      <c r="Q78" s="243"/>
      <c r="R78" s="243"/>
      <c r="S78" s="245">
        <f>SUM((D78+F78+H78+J78+L78+N78+P78+R78)-(E78+G78+I78+K78+M78+O78+Q78))</f>
        <v>123312</v>
      </c>
      <c r="T78" s="18">
        <f>S78-J78</f>
        <v>123312</v>
      </c>
    </row>
    <row r="79" spans="1:20" s="20" customFormat="1" x14ac:dyDescent="0.2">
      <c r="A79" s="18" t="s">
        <v>619</v>
      </c>
      <c r="B79" s="78">
        <v>-1266.97</v>
      </c>
      <c r="C79" s="78"/>
      <c r="D79" s="243"/>
      <c r="E79" s="243">
        <v>3782</v>
      </c>
      <c r="F79" s="243"/>
      <c r="G79" s="243"/>
      <c r="H79" s="243"/>
      <c r="I79" s="243"/>
      <c r="J79" s="243"/>
      <c r="K79" s="243"/>
      <c r="L79" s="243"/>
      <c r="M79" s="243">
        <v>165147</v>
      </c>
      <c r="N79" s="243"/>
      <c r="O79" s="243"/>
      <c r="P79" s="243"/>
      <c r="Q79" s="243"/>
      <c r="R79" s="243"/>
      <c r="S79" s="245">
        <f>SUM((D79+F79+H79+J79+L79+N79+P79+R79)-(E79+G79+I79+K79+M79+O79+Q79))</f>
        <v>-168929</v>
      </c>
      <c r="T79" s="18">
        <f>S79-J79</f>
        <v>-168929</v>
      </c>
    </row>
    <row r="80" spans="1:20" s="20" customFormat="1" x14ac:dyDescent="0.2">
      <c r="A80" s="18" t="s">
        <v>369</v>
      </c>
      <c r="B80" s="78">
        <v>32422.959999999999</v>
      </c>
      <c r="C80" s="78">
        <v>1392.21</v>
      </c>
      <c r="D80" s="243">
        <v>1333964</v>
      </c>
      <c r="E80" s="243"/>
      <c r="F80" s="243">
        <v>1197335</v>
      </c>
      <c r="G80" s="243"/>
      <c r="H80" s="243"/>
      <c r="I80" s="243"/>
      <c r="J80" s="243"/>
      <c r="K80" s="243"/>
      <c r="L80" s="243">
        <v>1791762</v>
      </c>
      <c r="M80" s="243"/>
      <c r="N80" s="243"/>
      <c r="O80" s="243"/>
      <c r="P80" s="243"/>
      <c r="Q80" s="243"/>
      <c r="R80" s="243"/>
      <c r="S80" s="245">
        <f>SUM((D80+F80+H80+J80+L80+N80+P80+R80)-(E80+G80+I80+K80+M80+O80+Q80))</f>
        <v>4323061</v>
      </c>
      <c r="T80" s="18">
        <f>S80-J80</f>
        <v>4323061</v>
      </c>
    </row>
    <row r="81" spans="1:49" x14ac:dyDescent="0.2">
      <c r="A81" s="1" t="s">
        <v>310</v>
      </c>
      <c r="B81" s="2">
        <v>76895.56</v>
      </c>
      <c r="C81" s="78">
        <v>4150.7700000000004</v>
      </c>
      <c r="D81" s="7">
        <v>1388466</v>
      </c>
      <c r="E81" s="7"/>
      <c r="F81" s="7">
        <v>6158388</v>
      </c>
      <c r="G81" s="7"/>
      <c r="H81" s="7"/>
      <c r="I81" s="7"/>
      <c r="J81" s="7"/>
      <c r="K81" s="7"/>
      <c r="L81" s="7">
        <v>2017596</v>
      </c>
      <c r="M81" s="7"/>
      <c r="N81" s="7"/>
      <c r="O81" s="7"/>
      <c r="P81" s="7">
        <v>688291</v>
      </c>
      <c r="Q81" s="7"/>
      <c r="R81" s="7"/>
      <c r="S81" s="60">
        <f t="shared" si="9"/>
        <v>10252741</v>
      </c>
      <c r="T81" s="1">
        <f t="shared" si="10"/>
        <v>10252741</v>
      </c>
    </row>
    <row r="82" spans="1:49" x14ac:dyDescent="0.2">
      <c r="A82" s="1" t="s">
        <v>724</v>
      </c>
      <c r="B82" s="2">
        <v>166.88</v>
      </c>
      <c r="C82" s="78">
        <v>8.19</v>
      </c>
      <c r="D82" s="7">
        <v>14892</v>
      </c>
      <c r="E82" s="7"/>
      <c r="F82" s="7"/>
      <c r="G82" s="7"/>
      <c r="H82" s="7"/>
      <c r="I82" s="7"/>
      <c r="J82" s="7"/>
      <c r="K82" s="7"/>
      <c r="L82" s="7">
        <v>7359</v>
      </c>
      <c r="M82" s="7"/>
      <c r="N82" s="7"/>
      <c r="O82" s="7"/>
      <c r="P82" s="7"/>
      <c r="Q82" s="7"/>
      <c r="R82" s="7"/>
      <c r="S82" s="60">
        <f t="shared" ref="S82:S89" si="11">SUM((D82+F82+H82+J82+L82+N82+P82+R82)-(E82+G82+I82+K82+M82+O82+Q82))</f>
        <v>22251</v>
      </c>
      <c r="T82" s="1">
        <f t="shared" ref="T82:T89" si="12">S82-J82</f>
        <v>22251</v>
      </c>
    </row>
    <row r="83" spans="1:49" x14ac:dyDescent="0.2">
      <c r="A83" s="1" t="s">
        <v>83</v>
      </c>
      <c r="B83" s="2">
        <v>189.31</v>
      </c>
      <c r="C83" s="78">
        <v>10.75</v>
      </c>
      <c r="D83" s="7">
        <v>950</v>
      </c>
      <c r="E83" s="7"/>
      <c r="F83" s="7">
        <v>18600</v>
      </c>
      <c r="G83" s="7"/>
      <c r="H83" s="7"/>
      <c r="I83" s="7"/>
      <c r="J83" s="7"/>
      <c r="K83" s="7"/>
      <c r="L83" s="7">
        <v>5691</v>
      </c>
      <c r="M83" s="7"/>
      <c r="N83" s="7"/>
      <c r="O83" s="7"/>
      <c r="P83" s="7"/>
      <c r="Q83" s="7"/>
      <c r="R83" s="7"/>
      <c r="S83" s="60">
        <f t="shared" si="11"/>
        <v>25241</v>
      </c>
      <c r="T83" s="1">
        <f t="shared" si="12"/>
        <v>25241</v>
      </c>
    </row>
    <row r="84" spans="1:49" x14ac:dyDescent="0.2">
      <c r="A84" s="1" t="s">
        <v>311</v>
      </c>
      <c r="B84" s="2">
        <v>2.85</v>
      </c>
      <c r="C84" s="78">
        <v>0.21</v>
      </c>
      <c r="D84" s="7">
        <v>380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60">
        <f t="shared" si="11"/>
        <v>380</v>
      </c>
      <c r="T84" s="1">
        <f t="shared" si="12"/>
        <v>380</v>
      </c>
      <c r="U84" s="1"/>
      <c r="V84" s="1"/>
    </row>
    <row r="85" spans="1:49" x14ac:dyDescent="0.2">
      <c r="A85" s="1" t="s">
        <v>578</v>
      </c>
      <c r="B85" s="2">
        <v>91457.73</v>
      </c>
      <c r="C85" s="78">
        <v>3351.46</v>
      </c>
      <c r="D85" s="7">
        <v>6093570</v>
      </c>
      <c r="E85" s="7"/>
      <c r="F85" s="7"/>
      <c r="G85" s="7"/>
      <c r="H85" s="7"/>
      <c r="I85" s="7"/>
      <c r="J85" s="7"/>
      <c r="K85" s="7"/>
      <c r="L85" s="7">
        <v>5689278</v>
      </c>
      <c r="M85" s="7"/>
      <c r="N85" s="7"/>
      <c r="O85" s="7"/>
      <c r="P85" s="7">
        <v>411516</v>
      </c>
      <c r="Q85" s="7"/>
      <c r="R85" s="7"/>
      <c r="S85" s="60">
        <f t="shared" si="11"/>
        <v>12194364</v>
      </c>
      <c r="T85" s="1">
        <f t="shared" si="12"/>
        <v>12194364</v>
      </c>
      <c r="U85" s="1"/>
      <c r="V85" s="1"/>
    </row>
    <row r="86" spans="1:49" s="20" customFormat="1" x14ac:dyDescent="0.2">
      <c r="A86" s="18" t="s">
        <v>312</v>
      </c>
      <c r="B86" s="78">
        <v>6017.66</v>
      </c>
      <c r="C86" s="78">
        <v>9.9600000000000009</v>
      </c>
      <c r="D86" s="243"/>
      <c r="E86" s="243"/>
      <c r="F86" s="243"/>
      <c r="G86" s="243"/>
      <c r="H86" s="243"/>
      <c r="I86" s="243"/>
      <c r="J86" s="243">
        <v>18115</v>
      </c>
      <c r="K86" s="243"/>
      <c r="L86" s="243">
        <v>853356</v>
      </c>
      <c r="M86" s="243">
        <v>51002</v>
      </c>
      <c r="N86" s="243"/>
      <c r="O86" s="243"/>
      <c r="P86" s="243"/>
      <c r="Q86" s="243"/>
      <c r="R86" s="243"/>
      <c r="S86" s="245">
        <f t="shared" si="11"/>
        <v>820469</v>
      </c>
      <c r="T86" s="18">
        <f t="shared" si="12"/>
        <v>802354</v>
      </c>
      <c r="U86" s="78"/>
      <c r="V86" s="18"/>
      <c r="W86" s="18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18"/>
      <c r="AU86" s="243"/>
      <c r="AV86" s="18"/>
      <c r="AW86" s="18"/>
    </row>
    <row r="87" spans="1:49" s="20" customFormat="1" x14ac:dyDescent="0.2">
      <c r="A87" s="18" t="s">
        <v>620</v>
      </c>
      <c r="B87" s="78">
        <v>998.54</v>
      </c>
      <c r="C87" s="78">
        <v>0</v>
      </c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5">
        <f t="shared" si="11"/>
        <v>0</v>
      </c>
      <c r="T87" s="18">
        <f t="shared" si="12"/>
        <v>0</v>
      </c>
      <c r="U87" s="78"/>
      <c r="V87" s="18"/>
      <c r="W87" s="18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18"/>
      <c r="AU87" s="243"/>
      <c r="AV87" s="18"/>
      <c r="AW87" s="18"/>
    </row>
    <row r="88" spans="1:49" s="20" customFormat="1" x14ac:dyDescent="0.2">
      <c r="A88" s="18" t="s">
        <v>496</v>
      </c>
      <c r="B88" s="78">
        <v>-849.27</v>
      </c>
      <c r="C88" s="78">
        <v>0</v>
      </c>
      <c r="D88" s="243"/>
      <c r="E88" s="243">
        <v>88210</v>
      </c>
      <c r="F88" s="243"/>
      <c r="G88" s="243"/>
      <c r="H88" s="243"/>
      <c r="I88" s="243"/>
      <c r="J88" s="243"/>
      <c r="K88" s="243"/>
      <c r="L88" s="243"/>
      <c r="M88" s="243">
        <v>25026</v>
      </c>
      <c r="N88" s="243"/>
      <c r="O88" s="243"/>
      <c r="P88" s="243"/>
      <c r="Q88" s="243"/>
      <c r="R88" s="243"/>
      <c r="S88" s="245">
        <f t="shared" si="11"/>
        <v>-113236</v>
      </c>
      <c r="T88" s="18">
        <f t="shared" si="12"/>
        <v>-113236</v>
      </c>
      <c r="U88" s="78"/>
      <c r="V88" s="18"/>
      <c r="W88" s="18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3"/>
      <c r="AO88" s="243"/>
      <c r="AP88" s="243"/>
      <c r="AQ88" s="243"/>
      <c r="AR88" s="243"/>
      <c r="AS88" s="243"/>
      <c r="AT88" s="18"/>
      <c r="AU88" s="243"/>
      <c r="AV88" s="18"/>
      <c r="AW88" s="18"/>
    </row>
    <row r="89" spans="1:49" s="20" customFormat="1" x14ac:dyDescent="0.2">
      <c r="A89" s="18" t="s">
        <v>741</v>
      </c>
      <c r="B89" s="78">
        <v>42.47</v>
      </c>
      <c r="C89" s="78">
        <v>0</v>
      </c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>
        <v>5663</v>
      </c>
      <c r="Q89" s="243"/>
      <c r="R89" s="243"/>
      <c r="S89" s="245">
        <f t="shared" si="11"/>
        <v>5663</v>
      </c>
      <c r="T89" s="18">
        <f t="shared" si="12"/>
        <v>5663</v>
      </c>
      <c r="U89" s="78"/>
      <c r="V89" s="18"/>
      <c r="W89" s="18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3"/>
      <c r="AP89" s="243"/>
      <c r="AQ89" s="243"/>
      <c r="AR89" s="243"/>
      <c r="AS89" s="243"/>
      <c r="AT89" s="18"/>
      <c r="AU89" s="243"/>
      <c r="AV89" s="18"/>
      <c r="AW89" s="18"/>
    </row>
    <row r="90" spans="1:49" x14ac:dyDescent="0.2">
      <c r="T90" s="1"/>
      <c r="U90" s="1"/>
      <c r="V90" s="1"/>
    </row>
    <row r="91" spans="1:49" ht="21.75" customHeight="1" thickBot="1" x14ac:dyDescent="0.25">
      <c r="A91" s="1" t="s">
        <v>250</v>
      </c>
      <c r="B91" s="133">
        <f t="shared" ref="B91:T91" si="13">SUM(B12:B90)</f>
        <v>993951.5</v>
      </c>
      <c r="C91" s="133">
        <f t="shared" si="13"/>
        <v>49419.24</v>
      </c>
      <c r="D91" s="34">
        <f t="shared" si="13"/>
        <v>80952729</v>
      </c>
      <c r="E91" s="34">
        <f t="shared" si="13"/>
        <v>6635388</v>
      </c>
      <c r="F91" s="34">
        <f t="shared" si="13"/>
        <v>8086936</v>
      </c>
      <c r="G91" s="34">
        <f t="shared" si="13"/>
        <v>253299</v>
      </c>
      <c r="H91" s="34">
        <f t="shared" si="13"/>
        <v>252749</v>
      </c>
      <c r="I91" s="34">
        <f t="shared" si="13"/>
        <v>0</v>
      </c>
      <c r="J91" s="34">
        <f t="shared" si="13"/>
        <v>560732</v>
      </c>
      <c r="K91" s="34">
        <f t="shared" si="13"/>
        <v>0</v>
      </c>
      <c r="L91" s="34">
        <f t="shared" si="13"/>
        <v>53969292</v>
      </c>
      <c r="M91" s="34">
        <f t="shared" si="13"/>
        <v>15986926</v>
      </c>
      <c r="N91" s="34">
        <f t="shared" si="13"/>
        <v>0</v>
      </c>
      <c r="O91" s="34">
        <f t="shared" si="13"/>
        <v>0</v>
      </c>
      <c r="P91" s="34">
        <f t="shared" si="13"/>
        <v>12003671</v>
      </c>
      <c r="Q91" s="34">
        <f t="shared" si="13"/>
        <v>0</v>
      </c>
      <c r="R91" s="34">
        <f t="shared" si="13"/>
        <v>24966</v>
      </c>
      <c r="S91" s="34">
        <f t="shared" si="13"/>
        <v>132975462</v>
      </c>
      <c r="T91" s="34">
        <f t="shared" si="13"/>
        <v>132414730</v>
      </c>
      <c r="U91" s="7"/>
      <c r="V91" s="7">
        <f>D91-E91+F91-G91+H91-I91+J91-K91+L91-M91+N91-O91+P91-Q91+R91</f>
        <v>132975462</v>
      </c>
    </row>
    <row r="92" spans="1:49" x14ac:dyDescent="0.2">
      <c r="A92" s="1"/>
      <c r="B92" s="1"/>
      <c r="C92" s="1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49" ht="23.25" hidden="1" customHeight="1" x14ac:dyDescent="0.2">
      <c r="A93" s="1"/>
      <c r="B93" s="1"/>
      <c r="C93" s="1"/>
      <c r="D93" s="7"/>
      <c r="E93" s="7"/>
      <c r="F93" s="7"/>
      <c r="G93" s="7"/>
      <c r="H93" s="7"/>
      <c r="I93" s="7"/>
      <c r="J93" s="7"/>
      <c r="K93" s="7"/>
      <c r="L93" s="7"/>
      <c r="M93" s="7"/>
      <c r="N93" s="7" t="s">
        <v>313</v>
      </c>
      <c r="O93" s="7"/>
      <c r="P93" s="7"/>
      <c r="Q93" s="7"/>
      <c r="R93" s="7"/>
      <c r="S93" s="7"/>
      <c r="T93" s="7"/>
      <c r="U93" s="7"/>
      <c r="V93" s="7"/>
    </row>
    <row r="94" spans="1:49" ht="21" hidden="1" customHeight="1" x14ac:dyDescent="0.2">
      <c r="A94" s="1" t="s">
        <v>314</v>
      </c>
      <c r="B94" s="279">
        <v>1006085.16</v>
      </c>
      <c r="C94" s="279">
        <v>49419.24</v>
      </c>
      <c r="D94" s="7"/>
      <c r="E94" s="7"/>
      <c r="F94" s="2"/>
      <c r="G94" s="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"/>
      <c r="V94" s="1"/>
    </row>
    <row r="95" spans="1:49" hidden="1" x14ac:dyDescent="0.2">
      <c r="A95" s="1" t="s">
        <v>315</v>
      </c>
      <c r="B95" s="2">
        <f>B94-B91</f>
        <v>12133.66</v>
      </c>
      <c r="C95" s="2">
        <f>C94-C91</f>
        <v>0</v>
      </c>
      <c r="D95" s="407" t="s">
        <v>797</v>
      </c>
      <c r="E95" s="408"/>
      <c r="F95" s="407"/>
      <c r="G95" s="407"/>
      <c r="H95" s="9"/>
      <c r="I95" s="9"/>
      <c r="J95" s="1"/>
      <c r="K95" s="7"/>
      <c r="L95" s="1"/>
      <c r="M95" s="1"/>
      <c r="N95" s="1"/>
      <c r="O95" s="1"/>
      <c r="P95" s="1"/>
      <c r="Q95" s="1"/>
      <c r="R95" s="1"/>
      <c r="S95" s="7"/>
      <c r="T95" s="1"/>
      <c r="U95" s="1"/>
      <c r="V95" s="1"/>
    </row>
    <row r="96" spans="1:49" hidden="1" x14ac:dyDescent="0.2">
      <c r="A96" s="5"/>
      <c r="B96" s="254"/>
      <c r="C96" s="1"/>
      <c r="D96" s="9"/>
      <c r="E96" s="1"/>
      <c r="F96" s="9"/>
      <c r="G96" s="9"/>
      <c r="H96" s="9"/>
      <c r="I96" s="9"/>
      <c r="J96" s="1"/>
      <c r="K96" s="7"/>
    </row>
    <row r="97" spans="1:11" hidden="1" x14ac:dyDescent="0.2">
      <c r="A97" s="24"/>
      <c r="B97" s="2">
        <f>B95+B96</f>
        <v>12133.66</v>
      </c>
      <c r="C97" s="2">
        <f>C95+C96</f>
        <v>0</v>
      </c>
      <c r="D97" s="1"/>
      <c r="E97" s="1"/>
      <c r="F97" s="1"/>
      <c r="G97" s="1"/>
      <c r="H97" s="1"/>
      <c r="I97" s="1"/>
      <c r="J97" s="1"/>
      <c r="K97" s="7"/>
    </row>
    <row r="98" spans="1:11" hidden="1" x14ac:dyDescent="0.2">
      <c r="B98" t="s">
        <v>637</v>
      </c>
      <c r="C98" s="1" t="s">
        <v>638</v>
      </c>
      <c r="D98" s="1"/>
      <c r="E98" s="1"/>
      <c r="F98" s="1"/>
      <c r="G98" s="1"/>
      <c r="H98" s="1"/>
      <c r="I98" s="1"/>
      <c r="J98" s="1"/>
      <c r="K98" s="7"/>
    </row>
    <row r="99" spans="1:11" hidden="1" x14ac:dyDescent="0.2">
      <c r="A99" t="s">
        <v>636</v>
      </c>
      <c r="B99" s="296">
        <f>(+D91-E91+F91-G91+H91-I91+L91-M91+N91-O91+P91-Q91)*0.0075</f>
        <v>992923.23</v>
      </c>
      <c r="C99" s="296">
        <f>+B99-CUFEE</f>
        <v>-1028.27</v>
      </c>
      <c r="D99" s="1"/>
      <c r="E99" s="1"/>
      <c r="F99" s="1"/>
      <c r="G99" s="1"/>
      <c r="H99" s="1"/>
      <c r="I99" s="1"/>
      <c r="J99" s="1"/>
      <c r="K99" s="7"/>
    </row>
    <row r="100" spans="1:11" hidden="1" x14ac:dyDescent="0.2"/>
    <row r="101" spans="1:11" hidden="1" x14ac:dyDescent="0.2">
      <c r="A101" t="s">
        <v>635</v>
      </c>
      <c r="B101" s="296">
        <f>(+D91+F91+H91+J91)*0.00055</f>
        <v>49419.23</v>
      </c>
      <c r="C101" s="296">
        <f>+B101-INSFEE</f>
        <v>-0.01</v>
      </c>
    </row>
    <row r="102" spans="1:11" hidden="1" x14ac:dyDescent="0.2"/>
    <row r="103" spans="1:11" hidden="1" x14ac:dyDescent="0.2"/>
    <row r="104" spans="1:11" hidden="1" x14ac:dyDescent="0.2"/>
    <row r="105" spans="1:11" hidden="1" x14ac:dyDescent="0.2"/>
    <row r="106" spans="1:11" hidden="1" x14ac:dyDescent="0.2"/>
    <row r="107" spans="1:11" hidden="1" x14ac:dyDescent="0.2"/>
    <row r="108" spans="1:11" hidden="1" x14ac:dyDescent="0.2"/>
    <row r="109" spans="1:11" hidden="1" x14ac:dyDescent="0.2"/>
    <row r="110" spans="1:11" hidden="1" x14ac:dyDescent="0.2"/>
    <row r="111" spans="1:11" hidden="1" x14ac:dyDescent="0.2"/>
    <row r="112" spans="1:11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9"/>
  <sheetViews>
    <sheetView topLeftCell="A13" workbookViewId="0">
      <selection activeCell="A29" sqref="A29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316</v>
      </c>
      <c r="B1" s="71"/>
      <c r="C1" s="71"/>
    </row>
    <row r="2" spans="1:5" ht="27.75" customHeight="1" x14ac:dyDescent="0.2">
      <c r="A2" s="70" t="s">
        <v>717</v>
      </c>
      <c r="B2" s="72"/>
      <c r="C2" s="72"/>
    </row>
    <row r="3" spans="1:5" ht="50.25" customHeight="1" x14ac:dyDescent="0.25">
      <c r="A3" s="128" t="str">
        <f>CONCATENATE("MOTOR  FUEL  TAX  COLLECTED  IN  THE  MONTH  OF  ",ReportMonth)</f>
        <v>MOTOR  FUEL  TAX  COLLECTED  IN  THE  MONTH  OF  NOVEMBER 2004</v>
      </c>
      <c r="B3" s="73"/>
      <c r="C3" s="74"/>
    </row>
    <row r="4" spans="1:5" ht="57.75" customHeight="1" x14ac:dyDescent="0.2">
      <c r="A4" s="62" t="s">
        <v>317</v>
      </c>
      <c r="B4" s="62" t="s">
        <v>81</v>
      </c>
      <c r="C4" s="75">
        <f>ST12.65</f>
        <v>10966121.51</v>
      </c>
    </row>
    <row r="5" spans="1:5" ht="31.5" customHeight="1" x14ac:dyDescent="0.2">
      <c r="A5" s="62" t="s">
        <v>318</v>
      </c>
      <c r="B5" s="62" t="s">
        <v>81</v>
      </c>
      <c r="C5" s="75">
        <f>_ST5</f>
        <v>4333387.76</v>
      </c>
    </row>
    <row r="6" spans="1:5" ht="31.5" customHeight="1" x14ac:dyDescent="0.2">
      <c r="A6" s="62" t="s">
        <v>319</v>
      </c>
      <c r="B6" s="62" t="s">
        <v>320</v>
      </c>
      <c r="C6" s="75">
        <f>ST5.35</f>
        <v>4634074.5999999996</v>
      </c>
    </row>
    <row r="7" spans="1:5" ht="31.5" customHeight="1" x14ac:dyDescent="0.2">
      <c r="A7" s="62" t="s">
        <v>321</v>
      </c>
      <c r="B7" s="62"/>
      <c r="C7" s="62"/>
    </row>
    <row r="8" spans="1:5" ht="31.5" customHeight="1" x14ac:dyDescent="0.2">
      <c r="A8" s="62" t="s">
        <v>322</v>
      </c>
      <c r="B8" s="62"/>
      <c r="C8" s="75">
        <f>COUNTYOPTION</f>
        <v>7492312.6100000003</v>
      </c>
    </row>
    <row r="9" spans="1:5" ht="31.5" customHeight="1" x14ac:dyDescent="0.2">
      <c r="A9" s="62" t="s">
        <v>323</v>
      </c>
      <c r="B9" s="62"/>
      <c r="C9" s="75"/>
    </row>
    <row r="10" spans="1:5" ht="31.5" customHeight="1" x14ac:dyDescent="0.2">
      <c r="A10" s="62" t="s">
        <v>322</v>
      </c>
      <c r="B10" s="62"/>
      <c r="C10" s="75">
        <f>COUNTY1</f>
        <v>866364.38</v>
      </c>
    </row>
    <row r="11" spans="1:5" ht="31.5" customHeight="1" x14ac:dyDescent="0.2">
      <c r="A11" s="76" t="s">
        <v>324</v>
      </c>
      <c r="B11" s="62"/>
      <c r="C11" s="75">
        <f>AVGAS10.5</f>
        <v>4378.83</v>
      </c>
    </row>
    <row r="12" spans="1:5" ht="31.5" customHeight="1" x14ac:dyDescent="0.2">
      <c r="A12" s="76" t="s">
        <v>348</v>
      </c>
      <c r="B12" s="62"/>
      <c r="C12" s="75">
        <f>AV_OPT</f>
        <v>323.04000000000002</v>
      </c>
    </row>
    <row r="13" spans="1:5" ht="31.5" customHeight="1" x14ac:dyDescent="0.2">
      <c r="A13" s="62" t="s">
        <v>325</v>
      </c>
      <c r="B13" s="62"/>
      <c r="C13" s="75">
        <f>JETTOTAL</f>
        <v>1066951.1200000001</v>
      </c>
    </row>
    <row r="14" spans="1:5" ht="31.5" customHeight="1" x14ac:dyDescent="0.2">
      <c r="A14" s="62" t="s">
        <v>326</v>
      </c>
      <c r="B14" s="62"/>
      <c r="C14" s="75">
        <f>CUFEE</f>
        <v>993951.5</v>
      </c>
      <c r="E14" s="11"/>
    </row>
    <row r="15" spans="1:5" ht="31.5" customHeight="1" x14ac:dyDescent="0.2">
      <c r="A15" s="62" t="s">
        <v>327</v>
      </c>
      <c r="B15" s="62"/>
      <c r="C15" s="75">
        <f>INSFEE</f>
        <v>49419.24</v>
      </c>
      <c r="E15" s="11"/>
    </row>
    <row r="16" spans="1:5" ht="31.5" customHeight="1" x14ac:dyDescent="0.2">
      <c r="A16" s="62" t="s">
        <v>661</v>
      </c>
      <c r="B16" s="62"/>
      <c r="C16" s="75">
        <f>LICFEE</f>
        <v>127693.25</v>
      </c>
    </row>
    <row r="17" spans="1:5" ht="52.5" customHeight="1" thickBot="1" x14ac:dyDescent="0.3">
      <c r="A17" s="77" t="s">
        <v>328</v>
      </c>
      <c r="B17" s="62"/>
      <c r="C17" s="138">
        <f>SUM(C4:C16)</f>
        <v>30534977.84</v>
      </c>
    </row>
    <row r="18" spans="1:5" x14ac:dyDescent="0.2">
      <c r="A18" s="20"/>
      <c r="B18" s="20"/>
      <c r="C18" s="20"/>
    </row>
    <row r="21" spans="1:5" x14ac:dyDescent="0.2">
      <c r="B21" t="s">
        <v>572</v>
      </c>
      <c r="C21" s="253">
        <v>38932412.100000001</v>
      </c>
    </row>
    <row r="22" spans="1:5" x14ac:dyDescent="0.2">
      <c r="B22" t="s">
        <v>573</v>
      </c>
      <c r="C22" s="253">
        <v>48536.19</v>
      </c>
    </row>
    <row r="24" spans="1:5" x14ac:dyDescent="0.2">
      <c r="B24" t="s">
        <v>574</v>
      </c>
      <c r="C24" s="253">
        <f>8294437.1-13045.84</f>
        <v>8281391.2599999998</v>
      </c>
      <c r="E24" s="253">
        <f>C23+C24+C26</f>
        <v>8281391.2599999998</v>
      </c>
    </row>
    <row r="25" spans="1:5" x14ac:dyDescent="0.2">
      <c r="A25" t="s">
        <v>795</v>
      </c>
      <c r="B25" t="s">
        <v>793</v>
      </c>
      <c r="C25" s="253">
        <v>13045.84</v>
      </c>
      <c r="E25" s="253"/>
    </row>
    <row r="26" spans="1:5" x14ac:dyDescent="0.2">
      <c r="A26" t="s">
        <v>794</v>
      </c>
      <c r="C26" s="253"/>
      <c r="E26" s="253"/>
    </row>
    <row r="27" spans="1:5" x14ac:dyDescent="0.2">
      <c r="B27" t="s">
        <v>114</v>
      </c>
      <c r="C27" s="253">
        <f>C21-C22-C23-C24-C26-C25</f>
        <v>30589438.809999999</v>
      </c>
      <c r="E27" s="253"/>
    </row>
    <row r="29" spans="1:5" x14ac:dyDescent="0.2">
      <c r="C29" s="253">
        <f>C17-C27</f>
        <v>-54460.97</v>
      </c>
    </row>
    <row r="31" spans="1:5" x14ac:dyDescent="0.2">
      <c r="A31" s="143" t="s">
        <v>765</v>
      </c>
      <c r="C31" s="253">
        <f>C27+C29</f>
        <v>30534977.84</v>
      </c>
    </row>
    <row r="32" spans="1:5" x14ac:dyDescent="0.2">
      <c r="A32" t="s">
        <v>766</v>
      </c>
      <c r="B32" s="17">
        <v>-44644.37</v>
      </c>
      <c r="E32" s="253">
        <f>C29+E29</f>
        <v>-54460.97</v>
      </c>
    </row>
    <row r="34" spans="1:2" x14ac:dyDescent="0.2">
      <c r="A34" s="143" t="s">
        <v>788</v>
      </c>
      <c r="B34" s="253"/>
    </row>
    <row r="35" spans="1:2" x14ac:dyDescent="0.2">
      <c r="A35" t="s">
        <v>789</v>
      </c>
      <c r="B35" s="405">
        <v>-262.22000000000003</v>
      </c>
    </row>
    <row r="36" spans="1:2" x14ac:dyDescent="0.2">
      <c r="A36" t="s">
        <v>457</v>
      </c>
      <c r="B36" s="405">
        <v>-1651.34</v>
      </c>
    </row>
    <row r="37" spans="1:2" x14ac:dyDescent="0.2">
      <c r="A37" t="s">
        <v>790</v>
      </c>
      <c r="B37" s="405">
        <v>-1256.99</v>
      </c>
    </row>
    <row r="38" spans="1:2" x14ac:dyDescent="0.2">
      <c r="A38" t="s">
        <v>477</v>
      </c>
      <c r="B38" s="405">
        <v>-6311.06</v>
      </c>
    </row>
    <row r="39" spans="1:2" x14ac:dyDescent="0.2">
      <c r="A39" t="s">
        <v>628</v>
      </c>
      <c r="B39" s="405">
        <v>-928.1</v>
      </c>
    </row>
    <row r="40" spans="1:2" x14ac:dyDescent="0.2">
      <c r="A40" t="s">
        <v>791</v>
      </c>
      <c r="B40" s="405">
        <v>-456.98</v>
      </c>
    </row>
    <row r="41" spans="1:2" x14ac:dyDescent="0.2">
      <c r="A41" t="s">
        <v>792</v>
      </c>
      <c r="B41" s="405">
        <v>-1266.97</v>
      </c>
    </row>
    <row r="42" spans="1:2" x14ac:dyDescent="0.2">
      <c r="B42" s="405"/>
    </row>
    <row r="43" spans="1:2" x14ac:dyDescent="0.2">
      <c r="A43" t="s">
        <v>114</v>
      </c>
      <c r="B43" s="405">
        <f>SUM(B35:B42)</f>
        <v>-12133.66</v>
      </c>
    </row>
    <row r="44" spans="1:2" x14ac:dyDescent="0.2">
      <c r="B44" s="405"/>
    </row>
    <row r="45" spans="1:2" x14ac:dyDescent="0.2">
      <c r="A45" s="406" t="s">
        <v>796</v>
      </c>
    </row>
    <row r="46" spans="1:2" x14ac:dyDescent="0.2">
      <c r="A46" t="s">
        <v>613</v>
      </c>
      <c r="B46" s="17">
        <v>2317.06</v>
      </c>
    </row>
    <row r="49" spans="1:2" x14ac:dyDescent="0.2">
      <c r="A49" t="s">
        <v>114</v>
      </c>
      <c r="B49" s="253">
        <f>C29-B32-B43-B46</f>
        <v>0</v>
      </c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topLeftCell="A16" workbookViewId="0">
      <selection activeCell="C18" sqref="C18"/>
    </sheetView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717</v>
      </c>
      <c r="B2" s="65"/>
      <c r="C2" s="65"/>
    </row>
    <row r="3" spans="1:3" ht="43.5" customHeight="1" x14ac:dyDescent="0.25">
      <c r="A3" s="128" t="str">
        <f>CONCATENATE("MOTOR  FUEL  TAX  DISTRIBUTED  IN  THE  MONTH  OF  ",ReportMonth)</f>
        <v>MOTOR  FUEL  TAX  DISTRIBUTED  IN  THE  MONTH  OF  NOVEMBER 2004</v>
      </c>
      <c r="B3" s="65"/>
      <c r="C3" s="65"/>
    </row>
    <row r="4" spans="1:3" ht="54" customHeight="1" x14ac:dyDescent="0.2">
      <c r="A4" s="62" t="s">
        <v>329</v>
      </c>
      <c r="B4" s="62"/>
      <c r="C4" s="75">
        <f>COUNTYTOTAL</f>
        <v>12858866.289999999</v>
      </c>
    </row>
    <row r="5" spans="1:3" ht="31.5" customHeight="1" x14ac:dyDescent="0.2">
      <c r="A5" s="62" t="s">
        <v>330</v>
      </c>
      <c r="B5" s="62"/>
      <c r="C5" s="75">
        <f>NETAV</f>
        <v>323.04000000000002</v>
      </c>
    </row>
    <row r="6" spans="1:3" ht="31.5" customHeight="1" x14ac:dyDescent="0.2">
      <c r="A6" s="62" t="s">
        <v>331</v>
      </c>
      <c r="B6" s="62"/>
      <c r="C6" s="20"/>
    </row>
    <row r="7" spans="1:3" ht="31.5" customHeight="1" x14ac:dyDescent="0.2">
      <c r="A7" s="69" t="s">
        <v>332</v>
      </c>
      <c r="B7" s="62"/>
      <c r="C7" s="75">
        <f>NET12.65</f>
        <v>10807931.33</v>
      </c>
    </row>
    <row r="8" spans="1:3" ht="31.5" customHeight="1" x14ac:dyDescent="0.2">
      <c r="A8" s="62" t="s">
        <v>333</v>
      </c>
      <c r="B8" s="62"/>
      <c r="C8" s="75">
        <f>_NET5</f>
        <v>4270875.3600000003</v>
      </c>
    </row>
    <row r="9" spans="1:3" ht="31.5" customHeight="1" x14ac:dyDescent="0.2">
      <c r="A9" s="62" t="s">
        <v>334</v>
      </c>
      <c r="B9" s="62"/>
      <c r="C9" s="75"/>
    </row>
    <row r="10" spans="1:3" ht="31.5" customHeight="1" x14ac:dyDescent="0.2">
      <c r="A10" s="62" t="s">
        <v>335</v>
      </c>
      <c r="B10" s="62"/>
      <c r="C10" s="75">
        <f>_JET1</f>
        <v>376184.48</v>
      </c>
    </row>
    <row r="11" spans="1:3" ht="31.5" customHeight="1" x14ac:dyDescent="0.2">
      <c r="A11" s="62" t="s">
        <v>336</v>
      </c>
      <c r="B11" s="62"/>
      <c r="C11" s="75">
        <f>_JET2</f>
        <v>690766.64</v>
      </c>
    </row>
    <row r="12" spans="1:3" ht="31.5" customHeight="1" x14ac:dyDescent="0.2">
      <c r="A12" s="62" t="s">
        <v>337</v>
      </c>
      <c r="B12" s="62"/>
      <c r="C12" s="75">
        <f>ADMINFEES</f>
        <v>53635.72</v>
      </c>
    </row>
    <row r="13" spans="1:3" ht="31.5" customHeight="1" x14ac:dyDescent="0.2">
      <c r="A13" s="62" t="s">
        <v>338</v>
      </c>
      <c r="B13" s="62"/>
      <c r="C13" s="75">
        <f>CIVILA</f>
        <v>4378.83</v>
      </c>
    </row>
    <row r="14" spans="1:3" ht="31.5" customHeight="1" x14ac:dyDescent="0.2">
      <c r="A14" s="62" t="s">
        <v>339</v>
      </c>
      <c r="B14" s="62"/>
      <c r="C14" s="75">
        <f>REFUNDS</f>
        <v>48853.440000000002</v>
      </c>
    </row>
    <row r="15" spans="1:3" ht="31.5" customHeight="1" x14ac:dyDescent="0.2">
      <c r="A15" s="62" t="s">
        <v>340</v>
      </c>
      <c r="B15" s="62"/>
      <c r="C15" s="75">
        <f>PARKWILD</f>
        <v>252098.72</v>
      </c>
    </row>
    <row r="16" spans="1:3" ht="31.5" customHeight="1" x14ac:dyDescent="0.2">
      <c r="A16" s="62" t="s">
        <v>326</v>
      </c>
      <c r="B16" s="62"/>
      <c r="C16" s="75">
        <f>CUFEE</f>
        <v>993951.5</v>
      </c>
    </row>
    <row r="17" spans="1:3" ht="31.5" customHeight="1" x14ac:dyDescent="0.2">
      <c r="A17" s="62" t="s">
        <v>327</v>
      </c>
      <c r="B17" s="62"/>
      <c r="C17" s="75">
        <f>INSFEE</f>
        <v>49419.24</v>
      </c>
    </row>
    <row r="18" spans="1:3" ht="42.75" customHeight="1" x14ac:dyDescent="0.2">
      <c r="A18" s="62" t="s">
        <v>661</v>
      </c>
      <c r="B18" s="62"/>
      <c r="C18" s="75">
        <f>LICFEE</f>
        <v>127693.25</v>
      </c>
    </row>
    <row r="19" spans="1:3" ht="42.75" customHeight="1" thickBot="1" x14ac:dyDescent="0.3">
      <c r="A19" s="99" t="s">
        <v>341</v>
      </c>
      <c r="B19" s="20"/>
      <c r="C19" s="138">
        <f>SUM(C4:C18)</f>
        <v>30534977.84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40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7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634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3" t="s">
        <v>565</v>
      </c>
      <c r="AR1" s="82"/>
    </row>
    <row r="2" spans="1:44" ht="15.75" x14ac:dyDescent="0.25">
      <c r="A2" s="113" t="str">
        <f>ReportMonth</f>
        <v>NOVEMBER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3" t="s">
        <v>565</v>
      </c>
    </row>
    <row r="3" spans="1:44" ht="15" x14ac:dyDescent="0.2">
      <c r="A3" s="87" t="s">
        <v>3</v>
      </c>
      <c r="B3" s="87"/>
      <c r="C3" s="43"/>
      <c r="D3" s="43"/>
      <c r="E3" s="43"/>
      <c r="F3" s="43"/>
      <c r="G3" s="43"/>
      <c r="H3" s="87"/>
      <c r="I3" s="87"/>
      <c r="J3" s="87"/>
      <c r="K3" s="87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3"/>
    </row>
    <row r="4" spans="1:44" ht="15" x14ac:dyDescent="0.2">
      <c r="A4" s="87" t="s">
        <v>445</v>
      </c>
      <c r="B4" s="87"/>
      <c r="C4" s="43"/>
      <c r="D4" s="43"/>
      <c r="E4" s="43"/>
      <c r="F4" s="43"/>
      <c r="G4" s="43"/>
      <c r="H4" s="87"/>
      <c r="I4" s="87"/>
      <c r="J4" s="87"/>
      <c r="K4" s="87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3"/>
    </row>
    <row r="5" spans="1:44" ht="15" x14ac:dyDescent="0.2">
      <c r="A5" s="87" t="s">
        <v>4</v>
      </c>
      <c r="B5" s="43"/>
      <c r="C5" s="87"/>
      <c r="D5" s="87"/>
      <c r="E5" s="87"/>
      <c r="F5" s="87"/>
      <c r="G5" s="87"/>
      <c r="H5" s="87"/>
      <c r="I5" s="87"/>
      <c r="J5" s="87"/>
      <c r="K5" s="87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4" t="str">
        <f>CONCATENATE("EXCISE TAX COLLECTED IN ",ReportMonth," FOR ",ActivityMonth," FUEL TRANSACTIONS")</f>
        <v>EXCISE TAX COLLECTED IN NOVEMBER 2004 FOR NOVEMBER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607</v>
      </c>
      <c r="G9" s="5" t="s">
        <v>608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597</v>
      </c>
      <c r="I10" s="5" t="s">
        <v>596</v>
      </c>
      <c r="J10" s="5" t="s">
        <v>595</v>
      </c>
      <c r="K10" s="5" t="s">
        <v>598</v>
      </c>
      <c r="L10" s="5" t="s">
        <v>11</v>
      </c>
      <c r="M10" s="1"/>
    </row>
    <row r="11" spans="1:44" s="20" customFormat="1" ht="15" customHeight="1" thickBot="1" x14ac:dyDescent="0.25">
      <c r="A11" s="80" t="s">
        <v>606</v>
      </c>
      <c r="B11" s="79" t="s">
        <v>597</v>
      </c>
      <c r="C11" s="79" t="s">
        <v>596</v>
      </c>
      <c r="D11" s="79" t="s">
        <v>595</v>
      </c>
      <c r="E11" s="79" t="s">
        <v>598</v>
      </c>
      <c r="F11" s="79" t="s">
        <v>599</v>
      </c>
      <c r="G11" s="79" t="s">
        <v>599</v>
      </c>
      <c r="H11" s="79" t="s">
        <v>600</v>
      </c>
      <c r="I11" s="79" t="s">
        <v>603</v>
      </c>
      <c r="J11" s="79" t="s">
        <v>601</v>
      </c>
      <c r="K11" s="79" t="s">
        <v>602</v>
      </c>
      <c r="L11" s="112" t="s">
        <v>20</v>
      </c>
      <c r="M11" s="18"/>
    </row>
    <row r="12" spans="1:44" s="20" customFormat="1" ht="15" customHeight="1" x14ac:dyDescent="0.2">
      <c r="A12" s="291" t="s">
        <v>605</v>
      </c>
      <c r="B12" s="290"/>
      <c r="C12" s="290"/>
      <c r="D12" s="290"/>
      <c r="E12" s="290"/>
      <c r="F12" s="290"/>
      <c r="G12" s="290"/>
      <c r="H12" s="289">
        <v>0.1862</v>
      </c>
      <c r="I12" s="289">
        <v>0.20580000000000001</v>
      </c>
      <c r="J12" s="289">
        <v>0.2646</v>
      </c>
      <c r="K12" s="289">
        <v>0.21560000000000001</v>
      </c>
      <c r="L12" s="290"/>
      <c r="M12" s="18"/>
    </row>
    <row r="13" spans="1:44" ht="12.75" customHeight="1" x14ac:dyDescent="0.2">
      <c r="A13" s="1" t="s">
        <v>38</v>
      </c>
      <c r="B13" s="7"/>
      <c r="C13" s="7"/>
      <c r="D13" s="7">
        <v>157708</v>
      </c>
      <c r="E13" s="7"/>
      <c r="F13" s="7">
        <v>1443110</v>
      </c>
      <c r="G13" s="7">
        <v>1395102</v>
      </c>
      <c r="H13" s="2">
        <f t="shared" ref="H13:H119" si="0">B13*0.1862</f>
        <v>0</v>
      </c>
      <c r="I13" s="2">
        <f t="shared" ref="I13:I119" si="1">C13*0.2058</f>
        <v>0</v>
      </c>
      <c r="J13" s="2">
        <f t="shared" ref="J13:J18" si="2">D13*0.2646</f>
        <v>41729.54</v>
      </c>
      <c r="K13" s="2">
        <f t="shared" ref="K13:K119" si="3">E13*0.2156</f>
        <v>0</v>
      </c>
      <c r="L13" s="2">
        <f t="shared" ref="L13:L119" si="4">+H13+I13+J13+K13</f>
        <v>41729.54</v>
      </c>
      <c r="M13" s="1"/>
    </row>
    <row r="14" spans="1:44" x14ac:dyDescent="0.2">
      <c r="A14" s="1" t="s">
        <v>349</v>
      </c>
      <c r="B14" s="7"/>
      <c r="C14" s="7"/>
      <c r="D14" s="7">
        <v>148026</v>
      </c>
      <c r="E14" s="7"/>
      <c r="F14" s="7">
        <v>0</v>
      </c>
      <c r="G14" s="7">
        <v>0</v>
      </c>
      <c r="H14" s="2">
        <f t="shared" si="0"/>
        <v>0</v>
      </c>
      <c r="I14" s="2">
        <f t="shared" si="1"/>
        <v>0</v>
      </c>
      <c r="J14" s="2">
        <f t="shared" si="2"/>
        <v>39167.68</v>
      </c>
      <c r="K14" s="2">
        <f t="shared" si="3"/>
        <v>0</v>
      </c>
      <c r="L14" s="2">
        <f t="shared" si="4"/>
        <v>39167.68</v>
      </c>
      <c r="M14" s="1"/>
    </row>
    <row r="15" spans="1:44" x14ac:dyDescent="0.2">
      <c r="A15" s="1" t="s">
        <v>492</v>
      </c>
      <c r="B15" s="7"/>
      <c r="C15" s="7"/>
      <c r="D15" s="7">
        <v>533274</v>
      </c>
      <c r="E15" s="7"/>
      <c r="F15" s="7">
        <v>0</v>
      </c>
      <c r="G15" s="7">
        <v>0</v>
      </c>
      <c r="H15" s="2">
        <f t="shared" si="0"/>
        <v>0</v>
      </c>
      <c r="I15" s="2">
        <f t="shared" si="1"/>
        <v>0</v>
      </c>
      <c r="J15" s="2">
        <f t="shared" si="2"/>
        <v>141104.29999999999</v>
      </c>
      <c r="K15" s="2">
        <f t="shared" si="3"/>
        <v>0</v>
      </c>
      <c r="L15" s="2">
        <f t="shared" si="4"/>
        <v>141104.29999999999</v>
      </c>
      <c r="M15" s="1"/>
    </row>
    <row r="16" spans="1:44" x14ac:dyDescent="0.2">
      <c r="A16" s="1" t="s">
        <v>743</v>
      </c>
      <c r="B16" s="7"/>
      <c r="C16" s="7"/>
      <c r="D16" s="7">
        <v>0</v>
      </c>
      <c r="E16" s="7"/>
      <c r="F16" s="7">
        <v>15702</v>
      </c>
      <c r="G16" s="7">
        <v>7902</v>
      </c>
      <c r="H16" s="2">
        <f>B16*0.1862</f>
        <v>0</v>
      </c>
      <c r="I16" s="2">
        <f>C16*0.2058</f>
        <v>0</v>
      </c>
      <c r="J16" s="2">
        <f t="shared" si="2"/>
        <v>0</v>
      </c>
      <c r="K16" s="2">
        <f>E16*0.2156</f>
        <v>0</v>
      </c>
      <c r="L16" s="2">
        <f>+H16+I16+J16+K16</f>
        <v>0</v>
      </c>
      <c r="M16" s="1"/>
    </row>
    <row r="17" spans="1:13" x14ac:dyDescent="0.2">
      <c r="A17" s="7" t="s">
        <v>744</v>
      </c>
      <c r="B17" s="7"/>
      <c r="C17" s="7"/>
      <c r="D17" s="7"/>
      <c r="E17" s="7"/>
      <c r="F17" s="7"/>
      <c r="G17" s="7"/>
      <c r="H17" s="2">
        <f>B17*0.1862</f>
        <v>0</v>
      </c>
      <c r="I17" s="2">
        <f>C17*0.2058</f>
        <v>0</v>
      </c>
      <c r="J17" s="2">
        <f t="shared" si="2"/>
        <v>0</v>
      </c>
      <c r="K17" s="2">
        <f>E17*0.2156</f>
        <v>0</v>
      </c>
      <c r="L17" s="2">
        <f>+H17+I17+J17+K17+11.48</f>
        <v>11.48</v>
      </c>
      <c r="M17" s="1"/>
    </row>
    <row r="18" spans="1:13" x14ac:dyDescent="0.2">
      <c r="A18" s="1" t="s">
        <v>726</v>
      </c>
      <c r="B18" s="7"/>
      <c r="C18" s="7"/>
      <c r="D18" s="7">
        <v>15787</v>
      </c>
      <c r="E18" s="7"/>
      <c r="F18" s="7">
        <v>0</v>
      </c>
      <c r="G18" s="7">
        <v>0</v>
      </c>
      <c r="H18" s="2">
        <f>B18*0.1862</f>
        <v>0</v>
      </c>
      <c r="I18" s="2">
        <f>C18*0.2058</f>
        <v>0</v>
      </c>
      <c r="J18" s="2">
        <f t="shared" si="2"/>
        <v>4177.24</v>
      </c>
      <c r="K18" s="2">
        <f>E18*0.2156</f>
        <v>0</v>
      </c>
      <c r="L18" s="2">
        <f>+H18+I18+J18+K18</f>
        <v>4177.24</v>
      </c>
      <c r="M18" s="1"/>
    </row>
    <row r="19" spans="1:13" x14ac:dyDescent="0.2">
      <c r="A19" s="1" t="s">
        <v>40</v>
      </c>
      <c r="B19" s="7"/>
      <c r="C19" s="7"/>
      <c r="D19" s="7">
        <v>600</v>
      </c>
      <c r="E19" s="7"/>
      <c r="F19" s="7">
        <v>1650</v>
      </c>
      <c r="G19" s="7">
        <v>1650</v>
      </c>
      <c r="H19" s="2">
        <f t="shared" si="0"/>
        <v>0</v>
      </c>
      <c r="I19" s="2">
        <f t="shared" si="1"/>
        <v>0</v>
      </c>
      <c r="J19" s="2">
        <f>D19*0.2646-0.74</f>
        <v>158.02000000000001</v>
      </c>
      <c r="K19" s="2">
        <f t="shared" si="3"/>
        <v>0</v>
      </c>
      <c r="L19" s="2">
        <f t="shared" si="4"/>
        <v>158.02000000000001</v>
      </c>
      <c r="M19" s="1"/>
    </row>
    <row r="20" spans="1:13" x14ac:dyDescent="0.2">
      <c r="A20" s="1" t="s">
        <v>763</v>
      </c>
      <c r="B20" s="7"/>
      <c r="C20" s="7"/>
      <c r="D20" s="7"/>
      <c r="E20" s="7"/>
      <c r="F20" s="7"/>
      <c r="G20" s="7"/>
      <c r="H20" s="2">
        <f>B20*0.1862</f>
        <v>0</v>
      </c>
      <c r="I20" s="2">
        <f>C20*0.2058</f>
        <v>0</v>
      </c>
      <c r="J20" s="2">
        <v>0.74</v>
      </c>
      <c r="K20" s="2">
        <f>E20*0.2156</f>
        <v>0</v>
      </c>
      <c r="L20" s="2">
        <f>+H20+I20+J20+K20</f>
        <v>0.74</v>
      </c>
      <c r="M20" s="1"/>
    </row>
    <row r="21" spans="1:13" x14ac:dyDescent="0.2">
      <c r="A21" s="1" t="s">
        <v>621</v>
      </c>
      <c r="B21" s="7"/>
      <c r="C21" s="7"/>
      <c r="D21" s="7">
        <v>30861</v>
      </c>
      <c r="E21" s="7"/>
      <c r="F21" s="7">
        <v>0</v>
      </c>
      <c r="G21" s="7">
        <v>0</v>
      </c>
      <c r="H21" s="2">
        <f>B21*0.1862</f>
        <v>0</v>
      </c>
      <c r="I21" s="2">
        <f>C21*0.2058</f>
        <v>0</v>
      </c>
      <c r="J21" s="2">
        <f>D21*0.2646</f>
        <v>8165.82</v>
      </c>
      <c r="K21" s="2">
        <f>E21*0.2156</f>
        <v>0</v>
      </c>
      <c r="L21" s="2">
        <f>+H21+I21+J21+K21</f>
        <v>8165.82</v>
      </c>
      <c r="M21" s="1"/>
    </row>
    <row r="22" spans="1:13" x14ac:dyDescent="0.2">
      <c r="A22" s="1" t="s">
        <v>448</v>
      </c>
      <c r="B22" s="7"/>
      <c r="C22" s="7">
        <v>-193</v>
      </c>
      <c r="D22" s="7">
        <v>3419787</v>
      </c>
      <c r="E22" s="7"/>
      <c r="F22" s="7">
        <v>2821109</v>
      </c>
      <c r="G22" s="7">
        <v>2821109</v>
      </c>
      <c r="H22" s="2">
        <f>B22*0.1862</f>
        <v>0</v>
      </c>
      <c r="I22" s="2">
        <f>C22*0.2058</f>
        <v>-39.72</v>
      </c>
      <c r="J22" s="2">
        <f>D22*0.2646</f>
        <v>904875.64</v>
      </c>
      <c r="K22" s="2">
        <f>E22*0.2156</f>
        <v>0</v>
      </c>
      <c r="L22" s="2">
        <f>+H22+I22+J22+K22</f>
        <v>904835.92</v>
      </c>
      <c r="M22" s="1"/>
    </row>
    <row r="23" spans="1:13" x14ac:dyDescent="0.2">
      <c r="A23" s="1" t="s">
        <v>449</v>
      </c>
      <c r="B23" s="7"/>
      <c r="C23" s="7"/>
      <c r="D23" s="7">
        <v>61589</v>
      </c>
      <c r="E23" s="7"/>
      <c r="F23" s="7">
        <v>0</v>
      </c>
      <c r="G23" s="7">
        <v>0</v>
      </c>
      <c r="H23" s="2">
        <f t="shared" si="0"/>
        <v>0</v>
      </c>
      <c r="I23" s="2">
        <f t="shared" si="1"/>
        <v>0</v>
      </c>
      <c r="J23" s="2">
        <f>D23*0.2646</f>
        <v>16296.45</v>
      </c>
      <c r="K23" s="2">
        <f t="shared" si="3"/>
        <v>0</v>
      </c>
      <c r="L23" s="2">
        <f t="shared" si="4"/>
        <v>16296.45</v>
      </c>
      <c r="M23" s="1"/>
    </row>
    <row r="24" spans="1:13" x14ac:dyDescent="0.2">
      <c r="A24" s="1" t="s">
        <v>353</v>
      </c>
      <c r="B24" s="7"/>
      <c r="C24" s="7"/>
      <c r="D24" s="7">
        <v>389632</v>
      </c>
      <c r="E24" s="7"/>
      <c r="F24" s="7">
        <v>667112</v>
      </c>
      <c r="G24" s="7">
        <v>667112</v>
      </c>
      <c r="H24" s="2">
        <f t="shared" si="0"/>
        <v>0</v>
      </c>
      <c r="I24" s="2">
        <f t="shared" si="1"/>
        <v>0</v>
      </c>
      <c r="J24" s="2">
        <f>D24*0.2646</f>
        <v>103096.63</v>
      </c>
      <c r="K24" s="2">
        <f t="shared" si="3"/>
        <v>0</v>
      </c>
      <c r="L24" s="2">
        <f t="shared" si="4"/>
        <v>103096.63</v>
      </c>
      <c r="M24" s="1"/>
    </row>
    <row r="25" spans="1:13" s="20" customFormat="1" x14ac:dyDescent="0.2">
      <c r="A25" s="18" t="s">
        <v>493</v>
      </c>
      <c r="B25" s="243"/>
      <c r="C25" s="243"/>
      <c r="D25" s="243">
        <v>14498</v>
      </c>
      <c r="E25" s="243"/>
      <c r="F25" s="243">
        <v>2799</v>
      </c>
      <c r="G25" s="243">
        <v>2799</v>
      </c>
      <c r="H25" s="2">
        <f t="shared" si="0"/>
        <v>0</v>
      </c>
      <c r="I25" s="2">
        <f t="shared" si="1"/>
        <v>0</v>
      </c>
      <c r="J25" s="2">
        <f>D25*0.2646</f>
        <v>3836.17</v>
      </c>
      <c r="K25" s="2">
        <f t="shared" si="3"/>
        <v>0</v>
      </c>
      <c r="L25" s="2">
        <f t="shared" si="4"/>
        <v>3836.17</v>
      </c>
      <c r="M25" s="18"/>
    </row>
    <row r="26" spans="1:13" s="20" customFormat="1" x14ac:dyDescent="0.2">
      <c r="A26" s="1" t="s">
        <v>301</v>
      </c>
      <c r="B26" s="243"/>
      <c r="C26" s="243"/>
      <c r="D26" s="243">
        <v>467724</v>
      </c>
      <c r="E26" s="243"/>
      <c r="F26" s="243">
        <v>304707</v>
      </c>
      <c r="G26" s="243">
        <v>303146</v>
      </c>
      <c r="H26" s="2">
        <f t="shared" si="0"/>
        <v>0</v>
      </c>
      <c r="I26" s="2">
        <f t="shared" si="1"/>
        <v>0</v>
      </c>
      <c r="J26" s="2">
        <f>D26*0.2646-0.01</f>
        <v>123759.76</v>
      </c>
      <c r="K26" s="2">
        <f t="shared" si="3"/>
        <v>0</v>
      </c>
      <c r="L26" s="2">
        <f t="shared" si="4"/>
        <v>123759.76</v>
      </c>
      <c r="M26" s="18"/>
    </row>
    <row r="27" spans="1:13" x14ac:dyDescent="0.2">
      <c r="A27" s="1" t="s">
        <v>772</v>
      </c>
      <c r="B27" s="7"/>
      <c r="C27" s="7"/>
      <c r="D27" s="7"/>
      <c r="E27" s="7"/>
      <c r="F27" s="7"/>
      <c r="G27" s="7"/>
      <c r="H27" s="2">
        <f>B27*0.1862</f>
        <v>0</v>
      </c>
      <c r="I27" s="2">
        <f>C27*0.2058</f>
        <v>0</v>
      </c>
      <c r="J27" s="2">
        <f>D27*0.2646+0.01</f>
        <v>0.01</v>
      </c>
      <c r="K27" s="2">
        <f>E27*0.2156</f>
        <v>0</v>
      </c>
      <c r="L27" s="2">
        <f>+H27+I27+J27+K27</f>
        <v>0.01</v>
      </c>
      <c r="M27" s="1"/>
    </row>
    <row r="28" spans="1:13" s="20" customFormat="1" x14ac:dyDescent="0.2">
      <c r="A28" s="1" t="s">
        <v>640</v>
      </c>
      <c r="B28" s="243"/>
      <c r="C28" s="243"/>
      <c r="D28" s="243">
        <v>979</v>
      </c>
      <c r="E28" s="243"/>
      <c r="F28" s="243">
        <v>0</v>
      </c>
      <c r="G28" s="243">
        <v>0</v>
      </c>
      <c r="H28" s="2">
        <f>B28*0.1862</f>
        <v>0</v>
      </c>
      <c r="I28" s="2">
        <f>C28*0.2058</f>
        <v>0</v>
      </c>
      <c r="J28" s="2">
        <f>D28*0.2646</f>
        <v>259.04000000000002</v>
      </c>
      <c r="K28" s="2">
        <f>E28*0.2156</f>
        <v>0</v>
      </c>
      <c r="L28" s="2">
        <f>+H28+I28+J28+K28</f>
        <v>259.04000000000002</v>
      </c>
      <c r="M28" s="18"/>
    </row>
    <row r="29" spans="1:13" x14ac:dyDescent="0.2">
      <c r="A29" s="1" t="s">
        <v>41</v>
      </c>
      <c r="B29" s="7"/>
      <c r="C29" s="7"/>
      <c r="D29" s="7">
        <v>292372</v>
      </c>
      <c r="E29" s="7"/>
      <c r="F29" s="7">
        <v>239165</v>
      </c>
      <c r="G29" s="7">
        <v>238804</v>
      </c>
      <c r="H29" s="2">
        <f t="shared" si="0"/>
        <v>0</v>
      </c>
      <c r="I29" s="2">
        <f t="shared" si="1"/>
        <v>0</v>
      </c>
      <c r="J29" s="2">
        <f>D29*0.2646-12.74</f>
        <v>77348.89</v>
      </c>
      <c r="K29" s="2">
        <f t="shared" si="3"/>
        <v>0</v>
      </c>
      <c r="L29" s="2">
        <f t="shared" si="4"/>
        <v>77348.89</v>
      </c>
      <c r="M29" s="1"/>
    </row>
    <row r="30" spans="1:13" x14ac:dyDescent="0.2">
      <c r="A30" s="1" t="s">
        <v>450</v>
      </c>
      <c r="B30" s="7"/>
      <c r="C30" s="7"/>
      <c r="D30" s="7">
        <v>2522853</v>
      </c>
      <c r="E30" s="7">
        <v>155</v>
      </c>
      <c r="F30" s="7">
        <v>0</v>
      </c>
      <c r="G30" s="7">
        <v>0</v>
      </c>
      <c r="H30" s="2">
        <f t="shared" si="0"/>
        <v>0</v>
      </c>
      <c r="I30" s="2">
        <f t="shared" si="1"/>
        <v>0</v>
      </c>
      <c r="J30" s="2">
        <f>D30*0.2646</f>
        <v>667546.9</v>
      </c>
      <c r="K30" s="2">
        <f t="shared" si="3"/>
        <v>33.42</v>
      </c>
      <c r="L30" s="2">
        <f t="shared" si="4"/>
        <v>667580.31999999995</v>
      </c>
      <c r="M30" s="1"/>
    </row>
    <row r="31" spans="1:13" x14ac:dyDescent="0.2">
      <c r="A31" s="1" t="s">
        <v>42</v>
      </c>
      <c r="B31" s="7"/>
      <c r="C31" s="7"/>
      <c r="D31" s="7">
        <v>618492</v>
      </c>
      <c r="E31" s="7"/>
      <c r="F31" s="7">
        <v>453224</v>
      </c>
      <c r="G31" s="7">
        <v>0</v>
      </c>
      <c r="H31" s="2">
        <f t="shared" si="0"/>
        <v>0</v>
      </c>
      <c r="I31" s="2">
        <f t="shared" si="1"/>
        <v>0</v>
      </c>
      <c r="J31" s="2">
        <f>D31*0.2646-1.48</f>
        <v>163651.5</v>
      </c>
      <c r="K31" s="2">
        <f t="shared" si="3"/>
        <v>0</v>
      </c>
      <c r="L31" s="2">
        <f t="shared" si="4"/>
        <v>163651.5</v>
      </c>
      <c r="M31" s="1"/>
    </row>
    <row r="32" spans="1:13" x14ac:dyDescent="0.2">
      <c r="A32" s="1" t="s">
        <v>773</v>
      </c>
      <c r="B32" s="7"/>
      <c r="C32" s="7"/>
      <c r="D32" s="7"/>
      <c r="E32" s="7"/>
      <c r="F32" s="7"/>
      <c r="G32" s="7"/>
      <c r="H32" s="2">
        <f>B32*0.1862</f>
        <v>0</v>
      </c>
      <c r="I32" s="2">
        <f>C32*0.2058</f>
        <v>0</v>
      </c>
      <c r="J32" s="2">
        <f>D32*0.2646+1.48</f>
        <v>1.48</v>
      </c>
      <c r="K32" s="2">
        <f>E32*0.2156</f>
        <v>0</v>
      </c>
      <c r="L32" s="2">
        <f>+H32+I32+J32+K32</f>
        <v>1.48</v>
      </c>
      <c r="M32" s="1"/>
    </row>
    <row r="33" spans="1:13" x14ac:dyDescent="0.2">
      <c r="A33" s="1" t="s">
        <v>43</v>
      </c>
      <c r="B33" s="7"/>
      <c r="C33" s="7"/>
      <c r="D33" s="7">
        <v>51253</v>
      </c>
      <c r="E33" s="7"/>
      <c r="F33" s="7">
        <v>93174</v>
      </c>
      <c r="G33" s="7">
        <v>80786</v>
      </c>
      <c r="H33" s="2">
        <f t="shared" si="0"/>
        <v>0</v>
      </c>
      <c r="I33" s="2">
        <f t="shared" si="1"/>
        <v>0</v>
      </c>
      <c r="J33" s="2">
        <f t="shared" ref="J33:J39" si="5">D33*0.2646</f>
        <v>13561.54</v>
      </c>
      <c r="K33" s="2">
        <f t="shared" si="3"/>
        <v>0</v>
      </c>
      <c r="L33" s="2">
        <f t="shared" si="4"/>
        <v>13561.54</v>
      </c>
      <c r="M33" s="1"/>
    </row>
    <row r="34" spans="1:13" x14ac:dyDescent="0.2">
      <c r="A34" s="18" t="s">
        <v>44</v>
      </c>
      <c r="B34" s="7"/>
      <c r="C34" s="7"/>
      <c r="D34" s="7">
        <v>110192</v>
      </c>
      <c r="E34" s="7"/>
      <c r="F34" s="7">
        <v>0</v>
      </c>
      <c r="G34" s="7">
        <v>0</v>
      </c>
      <c r="H34" s="2">
        <f t="shared" si="0"/>
        <v>0</v>
      </c>
      <c r="I34" s="2">
        <f t="shared" si="1"/>
        <v>0</v>
      </c>
      <c r="J34" s="2">
        <f t="shared" si="5"/>
        <v>29156.799999999999</v>
      </c>
      <c r="K34" s="2">
        <f t="shared" si="3"/>
        <v>0</v>
      </c>
      <c r="L34" s="2">
        <f t="shared" si="4"/>
        <v>29156.799999999999</v>
      </c>
      <c r="M34" s="1"/>
    </row>
    <row r="35" spans="1:13" x14ac:dyDescent="0.2">
      <c r="A35" s="1" t="s">
        <v>727</v>
      </c>
      <c r="B35" s="7"/>
      <c r="C35" s="7"/>
      <c r="D35" s="7">
        <v>1000</v>
      </c>
      <c r="E35" s="7"/>
      <c r="F35" s="7">
        <v>0</v>
      </c>
      <c r="G35" s="7">
        <v>0</v>
      </c>
      <c r="H35" s="2">
        <f>B35*0.1862</f>
        <v>0</v>
      </c>
      <c r="I35" s="2">
        <f>C35*0.2058</f>
        <v>0</v>
      </c>
      <c r="J35" s="2">
        <f t="shared" si="5"/>
        <v>264.60000000000002</v>
      </c>
      <c r="K35" s="2">
        <f>E35*0.2156</f>
        <v>0</v>
      </c>
      <c r="L35" s="2">
        <f>+H35+I35+J35+K35</f>
        <v>264.60000000000002</v>
      </c>
      <c r="M35" s="1"/>
    </row>
    <row r="36" spans="1:13" x14ac:dyDescent="0.2">
      <c r="A36" s="1" t="s">
        <v>609</v>
      </c>
      <c r="B36" s="7"/>
      <c r="C36" s="7"/>
      <c r="D36" s="7">
        <v>23892</v>
      </c>
      <c r="E36" s="7"/>
      <c r="F36" s="7">
        <v>0</v>
      </c>
      <c r="G36" s="7">
        <v>74572</v>
      </c>
      <c r="H36" s="2">
        <f>B36*0.1862</f>
        <v>0</v>
      </c>
      <c r="I36" s="2">
        <f>C36*0.2058</f>
        <v>0</v>
      </c>
      <c r="J36" s="2">
        <f t="shared" si="5"/>
        <v>6321.82</v>
      </c>
      <c r="K36" s="2">
        <f>E36*0.2156</f>
        <v>0</v>
      </c>
      <c r="L36" s="2">
        <f>+H36+I36+J36+K36</f>
        <v>6321.82</v>
      </c>
      <c r="M36" s="1"/>
    </row>
    <row r="37" spans="1:13" x14ac:dyDescent="0.2">
      <c r="A37" s="1" t="s">
        <v>45</v>
      </c>
      <c r="B37" s="7"/>
      <c r="C37" s="7"/>
      <c r="D37" s="7">
        <v>39231</v>
      </c>
      <c r="E37" s="7"/>
      <c r="F37" s="7">
        <v>0</v>
      </c>
      <c r="G37" s="7">
        <v>0</v>
      </c>
      <c r="H37" s="2">
        <f t="shared" si="0"/>
        <v>0</v>
      </c>
      <c r="I37" s="2">
        <f t="shared" si="1"/>
        <v>0</v>
      </c>
      <c r="J37" s="2">
        <f t="shared" si="5"/>
        <v>10380.52</v>
      </c>
      <c r="K37" s="2">
        <f t="shared" si="3"/>
        <v>0</v>
      </c>
      <c r="L37" s="2">
        <f t="shared" si="4"/>
        <v>10380.52</v>
      </c>
      <c r="M37" s="1"/>
    </row>
    <row r="38" spans="1:13" x14ac:dyDescent="0.2">
      <c r="A38" s="1" t="s">
        <v>451</v>
      </c>
      <c r="B38" s="7"/>
      <c r="C38" s="7"/>
      <c r="D38" s="7">
        <v>48332</v>
      </c>
      <c r="E38" s="7"/>
      <c r="F38" s="7">
        <v>4978</v>
      </c>
      <c r="G38" s="7">
        <v>4978</v>
      </c>
      <c r="H38" s="2">
        <f t="shared" si="0"/>
        <v>0</v>
      </c>
      <c r="I38" s="2">
        <f t="shared" si="1"/>
        <v>0</v>
      </c>
      <c r="J38" s="2">
        <f t="shared" si="5"/>
        <v>12788.65</v>
      </c>
      <c r="K38" s="2">
        <f t="shared" si="3"/>
        <v>0</v>
      </c>
      <c r="L38" s="2">
        <f t="shared" si="4"/>
        <v>12788.65</v>
      </c>
      <c r="M38" s="1"/>
    </row>
    <row r="39" spans="1:13" x14ac:dyDescent="0.2">
      <c r="A39" s="1" t="s">
        <v>781</v>
      </c>
      <c r="B39" s="7"/>
      <c r="C39" s="7"/>
      <c r="D39" s="7">
        <v>0</v>
      </c>
      <c r="E39" s="7"/>
      <c r="F39" s="7">
        <v>24781</v>
      </c>
      <c r="G39" s="7">
        <v>24781</v>
      </c>
      <c r="H39" s="2">
        <f>B39*0.1862</f>
        <v>0</v>
      </c>
      <c r="I39" s="2">
        <f>C39*0.2058</f>
        <v>0</v>
      </c>
      <c r="J39" s="2">
        <f t="shared" si="5"/>
        <v>0</v>
      </c>
      <c r="K39" s="2">
        <f>E39*0.2156</f>
        <v>0</v>
      </c>
      <c r="L39" s="2">
        <f>+H39+I39+J39+K39</f>
        <v>0</v>
      </c>
      <c r="M39" s="1"/>
    </row>
    <row r="40" spans="1:13" x14ac:dyDescent="0.2">
      <c r="A40" s="1" t="s">
        <v>434</v>
      </c>
      <c r="B40" s="7"/>
      <c r="C40" s="7"/>
      <c r="D40" s="7">
        <v>314375</v>
      </c>
      <c r="E40" s="7"/>
      <c r="F40" s="7">
        <v>0</v>
      </c>
      <c r="G40" s="7">
        <v>0</v>
      </c>
      <c r="H40" s="2">
        <f t="shared" si="0"/>
        <v>0</v>
      </c>
      <c r="I40" s="2">
        <f t="shared" si="1"/>
        <v>0</v>
      </c>
      <c r="J40" s="2">
        <f>D40*0.2646-0.02</f>
        <v>83183.61</v>
      </c>
      <c r="K40" s="2">
        <f t="shared" si="3"/>
        <v>0</v>
      </c>
      <c r="L40" s="2">
        <f t="shared" si="4"/>
        <v>83183.61</v>
      </c>
      <c r="M40" s="1"/>
    </row>
    <row r="41" spans="1:13" x14ac:dyDescent="0.2">
      <c r="A41" s="1" t="s">
        <v>774</v>
      </c>
      <c r="B41" s="7"/>
      <c r="C41" s="7"/>
      <c r="D41" s="7"/>
      <c r="E41" s="7"/>
      <c r="F41" s="7"/>
      <c r="G41" s="7"/>
      <c r="H41" s="2">
        <f>B41*0.1862</f>
        <v>0</v>
      </c>
      <c r="I41" s="2">
        <f>C41*0.2058</f>
        <v>0</v>
      </c>
      <c r="J41" s="2">
        <f>D41*0.2646+0.02</f>
        <v>0.02</v>
      </c>
      <c r="K41" s="2">
        <f>E41*0.2156</f>
        <v>0</v>
      </c>
      <c r="L41" s="2">
        <f>+H41+I41+J41+K41</f>
        <v>0.02</v>
      </c>
      <c r="M41" s="1"/>
    </row>
    <row r="42" spans="1:13" x14ac:dyDescent="0.2">
      <c r="A42" s="1" t="s">
        <v>457</v>
      </c>
      <c r="B42" s="7"/>
      <c r="C42" s="7"/>
      <c r="D42" s="7">
        <v>0</v>
      </c>
      <c r="E42" s="7"/>
      <c r="F42" s="7">
        <v>38844</v>
      </c>
      <c r="G42" s="7">
        <v>0</v>
      </c>
      <c r="H42" s="2">
        <f>B42*0.1862</f>
        <v>0</v>
      </c>
      <c r="I42" s="2">
        <f>C42*0.2058</f>
        <v>0</v>
      </c>
      <c r="J42" s="2">
        <f>D42*0.2646</f>
        <v>0</v>
      </c>
      <c r="K42" s="2">
        <f>E42*0.2156</f>
        <v>0</v>
      </c>
      <c r="L42" s="2">
        <f>+H42+I42+J42+K42</f>
        <v>0</v>
      </c>
      <c r="M42" s="1"/>
    </row>
    <row r="43" spans="1:13" x14ac:dyDescent="0.2">
      <c r="A43" s="1" t="s">
        <v>452</v>
      </c>
      <c r="B43" s="7"/>
      <c r="C43" s="7"/>
      <c r="D43" s="7">
        <v>79414</v>
      </c>
      <c r="E43" s="7"/>
      <c r="F43" s="7">
        <v>360766</v>
      </c>
      <c r="G43" s="7">
        <v>360766</v>
      </c>
      <c r="H43" s="2">
        <f t="shared" si="0"/>
        <v>0</v>
      </c>
      <c r="I43" s="2">
        <f t="shared" si="1"/>
        <v>0</v>
      </c>
      <c r="J43" s="2">
        <f>D43*0.2646</f>
        <v>21012.94</v>
      </c>
      <c r="K43" s="2">
        <f t="shared" si="3"/>
        <v>0</v>
      </c>
      <c r="L43" s="2">
        <f t="shared" si="4"/>
        <v>21012.94</v>
      </c>
      <c r="M43" s="1"/>
    </row>
    <row r="44" spans="1:13" x14ac:dyDescent="0.2">
      <c r="A44" s="1" t="s">
        <v>720</v>
      </c>
      <c r="B44" s="7"/>
      <c r="C44" s="7"/>
      <c r="D44" s="7">
        <v>285</v>
      </c>
      <c r="E44" s="7"/>
      <c r="F44" s="7">
        <v>0</v>
      </c>
      <c r="G44" s="7">
        <v>0</v>
      </c>
      <c r="H44" s="2">
        <f>B44*0.1862</f>
        <v>0</v>
      </c>
      <c r="I44" s="2">
        <f>C44*0.2058</f>
        <v>0</v>
      </c>
      <c r="J44" s="2">
        <f>D44*0.2646-6.16</f>
        <v>69.25</v>
      </c>
      <c r="K44" s="2">
        <f>E44*0.2156</f>
        <v>0</v>
      </c>
      <c r="L44" s="2">
        <f>+H44+I44+J44+K44</f>
        <v>69.25</v>
      </c>
      <c r="M44" s="1"/>
    </row>
    <row r="45" spans="1:13" x14ac:dyDescent="0.2">
      <c r="A45" s="1" t="s">
        <v>458</v>
      </c>
      <c r="B45" s="7"/>
      <c r="C45" s="7"/>
      <c r="D45" s="7">
        <v>4135</v>
      </c>
      <c r="E45" s="7"/>
      <c r="F45" s="7">
        <v>398507</v>
      </c>
      <c r="G45" s="7">
        <v>398507</v>
      </c>
      <c r="H45" s="2">
        <f t="shared" si="0"/>
        <v>0</v>
      </c>
      <c r="I45" s="2">
        <f t="shared" si="1"/>
        <v>0</v>
      </c>
      <c r="J45" s="2">
        <f>D45*0.2646</f>
        <v>1094.1199999999999</v>
      </c>
      <c r="K45" s="2">
        <f t="shared" si="3"/>
        <v>0</v>
      </c>
      <c r="L45" s="2">
        <f t="shared" si="4"/>
        <v>1094.1199999999999</v>
      </c>
      <c r="M45" s="1"/>
    </row>
    <row r="46" spans="1:13" x14ac:dyDescent="0.2">
      <c r="A46" s="1" t="s">
        <v>730</v>
      </c>
      <c r="B46" s="7"/>
      <c r="C46" s="7"/>
      <c r="D46" s="7">
        <v>0</v>
      </c>
      <c r="E46" s="7"/>
      <c r="F46" s="7">
        <v>124913</v>
      </c>
      <c r="G46" s="7">
        <v>124913</v>
      </c>
      <c r="H46" s="2">
        <f>B46*0.1862</f>
        <v>0</v>
      </c>
      <c r="I46" s="2">
        <f>C46*0.2058</f>
        <v>0</v>
      </c>
      <c r="J46" s="2">
        <f>D46*0.2646</f>
        <v>0</v>
      </c>
      <c r="K46" s="2">
        <f>E46*0.2156</f>
        <v>0</v>
      </c>
      <c r="L46" s="2">
        <f>+H46+I46+J46+K46</f>
        <v>0</v>
      </c>
      <c r="M46" s="1"/>
    </row>
    <row r="47" spans="1:13" s="20" customFormat="1" x14ac:dyDescent="0.2">
      <c r="A47" s="18" t="s">
        <v>499</v>
      </c>
      <c r="B47" s="243"/>
      <c r="C47" s="243"/>
      <c r="D47" s="243">
        <v>18892</v>
      </c>
      <c r="E47" s="243"/>
      <c r="F47" s="243">
        <v>2685267</v>
      </c>
      <c r="G47" s="243">
        <v>2953384</v>
      </c>
      <c r="H47" s="2">
        <f t="shared" si="0"/>
        <v>0</v>
      </c>
      <c r="I47" s="2">
        <f t="shared" si="1"/>
        <v>0</v>
      </c>
      <c r="J47" s="2">
        <f>D47*0.2646-1327.28</f>
        <v>3671.54</v>
      </c>
      <c r="K47" s="2">
        <f t="shared" si="3"/>
        <v>0</v>
      </c>
      <c r="L47" s="2">
        <f t="shared" si="4"/>
        <v>3671.54</v>
      </c>
      <c r="M47" s="18"/>
    </row>
    <row r="48" spans="1:13" x14ac:dyDescent="0.2">
      <c r="A48" s="1" t="s">
        <v>435</v>
      </c>
      <c r="B48" s="7"/>
      <c r="C48" s="7"/>
      <c r="D48" s="7">
        <v>148022</v>
      </c>
      <c r="E48" s="7"/>
      <c r="F48" s="7">
        <v>0</v>
      </c>
      <c r="G48" s="7">
        <v>0</v>
      </c>
      <c r="H48" s="2">
        <f t="shared" si="0"/>
        <v>0</v>
      </c>
      <c r="I48" s="2">
        <f t="shared" si="1"/>
        <v>0</v>
      </c>
      <c r="J48" s="2">
        <f>D48*0.2646-0.01</f>
        <v>39166.61</v>
      </c>
      <c r="K48" s="2">
        <f t="shared" si="3"/>
        <v>0</v>
      </c>
      <c r="L48" s="2">
        <f t="shared" si="4"/>
        <v>39166.61</v>
      </c>
      <c r="M48" s="1"/>
    </row>
    <row r="49" spans="1:13" x14ac:dyDescent="0.2">
      <c r="A49" s="1" t="s">
        <v>775</v>
      </c>
      <c r="B49" s="7"/>
      <c r="C49" s="7"/>
      <c r="D49" s="7"/>
      <c r="E49" s="7"/>
      <c r="F49" s="7"/>
      <c r="G49" s="7"/>
      <c r="H49" s="2">
        <f>B49*0.1862</f>
        <v>0</v>
      </c>
      <c r="I49" s="2">
        <f>C49*0.2058</f>
        <v>0</v>
      </c>
      <c r="J49" s="2">
        <f>D49*0.2646+0.01</f>
        <v>0.01</v>
      </c>
      <c r="K49" s="2">
        <f>E49*0.2156</f>
        <v>0</v>
      </c>
      <c r="L49" s="2">
        <f>+H49+I49+J49+K49</f>
        <v>0.01</v>
      </c>
      <c r="M49" s="1"/>
    </row>
    <row r="50" spans="1:13" s="20" customFormat="1" x14ac:dyDescent="0.2">
      <c r="A50" s="18" t="s">
        <v>502</v>
      </c>
      <c r="B50" s="243"/>
      <c r="C50" s="243"/>
      <c r="D50" s="243">
        <v>42732</v>
      </c>
      <c r="E50" s="243"/>
      <c r="F50" s="243">
        <v>0</v>
      </c>
      <c r="G50" s="243">
        <v>0</v>
      </c>
      <c r="H50" s="2">
        <f t="shared" si="0"/>
        <v>0</v>
      </c>
      <c r="I50" s="2">
        <f t="shared" si="1"/>
        <v>0</v>
      </c>
      <c r="J50" s="2">
        <f>D50*0.2646</f>
        <v>11306.89</v>
      </c>
      <c r="K50" s="2">
        <f t="shared" si="3"/>
        <v>0</v>
      </c>
      <c r="L50" s="2">
        <f t="shared" si="4"/>
        <v>11306.89</v>
      </c>
      <c r="M50" s="18"/>
    </row>
    <row r="51" spans="1:13" ht="15" customHeight="1" x14ac:dyDescent="0.2">
      <c r="A51" s="7" t="s">
        <v>622</v>
      </c>
      <c r="B51" s="7"/>
      <c r="C51" s="7"/>
      <c r="D51" s="7">
        <v>751223</v>
      </c>
      <c r="E51" s="7"/>
      <c r="F51" s="7">
        <v>0</v>
      </c>
      <c r="G51" s="7">
        <v>0</v>
      </c>
      <c r="H51" s="2">
        <f>B51*0.1862</f>
        <v>0</v>
      </c>
      <c r="I51" s="2">
        <f>C51*0.2058</f>
        <v>0</v>
      </c>
      <c r="J51" s="2">
        <f>D51*0.2646-0.01</f>
        <v>198773.6</v>
      </c>
      <c r="K51" s="2">
        <f>E51*0.2156</f>
        <v>0</v>
      </c>
      <c r="L51" s="2">
        <f>+H51+I51+J51+K51</f>
        <v>198773.6</v>
      </c>
      <c r="M51" s="1"/>
    </row>
    <row r="52" spans="1:13" s="20" customFormat="1" x14ac:dyDescent="0.2">
      <c r="A52" s="18" t="s">
        <v>776</v>
      </c>
      <c r="B52" s="243"/>
      <c r="C52" s="243"/>
      <c r="D52" s="243"/>
      <c r="E52" s="243"/>
      <c r="F52" s="243"/>
      <c r="G52" s="243"/>
      <c r="H52" s="2">
        <f>B52*0.1862</f>
        <v>0</v>
      </c>
      <c r="I52" s="2">
        <f>C52*0.2058</f>
        <v>0</v>
      </c>
      <c r="J52" s="2">
        <f>D52*0.2646+0.01</f>
        <v>0.01</v>
      </c>
      <c r="K52" s="2">
        <f>E52*0.2156</f>
        <v>0</v>
      </c>
      <c r="L52" s="2">
        <f>+H52+I52+J52+K52</f>
        <v>0.01</v>
      </c>
      <c r="M52" s="18"/>
    </row>
    <row r="53" spans="1:13" ht="15" customHeight="1" x14ac:dyDescent="0.2">
      <c r="A53" s="7" t="s">
        <v>352</v>
      </c>
      <c r="B53" s="7"/>
      <c r="C53" s="7"/>
      <c r="D53" s="7">
        <v>81668</v>
      </c>
      <c r="E53" s="7"/>
      <c r="F53" s="7">
        <v>1249041</v>
      </c>
      <c r="G53" s="7">
        <v>1147014</v>
      </c>
      <c r="H53" s="2">
        <f t="shared" si="0"/>
        <v>0</v>
      </c>
      <c r="I53" s="2">
        <f t="shared" si="1"/>
        <v>0</v>
      </c>
      <c r="J53" s="2">
        <f>D53*0.2646</f>
        <v>21609.35</v>
      </c>
      <c r="K53" s="2">
        <f t="shared" si="3"/>
        <v>0</v>
      </c>
      <c r="L53" s="2">
        <f t="shared" si="4"/>
        <v>21609.35</v>
      </c>
      <c r="M53" s="1"/>
    </row>
    <row r="54" spans="1:13" s="20" customFormat="1" x14ac:dyDescent="0.2">
      <c r="A54" s="243" t="s">
        <v>459</v>
      </c>
      <c r="B54" s="243"/>
      <c r="C54" s="243"/>
      <c r="D54" s="243">
        <v>139513</v>
      </c>
      <c r="E54" s="243"/>
      <c r="F54" s="243">
        <v>166090</v>
      </c>
      <c r="G54" s="243">
        <v>166090</v>
      </c>
      <c r="H54" s="2">
        <f t="shared" si="0"/>
        <v>0</v>
      </c>
      <c r="I54" s="2">
        <f t="shared" si="1"/>
        <v>0</v>
      </c>
      <c r="J54" s="2">
        <f>D54*0.2646-131.31</f>
        <v>36783.83</v>
      </c>
      <c r="K54" s="2">
        <f t="shared" si="3"/>
        <v>0</v>
      </c>
      <c r="L54" s="2">
        <f t="shared" si="4"/>
        <v>36783.83</v>
      </c>
      <c r="M54" s="18"/>
    </row>
    <row r="55" spans="1:13" s="20" customFormat="1" x14ac:dyDescent="0.2">
      <c r="A55" s="18" t="s">
        <v>782</v>
      </c>
      <c r="B55" s="243"/>
      <c r="C55" s="243"/>
      <c r="D55" s="243">
        <v>0</v>
      </c>
      <c r="E55" s="243"/>
      <c r="F55" s="243">
        <v>124853</v>
      </c>
      <c r="G55" s="243">
        <v>124853</v>
      </c>
      <c r="H55" s="2">
        <f>B55*0.1862</f>
        <v>0</v>
      </c>
      <c r="I55" s="2">
        <f>C55*0.2058</f>
        <v>0</v>
      </c>
      <c r="J55" s="2">
        <f>D55*0.2646</f>
        <v>0</v>
      </c>
      <c r="K55" s="2">
        <f>E55*0.2156</f>
        <v>0</v>
      </c>
      <c r="L55" s="2">
        <f>+H55+I55+J55+K55</f>
        <v>0</v>
      </c>
      <c r="M55" s="18"/>
    </row>
    <row r="56" spans="1:13" x14ac:dyDescent="0.2">
      <c r="A56" s="7" t="s">
        <v>436</v>
      </c>
      <c r="B56" s="7"/>
      <c r="C56" s="7"/>
      <c r="D56" s="7">
        <v>6339</v>
      </c>
      <c r="E56" s="7"/>
      <c r="F56" s="7">
        <v>0</v>
      </c>
      <c r="G56" s="7">
        <v>0</v>
      </c>
      <c r="H56" s="2">
        <f t="shared" si="0"/>
        <v>0</v>
      </c>
      <c r="I56" s="2">
        <f t="shared" si="1"/>
        <v>0</v>
      </c>
      <c r="J56" s="2">
        <f>D56*0.2646</f>
        <v>1677.3</v>
      </c>
      <c r="K56" s="2">
        <f t="shared" si="3"/>
        <v>0</v>
      </c>
      <c r="L56" s="2">
        <f t="shared" si="4"/>
        <v>1677.3</v>
      </c>
      <c r="M56" s="1"/>
    </row>
    <row r="57" spans="1:13" x14ac:dyDescent="0.2">
      <c r="A57" s="1" t="s">
        <v>46</v>
      </c>
      <c r="B57" s="7"/>
      <c r="C57" s="7"/>
      <c r="D57" s="7">
        <v>36091</v>
      </c>
      <c r="E57" s="7"/>
      <c r="F57" s="7">
        <v>0</v>
      </c>
      <c r="G57" s="7">
        <v>0</v>
      </c>
      <c r="H57" s="2">
        <f t="shared" si="0"/>
        <v>0</v>
      </c>
      <c r="I57" s="2">
        <f t="shared" si="1"/>
        <v>0</v>
      </c>
      <c r="J57" s="2">
        <f>D57*0.2646</f>
        <v>9549.68</v>
      </c>
      <c r="K57" s="2">
        <f t="shared" si="3"/>
        <v>0</v>
      </c>
      <c r="L57" s="2">
        <f t="shared" si="4"/>
        <v>9549.68</v>
      </c>
      <c r="M57" s="1"/>
    </row>
    <row r="58" spans="1:13" s="20" customFormat="1" x14ac:dyDescent="0.2">
      <c r="A58" s="18" t="s">
        <v>47</v>
      </c>
      <c r="B58" s="243"/>
      <c r="C58" s="243"/>
      <c r="D58" s="243">
        <v>2187290</v>
      </c>
      <c r="E58" s="243"/>
      <c r="F58" s="243">
        <v>886702</v>
      </c>
      <c r="G58" s="243">
        <v>884837</v>
      </c>
      <c r="H58" s="2">
        <f t="shared" si="0"/>
        <v>0</v>
      </c>
      <c r="I58" s="2">
        <f t="shared" si="1"/>
        <v>0</v>
      </c>
      <c r="J58" s="2">
        <f>D58*0.2646</f>
        <v>578756.93000000005</v>
      </c>
      <c r="K58" s="2">
        <f t="shared" si="3"/>
        <v>0</v>
      </c>
      <c r="L58" s="2">
        <f t="shared" si="4"/>
        <v>578756.93000000005</v>
      </c>
      <c r="M58" s="18"/>
    </row>
    <row r="59" spans="1:13" s="20" customFormat="1" x14ac:dyDescent="0.2">
      <c r="A59" s="18" t="s">
        <v>783</v>
      </c>
      <c r="B59" s="243"/>
      <c r="C59" s="243"/>
      <c r="D59" s="243">
        <v>0</v>
      </c>
      <c r="E59" s="243"/>
      <c r="F59" s="243">
        <v>0</v>
      </c>
      <c r="G59" s="243">
        <v>0</v>
      </c>
      <c r="H59" s="2">
        <f>B59*0.1862</f>
        <v>0</v>
      </c>
      <c r="I59" s="2">
        <f>C59*0.2058</f>
        <v>0</v>
      </c>
      <c r="J59" s="2">
        <f>D59*0.2646+2010</f>
        <v>2010</v>
      </c>
      <c r="K59" s="2">
        <f>E59*0.2156</f>
        <v>0</v>
      </c>
      <c r="L59" s="2">
        <f>+H59+I59+J59+K59</f>
        <v>2010</v>
      </c>
      <c r="M59" s="18"/>
    </row>
    <row r="60" spans="1:13" s="20" customFormat="1" x14ac:dyDescent="0.2">
      <c r="A60" s="18" t="s">
        <v>784</v>
      </c>
      <c r="B60" s="243"/>
      <c r="C60" s="243"/>
      <c r="D60" s="243">
        <v>0</v>
      </c>
      <c r="E60" s="243"/>
      <c r="F60" s="243">
        <v>0</v>
      </c>
      <c r="G60" s="243">
        <v>0</v>
      </c>
      <c r="H60" s="2">
        <f>B60*0.1862</f>
        <v>0</v>
      </c>
      <c r="I60" s="2">
        <f>C60*0.2058</f>
        <v>0</v>
      </c>
      <c r="J60" s="2">
        <f>D60*0.2646</f>
        <v>0</v>
      </c>
      <c r="K60" s="2">
        <f>E60*0.2156</f>
        <v>0</v>
      </c>
      <c r="L60" s="2">
        <f>+H60+I60+J60+K60+266.58</f>
        <v>266.58</v>
      </c>
      <c r="M60" s="18"/>
    </row>
    <row r="61" spans="1:13" x14ac:dyDescent="0.2">
      <c r="A61" s="1" t="s">
        <v>48</v>
      </c>
      <c r="B61" s="7"/>
      <c r="C61" s="7"/>
      <c r="D61" s="7">
        <v>673969</v>
      </c>
      <c r="E61" s="7"/>
      <c r="F61" s="7">
        <v>0</v>
      </c>
      <c r="G61" s="7">
        <v>0</v>
      </c>
      <c r="H61" s="2">
        <f t="shared" si="0"/>
        <v>0</v>
      </c>
      <c r="I61" s="2">
        <f t="shared" si="1"/>
        <v>0</v>
      </c>
      <c r="J61" s="2">
        <f>D61*0.2646</f>
        <v>178332.2</v>
      </c>
      <c r="K61" s="2">
        <f t="shared" si="3"/>
        <v>0</v>
      </c>
      <c r="L61" s="2">
        <f t="shared" si="4"/>
        <v>178332.2</v>
      </c>
      <c r="M61" s="1"/>
    </row>
    <row r="62" spans="1:13" x14ac:dyDescent="0.2">
      <c r="A62" s="1" t="s">
        <v>362</v>
      </c>
      <c r="B62" s="7"/>
      <c r="C62" s="7"/>
      <c r="D62" s="7">
        <v>1009</v>
      </c>
      <c r="E62" s="7"/>
      <c r="F62" s="7">
        <v>0</v>
      </c>
      <c r="G62" s="7">
        <v>0</v>
      </c>
      <c r="H62" s="2">
        <f t="shared" si="0"/>
        <v>0</v>
      </c>
      <c r="I62" s="2">
        <f t="shared" si="1"/>
        <v>0</v>
      </c>
      <c r="J62" s="2">
        <f>D62*0.2646</f>
        <v>266.98</v>
      </c>
      <c r="K62" s="2">
        <f t="shared" si="3"/>
        <v>0</v>
      </c>
      <c r="L62" s="2">
        <f t="shared" si="4"/>
        <v>266.98</v>
      </c>
      <c r="M62" s="1"/>
    </row>
    <row r="63" spans="1:13" x14ac:dyDescent="0.2">
      <c r="A63" s="1" t="s">
        <v>49</v>
      </c>
      <c r="B63" s="7"/>
      <c r="C63" s="7"/>
      <c r="D63" s="7">
        <v>12728</v>
      </c>
      <c r="E63" s="7"/>
      <c r="F63" s="7">
        <v>0</v>
      </c>
      <c r="G63" s="7">
        <v>0</v>
      </c>
      <c r="H63" s="2">
        <f t="shared" si="0"/>
        <v>0</v>
      </c>
      <c r="I63" s="2">
        <f t="shared" si="1"/>
        <v>0</v>
      </c>
      <c r="J63" s="2">
        <f>D63*0.2646</f>
        <v>3367.83</v>
      </c>
      <c r="K63" s="2">
        <f t="shared" si="3"/>
        <v>0</v>
      </c>
      <c r="L63" s="2">
        <f t="shared" si="4"/>
        <v>3367.83</v>
      </c>
      <c r="M63" s="1"/>
    </row>
    <row r="64" spans="1:13" x14ac:dyDescent="0.2">
      <c r="A64" s="1" t="s">
        <v>354</v>
      </c>
      <c r="B64" s="7"/>
      <c r="C64" s="7"/>
      <c r="D64" s="7">
        <v>270672</v>
      </c>
      <c r="E64" s="7"/>
      <c r="F64" s="7">
        <v>112360</v>
      </c>
      <c r="G64" s="7">
        <v>115281</v>
      </c>
      <c r="H64" s="2">
        <f t="shared" si="0"/>
        <v>0</v>
      </c>
      <c r="I64" s="2">
        <f t="shared" si="1"/>
        <v>0</v>
      </c>
      <c r="J64" s="2">
        <f>D64*0.2646</f>
        <v>71619.81</v>
      </c>
      <c r="K64" s="2">
        <f t="shared" si="3"/>
        <v>0</v>
      </c>
      <c r="L64" s="2">
        <f t="shared" si="4"/>
        <v>71619.81</v>
      </c>
      <c r="M64" s="1"/>
    </row>
    <row r="65" spans="1:13" x14ac:dyDescent="0.2">
      <c r="A65" s="1" t="s">
        <v>50</v>
      </c>
      <c r="B65" s="7"/>
      <c r="C65" s="7"/>
      <c r="D65" s="7">
        <v>288001</v>
      </c>
      <c r="E65" s="7"/>
      <c r="F65" s="7">
        <v>0</v>
      </c>
      <c r="G65" s="7">
        <v>0</v>
      </c>
      <c r="H65" s="2">
        <f t="shared" si="0"/>
        <v>0</v>
      </c>
      <c r="I65" s="2">
        <f t="shared" si="1"/>
        <v>0</v>
      </c>
      <c r="J65" s="2">
        <f>D65*0.2646-29.81</f>
        <v>76175.25</v>
      </c>
      <c r="K65" s="2">
        <f t="shared" si="3"/>
        <v>0</v>
      </c>
      <c r="L65" s="2">
        <f t="shared" si="4"/>
        <v>76175.25</v>
      </c>
      <c r="M65" s="1"/>
    </row>
    <row r="66" spans="1:13" x14ac:dyDescent="0.2">
      <c r="A66" s="1" t="s">
        <v>51</v>
      </c>
      <c r="B66" s="7"/>
      <c r="C66" s="7"/>
      <c r="D66" s="7">
        <v>45716</v>
      </c>
      <c r="E66" s="7"/>
      <c r="F66" s="7">
        <v>111415</v>
      </c>
      <c r="G66" s="7">
        <v>111415</v>
      </c>
      <c r="H66" s="2">
        <f t="shared" si="0"/>
        <v>0</v>
      </c>
      <c r="I66" s="2">
        <f t="shared" si="1"/>
        <v>0</v>
      </c>
      <c r="J66" s="2">
        <f>D66*0.2646</f>
        <v>12096.45</v>
      </c>
      <c r="K66" s="2">
        <f t="shared" si="3"/>
        <v>0</v>
      </c>
      <c r="L66" s="2">
        <f t="shared" si="4"/>
        <v>12096.45</v>
      </c>
      <c r="M66" s="1"/>
    </row>
    <row r="67" spans="1:13" x14ac:dyDescent="0.2">
      <c r="A67" s="1" t="s">
        <v>477</v>
      </c>
      <c r="B67" s="7"/>
      <c r="C67" s="7"/>
      <c r="D67" s="7">
        <v>2499</v>
      </c>
      <c r="E67" s="7"/>
      <c r="F67" s="7">
        <v>214010</v>
      </c>
      <c r="G67" s="7">
        <v>204710</v>
      </c>
      <c r="H67" s="2">
        <f t="shared" si="0"/>
        <v>0</v>
      </c>
      <c r="I67" s="2">
        <f t="shared" si="1"/>
        <v>0</v>
      </c>
      <c r="J67" s="2">
        <f>D67*0.2646</f>
        <v>661.24</v>
      </c>
      <c r="K67" s="2">
        <f t="shared" si="3"/>
        <v>0</v>
      </c>
      <c r="L67" s="2">
        <f t="shared" si="4"/>
        <v>661.24</v>
      </c>
      <c r="M67" s="1"/>
    </row>
    <row r="68" spans="1:13" x14ac:dyDescent="0.2">
      <c r="A68" s="1" t="s">
        <v>437</v>
      </c>
      <c r="B68" s="7"/>
      <c r="C68" s="7"/>
      <c r="D68" s="7">
        <v>171692</v>
      </c>
      <c r="E68" s="7"/>
      <c r="F68" s="7">
        <v>0</v>
      </c>
      <c r="G68" s="7">
        <v>0</v>
      </c>
      <c r="H68" s="2">
        <f t="shared" si="0"/>
        <v>0</v>
      </c>
      <c r="I68" s="2">
        <f t="shared" si="1"/>
        <v>0</v>
      </c>
      <c r="J68" s="2">
        <f>D68*0.2646</f>
        <v>45429.7</v>
      </c>
      <c r="K68" s="2">
        <f t="shared" si="3"/>
        <v>0</v>
      </c>
      <c r="L68" s="2">
        <f t="shared" si="4"/>
        <v>45429.7</v>
      </c>
      <c r="M68" s="1"/>
    </row>
    <row r="69" spans="1:13" x14ac:dyDescent="0.2">
      <c r="A69" s="1" t="s">
        <v>52</v>
      </c>
      <c r="B69" s="7"/>
      <c r="C69" s="7"/>
      <c r="D69" s="7">
        <v>80482</v>
      </c>
      <c r="E69" s="7"/>
      <c r="F69" s="7">
        <v>0</v>
      </c>
      <c r="G69" s="7">
        <v>0</v>
      </c>
      <c r="H69" s="2">
        <f t="shared" si="0"/>
        <v>0</v>
      </c>
      <c r="I69" s="2">
        <f t="shared" si="1"/>
        <v>0</v>
      </c>
      <c r="J69" s="2">
        <f>D69*0.2646-0.03</f>
        <v>21295.51</v>
      </c>
      <c r="K69" s="2">
        <f t="shared" si="3"/>
        <v>0</v>
      </c>
      <c r="L69" s="2">
        <f t="shared" si="4"/>
        <v>21295.51</v>
      </c>
      <c r="M69" s="1"/>
    </row>
    <row r="70" spans="1:13" x14ac:dyDescent="0.2">
      <c r="A70" s="1" t="s">
        <v>777</v>
      </c>
      <c r="B70" s="7"/>
      <c r="C70" s="7"/>
      <c r="D70" s="7"/>
      <c r="E70" s="7"/>
      <c r="F70" s="7"/>
      <c r="G70" s="7"/>
      <c r="H70" s="2">
        <f>B70*0.1862</f>
        <v>0</v>
      </c>
      <c r="I70" s="2">
        <f>C70*0.2058</f>
        <v>0</v>
      </c>
      <c r="J70" s="2">
        <f>D70*0.2646+0.03</f>
        <v>0.03</v>
      </c>
      <c r="K70" s="2">
        <f>E70*0.2156</f>
        <v>0</v>
      </c>
      <c r="L70" s="2">
        <f>+H70+I70+J70+K70</f>
        <v>0.03</v>
      </c>
      <c r="M70" s="1"/>
    </row>
    <row r="71" spans="1:13" x14ac:dyDescent="0.2">
      <c r="A71" s="1" t="s">
        <v>745</v>
      </c>
      <c r="B71" s="7"/>
      <c r="C71" s="7"/>
      <c r="D71" s="7">
        <v>-9902</v>
      </c>
      <c r="E71" s="7"/>
      <c r="F71" s="7"/>
      <c r="G71" s="7"/>
      <c r="H71" s="2">
        <f t="shared" si="0"/>
        <v>0</v>
      </c>
      <c r="I71" s="2">
        <f t="shared" si="1"/>
        <v>0</v>
      </c>
      <c r="J71" s="2">
        <f t="shared" ref="J71:J86" si="6">D71*0.2646</f>
        <v>-2620.0700000000002</v>
      </c>
      <c r="K71" s="2">
        <f t="shared" si="3"/>
        <v>0</v>
      </c>
      <c r="L71" s="2">
        <f t="shared" si="4"/>
        <v>-2620.0700000000002</v>
      </c>
      <c r="M71" s="1"/>
    </row>
    <row r="72" spans="1:13" x14ac:dyDescent="0.2">
      <c r="A72" s="1" t="s">
        <v>746</v>
      </c>
      <c r="B72" s="7"/>
      <c r="C72" s="7"/>
      <c r="D72" s="7">
        <v>-3500</v>
      </c>
      <c r="E72" s="7"/>
      <c r="F72" s="7"/>
      <c r="G72" s="7"/>
      <c r="H72" s="2">
        <f t="shared" si="0"/>
        <v>0</v>
      </c>
      <c r="I72" s="2">
        <f t="shared" si="1"/>
        <v>0</v>
      </c>
      <c r="J72" s="2">
        <f t="shared" si="6"/>
        <v>-926.1</v>
      </c>
      <c r="K72" s="2">
        <f t="shared" si="3"/>
        <v>0</v>
      </c>
      <c r="L72" s="2">
        <f t="shared" si="4"/>
        <v>-926.1</v>
      </c>
      <c r="M72" s="1"/>
    </row>
    <row r="73" spans="1:13" x14ac:dyDescent="0.2">
      <c r="A73" s="1" t="s">
        <v>747</v>
      </c>
      <c r="B73" s="7"/>
      <c r="C73" s="7"/>
      <c r="D73" s="7">
        <v>-9558</v>
      </c>
      <c r="E73" s="7"/>
      <c r="F73" s="7"/>
      <c r="G73" s="7"/>
      <c r="H73" s="2">
        <f t="shared" si="0"/>
        <v>0</v>
      </c>
      <c r="I73" s="2">
        <f t="shared" si="1"/>
        <v>0</v>
      </c>
      <c r="J73" s="2">
        <f t="shared" si="6"/>
        <v>-2529.0500000000002</v>
      </c>
      <c r="K73" s="2">
        <f t="shared" si="3"/>
        <v>0</v>
      </c>
      <c r="L73" s="2">
        <f t="shared" si="4"/>
        <v>-2529.0500000000002</v>
      </c>
      <c r="M73" s="1"/>
    </row>
    <row r="74" spans="1:13" x14ac:dyDescent="0.2">
      <c r="A74" s="1" t="s">
        <v>748</v>
      </c>
      <c r="B74" s="7"/>
      <c r="C74" s="7"/>
      <c r="D74" s="7">
        <v>-10504</v>
      </c>
      <c r="E74" s="7"/>
      <c r="F74" s="7"/>
      <c r="G74" s="7"/>
      <c r="H74" s="2">
        <f t="shared" si="0"/>
        <v>0</v>
      </c>
      <c r="I74" s="2">
        <f t="shared" si="1"/>
        <v>0</v>
      </c>
      <c r="J74" s="2">
        <f t="shared" si="6"/>
        <v>-2779.36</v>
      </c>
      <c r="K74" s="2">
        <f t="shared" si="3"/>
        <v>0</v>
      </c>
      <c r="L74" s="2">
        <f t="shared" si="4"/>
        <v>-2779.36</v>
      </c>
      <c r="M74" s="1"/>
    </row>
    <row r="75" spans="1:13" x14ac:dyDescent="0.2">
      <c r="A75" s="1" t="s">
        <v>749</v>
      </c>
      <c r="B75" s="7"/>
      <c r="C75" s="7"/>
      <c r="D75" s="7">
        <v>-19208</v>
      </c>
      <c r="E75" s="7"/>
      <c r="F75" s="7"/>
      <c r="G75" s="7"/>
      <c r="H75" s="2">
        <f t="shared" si="0"/>
        <v>0</v>
      </c>
      <c r="I75" s="2">
        <f t="shared" si="1"/>
        <v>0</v>
      </c>
      <c r="J75" s="2">
        <f t="shared" si="6"/>
        <v>-5082.4399999999996</v>
      </c>
      <c r="K75" s="2">
        <f t="shared" si="3"/>
        <v>0</v>
      </c>
      <c r="L75" s="2">
        <f t="shared" si="4"/>
        <v>-5082.4399999999996</v>
      </c>
      <c r="M75" s="1"/>
    </row>
    <row r="76" spans="1:13" x14ac:dyDescent="0.2">
      <c r="A76" s="1" t="s">
        <v>750</v>
      </c>
      <c r="B76" s="7"/>
      <c r="C76" s="7"/>
      <c r="D76" s="7">
        <v>-3503</v>
      </c>
      <c r="E76" s="7"/>
      <c r="F76" s="7"/>
      <c r="G76" s="7"/>
      <c r="H76" s="2">
        <f t="shared" si="0"/>
        <v>0</v>
      </c>
      <c r="I76" s="2">
        <f t="shared" si="1"/>
        <v>0</v>
      </c>
      <c r="J76" s="2">
        <f t="shared" si="6"/>
        <v>-926.89</v>
      </c>
      <c r="K76" s="2">
        <f t="shared" si="3"/>
        <v>0</v>
      </c>
      <c r="L76" s="2">
        <f t="shared" si="4"/>
        <v>-926.89</v>
      </c>
      <c r="M76" s="1"/>
    </row>
    <row r="77" spans="1:13" x14ac:dyDescent="0.2">
      <c r="A77" s="1" t="s">
        <v>751</v>
      </c>
      <c r="B77" s="7"/>
      <c r="C77" s="7"/>
      <c r="D77" s="7">
        <v>-15513</v>
      </c>
      <c r="E77" s="7"/>
      <c r="F77" s="7"/>
      <c r="G77" s="7"/>
      <c r="H77" s="2">
        <f t="shared" si="0"/>
        <v>0</v>
      </c>
      <c r="I77" s="2">
        <f t="shared" si="1"/>
        <v>0</v>
      </c>
      <c r="J77" s="2">
        <f t="shared" si="6"/>
        <v>-4104.74</v>
      </c>
      <c r="K77" s="2">
        <f t="shared" si="3"/>
        <v>0</v>
      </c>
      <c r="L77" s="2">
        <f t="shared" si="4"/>
        <v>-4104.74</v>
      </c>
      <c r="M77" s="1"/>
    </row>
    <row r="78" spans="1:13" x14ac:dyDescent="0.2">
      <c r="A78" s="1" t="s">
        <v>752</v>
      </c>
      <c r="B78" s="7"/>
      <c r="C78" s="7"/>
      <c r="D78" s="7">
        <v>-3503</v>
      </c>
      <c r="E78" s="7"/>
      <c r="F78" s="7"/>
      <c r="G78" s="7"/>
      <c r="H78" s="2">
        <f t="shared" si="0"/>
        <v>0</v>
      </c>
      <c r="I78" s="2">
        <f t="shared" si="1"/>
        <v>0</v>
      </c>
      <c r="J78" s="2">
        <f t="shared" si="6"/>
        <v>-926.89</v>
      </c>
      <c r="K78" s="2">
        <f t="shared" si="3"/>
        <v>0</v>
      </c>
      <c r="L78" s="2">
        <f t="shared" si="4"/>
        <v>-926.89</v>
      </c>
      <c r="M78" s="1"/>
    </row>
    <row r="79" spans="1:13" x14ac:dyDescent="0.2">
      <c r="A79" s="1" t="s">
        <v>753</v>
      </c>
      <c r="B79" s="7"/>
      <c r="C79" s="7"/>
      <c r="D79" s="7">
        <v>-10502</v>
      </c>
      <c r="E79" s="7"/>
      <c r="F79" s="7"/>
      <c r="G79" s="7"/>
      <c r="H79" s="2">
        <f t="shared" si="0"/>
        <v>0</v>
      </c>
      <c r="I79" s="2">
        <f t="shared" si="1"/>
        <v>0</v>
      </c>
      <c r="J79" s="2">
        <f t="shared" si="6"/>
        <v>-2778.83</v>
      </c>
      <c r="K79" s="2">
        <f t="shared" si="3"/>
        <v>0</v>
      </c>
      <c r="L79" s="2">
        <f t="shared" si="4"/>
        <v>-2778.83</v>
      </c>
      <c r="M79" s="1"/>
    </row>
    <row r="80" spans="1:13" x14ac:dyDescent="0.2">
      <c r="A80" s="1" t="s">
        <v>754</v>
      </c>
      <c r="B80" s="7"/>
      <c r="C80" s="7"/>
      <c r="D80" s="7">
        <v>-5000</v>
      </c>
      <c r="E80" s="7"/>
      <c r="F80" s="7"/>
      <c r="G80" s="7"/>
      <c r="H80" s="2">
        <f t="shared" si="0"/>
        <v>0</v>
      </c>
      <c r="I80" s="2">
        <f t="shared" si="1"/>
        <v>0</v>
      </c>
      <c r="J80" s="2">
        <f t="shared" si="6"/>
        <v>-1323</v>
      </c>
      <c r="K80" s="2">
        <f t="shared" si="3"/>
        <v>0</v>
      </c>
      <c r="L80" s="2">
        <f t="shared" si="4"/>
        <v>-1323</v>
      </c>
      <c r="M80" s="1"/>
    </row>
    <row r="81" spans="1:13" x14ac:dyDescent="0.2">
      <c r="A81" s="1" t="s">
        <v>755</v>
      </c>
      <c r="B81" s="7"/>
      <c r="C81" s="7"/>
      <c r="D81" s="7">
        <v>-2500</v>
      </c>
      <c r="E81" s="7"/>
      <c r="F81" s="7"/>
      <c r="G81" s="7"/>
      <c r="H81" s="2">
        <f t="shared" si="0"/>
        <v>0</v>
      </c>
      <c r="I81" s="2">
        <f t="shared" si="1"/>
        <v>0</v>
      </c>
      <c r="J81" s="2">
        <f t="shared" si="6"/>
        <v>-661.5</v>
      </c>
      <c r="K81" s="2">
        <f t="shared" si="3"/>
        <v>0</v>
      </c>
      <c r="L81" s="2">
        <f t="shared" si="4"/>
        <v>-661.5</v>
      </c>
      <c r="M81" s="1"/>
    </row>
    <row r="82" spans="1:13" x14ac:dyDescent="0.2">
      <c r="A82" s="1" t="s">
        <v>756</v>
      </c>
      <c r="B82" s="7"/>
      <c r="C82" s="7"/>
      <c r="D82" s="7">
        <v>-8004</v>
      </c>
      <c r="E82" s="7"/>
      <c r="F82" s="7"/>
      <c r="G82" s="7"/>
      <c r="H82" s="2">
        <f t="shared" si="0"/>
        <v>0</v>
      </c>
      <c r="I82" s="2">
        <f t="shared" si="1"/>
        <v>0</v>
      </c>
      <c r="J82" s="2">
        <f t="shared" si="6"/>
        <v>-2117.86</v>
      </c>
      <c r="K82" s="2">
        <f t="shared" si="3"/>
        <v>0</v>
      </c>
      <c r="L82" s="2">
        <f t="shared" si="4"/>
        <v>-2117.86</v>
      </c>
      <c r="M82" s="1"/>
    </row>
    <row r="83" spans="1:13" x14ac:dyDescent="0.2">
      <c r="A83" s="1" t="s">
        <v>757</v>
      </c>
      <c r="B83" s="7"/>
      <c r="C83" s="7"/>
      <c r="D83" s="7">
        <v>-18502</v>
      </c>
      <c r="E83" s="7"/>
      <c r="F83" s="7"/>
      <c r="G83" s="7"/>
      <c r="H83" s="2">
        <f t="shared" si="0"/>
        <v>0</v>
      </c>
      <c r="I83" s="2">
        <f t="shared" si="1"/>
        <v>0</v>
      </c>
      <c r="J83" s="2">
        <f t="shared" si="6"/>
        <v>-4895.63</v>
      </c>
      <c r="K83" s="2">
        <f t="shared" si="3"/>
        <v>0</v>
      </c>
      <c r="L83" s="2">
        <f t="shared" si="4"/>
        <v>-4895.63</v>
      </c>
      <c r="M83" s="1"/>
    </row>
    <row r="84" spans="1:13" x14ac:dyDescent="0.2">
      <c r="A84" s="1" t="s">
        <v>758</v>
      </c>
      <c r="B84" s="7"/>
      <c r="C84" s="7"/>
      <c r="D84" s="7">
        <v>-7501</v>
      </c>
      <c r="E84" s="7"/>
      <c r="F84" s="7"/>
      <c r="G84" s="7"/>
      <c r="H84" s="2">
        <f t="shared" si="0"/>
        <v>0</v>
      </c>
      <c r="I84" s="2">
        <f t="shared" si="1"/>
        <v>0</v>
      </c>
      <c r="J84" s="2">
        <f t="shared" si="6"/>
        <v>-1984.76</v>
      </c>
      <c r="K84" s="2">
        <f t="shared" si="3"/>
        <v>0</v>
      </c>
      <c r="L84" s="2">
        <f t="shared" si="4"/>
        <v>-1984.76</v>
      </c>
      <c r="M84" s="1"/>
    </row>
    <row r="85" spans="1:13" x14ac:dyDescent="0.2">
      <c r="A85" s="1" t="s">
        <v>759</v>
      </c>
      <c r="B85" s="7"/>
      <c r="C85" s="7"/>
      <c r="D85" s="7">
        <v>-24209</v>
      </c>
      <c r="E85" s="7"/>
      <c r="F85" s="7"/>
      <c r="G85" s="7"/>
      <c r="H85" s="2">
        <f t="shared" si="0"/>
        <v>0</v>
      </c>
      <c r="I85" s="2">
        <f t="shared" si="1"/>
        <v>0</v>
      </c>
      <c r="J85" s="2">
        <f t="shared" si="6"/>
        <v>-6405.7</v>
      </c>
      <c r="K85" s="2">
        <f t="shared" si="3"/>
        <v>0</v>
      </c>
      <c r="L85" s="2">
        <f t="shared" si="4"/>
        <v>-6405.7</v>
      </c>
      <c r="M85" s="1"/>
    </row>
    <row r="86" spans="1:13" x14ac:dyDescent="0.2">
      <c r="A86" s="1" t="s">
        <v>760</v>
      </c>
      <c r="B86" s="7"/>
      <c r="C86" s="7"/>
      <c r="D86" s="7">
        <v>-17315</v>
      </c>
      <c r="E86" s="7"/>
      <c r="F86" s="7"/>
      <c r="G86" s="7"/>
      <c r="H86" s="2">
        <f t="shared" si="0"/>
        <v>0</v>
      </c>
      <c r="I86" s="2">
        <f t="shared" si="1"/>
        <v>0</v>
      </c>
      <c r="J86" s="2">
        <f t="shared" si="6"/>
        <v>-4581.55</v>
      </c>
      <c r="K86" s="2">
        <f t="shared" si="3"/>
        <v>0</v>
      </c>
      <c r="L86" s="2">
        <f t="shared" si="4"/>
        <v>-4581.55</v>
      </c>
      <c r="M86" s="1"/>
    </row>
    <row r="87" spans="1:13" x14ac:dyDescent="0.2">
      <c r="A87" s="1" t="s">
        <v>460</v>
      </c>
      <c r="B87" s="7"/>
      <c r="C87" s="7"/>
      <c r="D87" s="7">
        <v>19194</v>
      </c>
      <c r="E87" s="7"/>
      <c r="F87" s="7">
        <v>0</v>
      </c>
      <c r="G87" s="7">
        <v>0</v>
      </c>
      <c r="H87" s="2">
        <f t="shared" si="0"/>
        <v>0</v>
      </c>
      <c r="I87" s="2">
        <f t="shared" si="1"/>
        <v>0</v>
      </c>
      <c r="J87" s="2">
        <f>D87*0.2646</f>
        <v>5078.7299999999996</v>
      </c>
      <c r="K87" s="2">
        <f t="shared" si="3"/>
        <v>0</v>
      </c>
      <c r="L87" s="2">
        <f t="shared" si="4"/>
        <v>5078.7299999999996</v>
      </c>
      <c r="M87" s="1"/>
    </row>
    <row r="88" spans="1:13" x14ac:dyDescent="0.2">
      <c r="A88" s="1" t="s">
        <v>731</v>
      </c>
      <c r="B88" s="7"/>
      <c r="C88" s="7"/>
      <c r="D88" s="7">
        <v>306940</v>
      </c>
      <c r="E88" s="7"/>
      <c r="F88" s="7">
        <v>0</v>
      </c>
      <c r="G88" s="7">
        <v>0</v>
      </c>
      <c r="H88" s="2">
        <f>B88*0.1862</f>
        <v>0</v>
      </c>
      <c r="I88" s="2">
        <f>C88*0.2058</f>
        <v>0</v>
      </c>
      <c r="J88" s="2">
        <f>D88*0.2646-6629.9-0.01</f>
        <v>74586.41</v>
      </c>
      <c r="K88" s="2">
        <f>E88*0.2156</f>
        <v>0</v>
      </c>
      <c r="L88" s="2">
        <f>+H88+I88+J88+K88</f>
        <v>74586.41</v>
      </c>
      <c r="M88" s="1"/>
    </row>
    <row r="89" spans="1:13" x14ac:dyDescent="0.2">
      <c r="A89" s="1" t="s">
        <v>778</v>
      </c>
      <c r="B89" s="7"/>
      <c r="C89" s="7"/>
      <c r="D89" s="7"/>
      <c r="E89" s="7"/>
      <c r="F89" s="7"/>
      <c r="G89" s="7"/>
      <c r="H89" s="2">
        <f>B89*0.1862</f>
        <v>0</v>
      </c>
      <c r="I89" s="2">
        <f>C89*0.2058</f>
        <v>0</v>
      </c>
      <c r="J89" s="2">
        <f>D89*0.2646+0.01</f>
        <v>0.01</v>
      </c>
      <c r="K89" s="2">
        <f>E89*0.2156</f>
        <v>0</v>
      </c>
      <c r="L89" s="2">
        <f>+H89+I89+J89+K89</f>
        <v>0.01</v>
      </c>
      <c r="M89" s="1"/>
    </row>
    <row r="90" spans="1:13" x14ac:dyDescent="0.2">
      <c r="A90" s="1" t="s">
        <v>732</v>
      </c>
      <c r="B90" s="7"/>
      <c r="C90" s="7"/>
      <c r="D90" s="7">
        <v>979405</v>
      </c>
      <c r="E90" s="7"/>
      <c r="F90" s="7">
        <v>0</v>
      </c>
      <c r="G90" s="7">
        <v>0</v>
      </c>
      <c r="H90" s="2">
        <f>B90*0.1862</f>
        <v>0</v>
      </c>
      <c r="I90" s="2">
        <f>C90*0.2058</f>
        <v>0</v>
      </c>
      <c r="J90" s="2">
        <f>D90*0.2646</f>
        <v>259150.56</v>
      </c>
      <c r="K90" s="2">
        <f>E90*0.2156</f>
        <v>0</v>
      </c>
      <c r="L90" s="2">
        <f>+H90+I90+J90+K90</f>
        <v>259150.56</v>
      </c>
      <c r="M90" s="1"/>
    </row>
    <row r="91" spans="1:13" x14ac:dyDescent="0.2">
      <c r="A91" s="1" t="s">
        <v>785</v>
      </c>
      <c r="B91" s="7"/>
      <c r="C91" s="7"/>
      <c r="D91" s="7">
        <v>-20512</v>
      </c>
      <c r="E91" s="7"/>
      <c r="F91" s="7"/>
      <c r="G91" s="7"/>
      <c r="H91" s="2">
        <f>B91*0.1862</f>
        <v>0</v>
      </c>
      <c r="I91" s="2">
        <f>C91*0.2058</f>
        <v>0</v>
      </c>
      <c r="J91" s="2">
        <v>0</v>
      </c>
      <c r="K91" s="2">
        <f>E91*0.2156</f>
        <v>0</v>
      </c>
      <c r="L91" s="2">
        <f>+H91+I91+J91+K91-5427.48</f>
        <v>-5427.48</v>
      </c>
      <c r="M91" s="1"/>
    </row>
    <row r="92" spans="1:13" x14ac:dyDescent="0.2">
      <c r="A92" s="1" t="s">
        <v>786</v>
      </c>
      <c r="B92" s="7"/>
      <c r="C92" s="7"/>
      <c r="D92" s="7">
        <v>-23190</v>
      </c>
      <c r="E92" s="7"/>
      <c r="F92" s="7"/>
      <c r="G92" s="7"/>
      <c r="H92" s="2">
        <f>B92*0.1862</f>
        <v>0</v>
      </c>
      <c r="I92" s="2">
        <f>C92*0.2058</f>
        <v>0</v>
      </c>
      <c r="J92" s="2">
        <v>0</v>
      </c>
      <c r="K92" s="2">
        <f>E92*0.2156</f>
        <v>0</v>
      </c>
      <c r="L92" s="2">
        <f>+H92+I92+J92+K92-6136.07</f>
        <v>-6136.07</v>
      </c>
      <c r="M92" s="1"/>
    </row>
    <row r="93" spans="1:13" x14ac:dyDescent="0.2">
      <c r="A93" s="1" t="s">
        <v>53</v>
      </c>
      <c r="B93" s="7"/>
      <c r="C93" s="7"/>
      <c r="D93" s="7">
        <v>21052</v>
      </c>
      <c r="E93" s="7"/>
      <c r="F93" s="7">
        <v>200653</v>
      </c>
      <c r="G93" s="7">
        <v>184325</v>
      </c>
      <c r="H93" s="2">
        <f t="shared" si="0"/>
        <v>0</v>
      </c>
      <c r="I93" s="2">
        <f t="shared" si="1"/>
        <v>0</v>
      </c>
      <c r="J93" s="2">
        <f t="shared" ref="J93:J100" si="7">D93*0.2646</f>
        <v>5570.36</v>
      </c>
      <c r="K93" s="2">
        <f t="shared" si="3"/>
        <v>0</v>
      </c>
      <c r="L93" s="2">
        <f t="shared" si="4"/>
        <v>5570.36</v>
      </c>
      <c r="M93" s="1"/>
    </row>
    <row r="94" spans="1:13" x14ac:dyDescent="0.2">
      <c r="A94" s="1" t="s">
        <v>623</v>
      </c>
      <c r="B94" s="7"/>
      <c r="C94" s="7"/>
      <c r="D94" s="7">
        <v>36207</v>
      </c>
      <c r="E94" s="7"/>
      <c r="F94" s="7">
        <v>0</v>
      </c>
      <c r="G94" s="7">
        <v>25292</v>
      </c>
      <c r="H94" s="2">
        <f>B94*0.1862</f>
        <v>0</v>
      </c>
      <c r="I94" s="2">
        <f>C94*0.2058</f>
        <v>0</v>
      </c>
      <c r="J94" s="2">
        <f t="shared" si="7"/>
        <v>9580.3700000000008</v>
      </c>
      <c r="K94" s="2">
        <f>E94*0.2156</f>
        <v>0</v>
      </c>
      <c r="L94" s="2">
        <f>+H94+I94+J94+K94</f>
        <v>9580.3700000000008</v>
      </c>
      <c r="M94" s="1"/>
    </row>
    <row r="95" spans="1:13" x14ac:dyDescent="0.2">
      <c r="A95" s="1" t="s">
        <v>624</v>
      </c>
      <c r="B95" s="7"/>
      <c r="C95" s="7"/>
      <c r="D95" s="7"/>
      <c r="E95" s="7">
        <v>103206</v>
      </c>
      <c r="F95" s="7">
        <v>0</v>
      </c>
      <c r="G95" s="7">
        <v>0</v>
      </c>
      <c r="H95" s="2">
        <f>B95*0.1862</f>
        <v>0</v>
      </c>
      <c r="I95" s="2">
        <f>C95*0.2058</f>
        <v>0</v>
      </c>
      <c r="J95" s="2">
        <f t="shared" si="7"/>
        <v>0</v>
      </c>
      <c r="K95" s="2">
        <f>E95*0.2156</f>
        <v>22251.21</v>
      </c>
      <c r="L95" s="2">
        <f>+H95+I95+J95+K95</f>
        <v>22251.21</v>
      </c>
      <c r="M95" s="1"/>
    </row>
    <row r="96" spans="1:13" x14ac:dyDescent="0.2">
      <c r="A96" s="1" t="s">
        <v>54</v>
      </c>
      <c r="B96" s="7"/>
      <c r="C96" s="7"/>
      <c r="D96" s="7">
        <v>0</v>
      </c>
      <c r="E96" s="7"/>
      <c r="F96" s="7">
        <v>800101</v>
      </c>
      <c r="G96" s="7">
        <v>800101</v>
      </c>
      <c r="H96" s="2">
        <f t="shared" si="0"/>
        <v>0</v>
      </c>
      <c r="I96" s="2">
        <f t="shared" si="1"/>
        <v>0</v>
      </c>
      <c r="J96" s="2">
        <f t="shared" si="7"/>
        <v>0</v>
      </c>
      <c r="K96" s="2">
        <f t="shared" si="3"/>
        <v>0</v>
      </c>
      <c r="L96" s="2">
        <f t="shared" si="4"/>
        <v>0</v>
      </c>
      <c r="M96" s="1"/>
    </row>
    <row r="97" spans="1:13" x14ac:dyDescent="0.2">
      <c r="A97" s="1" t="s">
        <v>55</v>
      </c>
      <c r="B97" s="7"/>
      <c r="C97" s="7"/>
      <c r="D97" s="7">
        <v>3554</v>
      </c>
      <c r="E97" s="7">
        <v>222</v>
      </c>
      <c r="F97" s="7">
        <v>19705</v>
      </c>
      <c r="G97" s="7">
        <v>17245</v>
      </c>
      <c r="H97" s="2">
        <f t="shared" si="0"/>
        <v>0</v>
      </c>
      <c r="I97" s="2">
        <f t="shared" si="1"/>
        <v>0</v>
      </c>
      <c r="J97" s="2">
        <f t="shared" si="7"/>
        <v>940.39</v>
      </c>
      <c r="K97" s="2">
        <f t="shared" si="3"/>
        <v>47.86</v>
      </c>
      <c r="L97" s="2">
        <f t="shared" si="4"/>
        <v>988.25</v>
      </c>
      <c r="M97" s="1"/>
    </row>
    <row r="98" spans="1:13" s="20" customFormat="1" x14ac:dyDescent="0.2">
      <c r="A98" s="18" t="s">
        <v>733</v>
      </c>
      <c r="B98" s="243"/>
      <c r="C98" s="243"/>
      <c r="D98" s="243">
        <v>0</v>
      </c>
      <c r="E98" s="243"/>
      <c r="F98" s="243">
        <v>0</v>
      </c>
      <c r="G98" s="243">
        <v>214</v>
      </c>
      <c r="H98" s="2">
        <f>B98*0.1862</f>
        <v>0</v>
      </c>
      <c r="I98" s="2">
        <f>C98*0.2058</f>
        <v>0</v>
      </c>
      <c r="J98" s="2">
        <f t="shared" si="7"/>
        <v>0</v>
      </c>
      <c r="K98" s="2">
        <f>E98*0.2156</f>
        <v>0</v>
      </c>
      <c r="L98" s="2">
        <f>+H98+I98+J98+K98</f>
        <v>0</v>
      </c>
      <c r="M98" s="18"/>
    </row>
    <row r="99" spans="1:13" s="20" customFormat="1" x14ac:dyDescent="0.2">
      <c r="A99" s="18" t="s">
        <v>736</v>
      </c>
      <c r="B99" s="243"/>
      <c r="C99" s="243"/>
      <c r="D99" s="243">
        <v>41755</v>
      </c>
      <c r="E99" s="243"/>
      <c r="F99" s="243">
        <v>151648</v>
      </c>
      <c r="G99" s="243">
        <v>151648</v>
      </c>
      <c r="H99" s="2">
        <f>B99*0.1862</f>
        <v>0</v>
      </c>
      <c r="I99" s="2">
        <f>C99*0.2058</f>
        <v>0</v>
      </c>
      <c r="J99" s="2">
        <f t="shared" si="7"/>
        <v>11048.37</v>
      </c>
      <c r="K99" s="2">
        <f>E99*0.2156</f>
        <v>0</v>
      </c>
      <c r="L99" s="2">
        <f>+H99+I99+J99+K99</f>
        <v>11048.37</v>
      </c>
      <c r="M99" s="18"/>
    </row>
    <row r="100" spans="1:13" s="20" customFormat="1" x14ac:dyDescent="0.2">
      <c r="A100" s="18" t="s">
        <v>56</v>
      </c>
      <c r="B100" s="243"/>
      <c r="C100" s="243"/>
      <c r="D100" s="243">
        <v>85583</v>
      </c>
      <c r="E100" s="243"/>
      <c r="F100" s="243">
        <v>126175</v>
      </c>
      <c r="G100" s="243">
        <v>125939</v>
      </c>
      <c r="H100" s="2">
        <f t="shared" si="0"/>
        <v>0</v>
      </c>
      <c r="I100" s="2">
        <f t="shared" si="1"/>
        <v>0</v>
      </c>
      <c r="J100" s="2">
        <f t="shared" si="7"/>
        <v>22645.26</v>
      </c>
      <c r="K100" s="2">
        <f t="shared" si="3"/>
        <v>0</v>
      </c>
      <c r="L100" s="2">
        <f t="shared" si="4"/>
        <v>22645.26</v>
      </c>
      <c r="M100" s="18"/>
    </row>
    <row r="101" spans="1:13" x14ac:dyDescent="0.2">
      <c r="A101" s="1" t="s">
        <v>737</v>
      </c>
      <c r="B101" s="7"/>
      <c r="C101" s="7"/>
      <c r="D101" s="7">
        <v>172402</v>
      </c>
      <c r="E101" s="7"/>
      <c r="F101" s="7">
        <v>408799</v>
      </c>
      <c r="G101" s="7">
        <v>408799</v>
      </c>
      <c r="H101" s="2">
        <f>B101*0.1862</f>
        <v>0</v>
      </c>
      <c r="I101" s="2">
        <f>C101*0.2058</f>
        <v>0</v>
      </c>
      <c r="J101" s="2">
        <f>D101*0.2646-0.01</f>
        <v>45617.56</v>
      </c>
      <c r="K101" s="2">
        <f>E101*0.2156</f>
        <v>0</v>
      </c>
      <c r="L101" s="2">
        <f>+H101+I101+J101+K101</f>
        <v>45617.56</v>
      </c>
      <c r="M101" s="1"/>
    </row>
    <row r="102" spans="1:13" s="20" customFormat="1" x14ac:dyDescent="0.2">
      <c r="A102" s="18" t="s">
        <v>779</v>
      </c>
      <c r="B102" s="243"/>
      <c r="C102" s="243"/>
      <c r="D102" s="243"/>
      <c r="E102" s="243"/>
      <c r="F102" s="243"/>
      <c r="G102" s="243"/>
      <c r="H102" s="2">
        <f>B102*0.1862</f>
        <v>0</v>
      </c>
      <c r="I102" s="2">
        <f>C102*0.2058</f>
        <v>0</v>
      </c>
      <c r="J102" s="2">
        <f>D102*0.2646+0.01</f>
        <v>0.01</v>
      </c>
      <c r="K102" s="2">
        <f>E102*0.2156</f>
        <v>0</v>
      </c>
      <c r="L102" s="2">
        <f>+H102+I102+J102+K102</f>
        <v>0.01</v>
      </c>
      <c r="M102" s="18"/>
    </row>
    <row r="103" spans="1:13" x14ac:dyDescent="0.2">
      <c r="A103" s="1" t="s">
        <v>438</v>
      </c>
      <c r="B103" s="7"/>
      <c r="C103" s="7"/>
      <c r="D103" s="7">
        <v>2378372</v>
      </c>
      <c r="E103" s="7"/>
      <c r="F103" s="7">
        <v>0</v>
      </c>
      <c r="G103" s="7">
        <v>0</v>
      </c>
      <c r="H103" s="2">
        <f t="shared" si="0"/>
        <v>0</v>
      </c>
      <c r="I103" s="2">
        <f t="shared" si="1"/>
        <v>0</v>
      </c>
      <c r="J103" s="2">
        <f>D103*0.2646</f>
        <v>629317.23</v>
      </c>
      <c r="K103" s="2">
        <f t="shared" si="3"/>
        <v>0</v>
      </c>
      <c r="L103" s="2">
        <f t="shared" si="4"/>
        <v>629317.23</v>
      </c>
      <c r="M103" s="1"/>
    </row>
    <row r="104" spans="1:13" x14ac:dyDescent="0.2">
      <c r="A104" s="1" t="s">
        <v>57</v>
      </c>
      <c r="B104" s="7"/>
      <c r="C104" s="7"/>
      <c r="D104" s="7">
        <v>146305</v>
      </c>
      <c r="E104" s="7"/>
      <c r="F104" s="7">
        <v>21399</v>
      </c>
      <c r="G104" s="7">
        <v>21399</v>
      </c>
      <c r="H104" s="2">
        <f t="shared" si="0"/>
        <v>0</v>
      </c>
      <c r="I104" s="2">
        <f t="shared" si="1"/>
        <v>0</v>
      </c>
      <c r="J104" s="2">
        <f>D104*0.2646</f>
        <v>38712.300000000003</v>
      </c>
      <c r="K104" s="2">
        <f t="shared" si="3"/>
        <v>0</v>
      </c>
      <c r="L104" s="2">
        <f t="shared" si="4"/>
        <v>38712.300000000003</v>
      </c>
      <c r="M104" s="1"/>
    </row>
    <row r="105" spans="1:13" x14ac:dyDescent="0.2">
      <c r="A105" s="1" t="s">
        <v>439</v>
      </c>
      <c r="B105" s="7"/>
      <c r="C105" s="7"/>
      <c r="D105" s="7">
        <v>2901377</v>
      </c>
      <c r="E105" s="7"/>
      <c r="F105" s="7">
        <v>0</v>
      </c>
      <c r="G105" s="7">
        <v>0</v>
      </c>
      <c r="H105" s="2">
        <f t="shared" si="0"/>
        <v>0</v>
      </c>
      <c r="I105" s="2">
        <f t="shared" si="1"/>
        <v>0</v>
      </c>
      <c r="J105" s="2">
        <f>D105*0.2646</f>
        <v>767704.35</v>
      </c>
      <c r="K105" s="2">
        <f t="shared" si="3"/>
        <v>0</v>
      </c>
      <c r="L105" s="2">
        <f t="shared" si="4"/>
        <v>767704.35</v>
      </c>
      <c r="M105" s="1"/>
    </row>
    <row r="106" spans="1:13" x14ac:dyDescent="0.2">
      <c r="A106" s="1" t="s">
        <v>440</v>
      </c>
      <c r="B106" s="7"/>
      <c r="C106" s="7"/>
      <c r="D106" s="7">
        <v>1900</v>
      </c>
      <c r="E106" s="7"/>
      <c r="F106" s="7">
        <v>0</v>
      </c>
      <c r="G106" s="7">
        <v>0</v>
      </c>
      <c r="H106" s="2">
        <f t="shared" si="0"/>
        <v>0</v>
      </c>
      <c r="I106" s="2">
        <f t="shared" si="1"/>
        <v>0</v>
      </c>
      <c r="J106" s="2">
        <f>D106*0.2646</f>
        <v>502.74</v>
      </c>
      <c r="K106" s="2">
        <f t="shared" si="3"/>
        <v>0</v>
      </c>
      <c r="L106" s="2">
        <f t="shared" si="4"/>
        <v>502.74</v>
      </c>
      <c r="M106" s="1"/>
    </row>
    <row r="107" spans="1:13" x14ac:dyDescent="0.2">
      <c r="A107" s="1" t="s">
        <v>355</v>
      </c>
      <c r="B107" s="7"/>
      <c r="C107" s="7"/>
      <c r="D107" s="7">
        <v>133650</v>
      </c>
      <c r="E107" s="7"/>
      <c r="F107" s="7">
        <v>518235</v>
      </c>
      <c r="G107" s="7">
        <v>518235</v>
      </c>
      <c r="H107" s="2">
        <f t="shared" si="0"/>
        <v>0</v>
      </c>
      <c r="I107" s="2">
        <f t="shared" si="1"/>
        <v>0</v>
      </c>
      <c r="J107" s="2">
        <f>D107*0.2646</f>
        <v>35363.79</v>
      </c>
      <c r="K107" s="2">
        <f t="shared" si="3"/>
        <v>0</v>
      </c>
      <c r="L107" s="2">
        <f t="shared" si="4"/>
        <v>35363.79</v>
      </c>
      <c r="M107" s="1"/>
    </row>
    <row r="108" spans="1:13" s="20" customFormat="1" x14ac:dyDescent="0.2">
      <c r="A108" s="18" t="s">
        <v>611</v>
      </c>
      <c r="B108" s="243"/>
      <c r="C108" s="243"/>
      <c r="D108" s="243">
        <v>3417</v>
      </c>
      <c r="E108" s="243"/>
      <c r="F108" s="243">
        <v>0</v>
      </c>
      <c r="G108" s="243">
        <v>0</v>
      </c>
      <c r="H108" s="2">
        <f>B108*0.1862</f>
        <v>0</v>
      </c>
      <c r="I108" s="2">
        <f>C108*0.2058</f>
        <v>0</v>
      </c>
      <c r="J108" s="2">
        <f>D108*0.2646-333.36-0.01</f>
        <v>570.77</v>
      </c>
      <c r="K108" s="2">
        <f>E108*0.2156</f>
        <v>0</v>
      </c>
      <c r="L108" s="2">
        <f>+H108+I108+J108+K108</f>
        <v>570.77</v>
      </c>
      <c r="M108" s="18"/>
    </row>
    <row r="109" spans="1:13" s="20" customFormat="1" x14ac:dyDescent="0.2">
      <c r="A109" s="18" t="s">
        <v>58</v>
      </c>
      <c r="B109" s="243"/>
      <c r="C109" s="243"/>
      <c r="D109" s="243">
        <v>2914508</v>
      </c>
      <c r="E109" s="243">
        <v>177</v>
      </c>
      <c r="F109" s="243">
        <v>1826988</v>
      </c>
      <c r="G109" s="243">
        <v>1835615</v>
      </c>
      <c r="H109" s="2">
        <f t="shared" si="0"/>
        <v>0</v>
      </c>
      <c r="I109" s="2">
        <f t="shared" si="1"/>
        <v>0</v>
      </c>
      <c r="J109" s="2">
        <f t="shared" ref="J109:J119" si="8">D109*0.2646</f>
        <v>771178.82</v>
      </c>
      <c r="K109" s="2">
        <f t="shared" si="3"/>
        <v>38.159999999999997</v>
      </c>
      <c r="L109" s="2">
        <f t="shared" si="4"/>
        <v>771216.98</v>
      </c>
      <c r="M109" s="18"/>
    </row>
    <row r="110" spans="1:13" x14ac:dyDescent="0.2">
      <c r="A110" s="1" t="s">
        <v>59</v>
      </c>
      <c r="B110" s="7"/>
      <c r="C110" s="7"/>
      <c r="D110" s="7">
        <v>225835</v>
      </c>
      <c r="E110" s="7"/>
      <c r="F110" s="7">
        <v>8013</v>
      </c>
      <c r="G110" s="7">
        <v>8013</v>
      </c>
      <c r="H110" s="2">
        <f t="shared" si="0"/>
        <v>0</v>
      </c>
      <c r="I110" s="2">
        <f t="shared" si="1"/>
        <v>0</v>
      </c>
      <c r="J110" s="2">
        <f t="shared" si="8"/>
        <v>59755.94</v>
      </c>
      <c r="K110" s="2">
        <f t="shared" si="3"/>
        <v>0</v>
      </c>
      <c r="L110" s="2">
        <f t="shared" si="4"/>
        <v>59755.94</v>
      </c>
      <c r="M110" s="1"/>
    </row>
    <row r="111" spans="1:13" ht="13.5" customHeight="1" x14ac:dyDescent="0.2">
      <c r="A111" s="1" t="s">
        <v>462</v>
      </c>
      <c r="B111" s="7"/>
      <c r="C111" s="7"/>
      <c r="D111" s="7">
        <v>0</v>
      </c>
      <c r="E111" s="7"/>
      <c r="F111" s="7">
        <v>93449</v>
      </c>
      <c r="G111" s="7">
        <v>91473</v>
      </c>
      <c r="H111" s="2">
        <f t="shared" si="0"/>
        <v>0</v>
      </c>
      <c r="I111" s="2">
        <f t="shared" si="1"/>
        <v>0</v>
      </c>
      <c r="J111" s="2">
        <f t="shared" si="8"/>
        <v>0</v>
      </c>
      <c r="K111" s="2">
        <f t="shared" si="3"/>
        <v>0</v>
      </c>
      <c r="L111" s="2">
        <f t="shared" si="4"/>
        <v>0</v>
      </c>
      <c r="M111" s="1"/>
    </row>
    <row r="112" spans="1:13" ht="13.5" customHeight="1" x14ac:dyDescent="0.2">
      <c r="A112" s="1" t="s">
        <v>625</v>
      </c>
      <c r="B112" s="7"/>
      <c r="C112" s="7"/>
      <c r="D112" s="7">
        <v>0</v>
      </c>
      <c r="E112" s="7"/>
      <c r="F112" s="7">
        <v>52681</v>
      </c>
      <c r="G112" s="7">
        <v>52681</v>
      </c>
      <c r="H112" s="2">
        <f>B112*0.1862</f>
        <v>0</v>
      </c>
      <c r="I112" s="2">
        <f>C112*0.2058</f>
        <v>0</v>
      </c>
      <c r="J112" s="2">
        <f t="shared" si="8"/>
        <v>0</v>
      </c>
      <c r="K112" s="2">
        <f>E112*0.2156</f>
        <v>0</v>
      </c>
      <c r="L112" s="2">
        <f>+H112+I112+J112+K112</f>
        <v>0</v>
      </c>
      <c r="M112" s="1"/>
    </row>
    <row r="113" spans="1:13" s="20" customFormat="1" x14ac:dyDescent="0.2">
      <c r="A113" s="18" t="s">
        <v>60</v>
      </c>
      <c r="B113" s="243"/>
      <c r="C113" s="243"/>
      <c r="D113" s="243">
        <v>1439652</v>
      </c>
      <c r="E113" s="243"/>
      <c r="F113" s="243">
        <v>838030</v>
      </c>
      <c r="G113" s="243">
        <v>841281</v>
      </c>
      <c r="H113" s="2">
        <f t="shared" si="0"/>
        <v>0</v>
      </c>
      <c r="I113" s="2">
        <f t="shared" si="1"/>
        <v>0</v>
      </c>
      <c r="J113" s="2">
        <f t="shared" si="8"/>
        <v>380931.92</v>
      </c>
      <c r="K113" s="2">
        <f t="shared" si="3"/>
        <v>0</v>
      </c>
      <c r="L113" s="2">
        <f t="shared" si="4"/>
        <v>380931.92</v>
      </c>
      <c r="M113" s="18"/>
    </row>
    <row r="114" spans="1:13" s="20" customFormat="1" x14ac:dyDescent="0.2">
      <c r="A114" s="1" t="s">
        <v>463</v>
      </c>
      <c r="B114" s="7"/>
      <c r="C114" s="7"/>
      <c r="D114" s="7">
        <v>62438</v>
      </c>
      <c r="E114" s="7"/>
      <c r="F114" s="7">
        <v>56394</v>
      </c>
      <c r="G114" s="7">
        <v>61971</v>
      </c>
      <c r="H114" s="2">
        <f t="shared" si="0"/>
        <v>0</v>
      </c>
      <c r="I114" s="2">
        <f t="shared" si="1"/>
        <v>0</v>
      </c>
      <c r="J114" s="2">
        <f t="shared" si="8"/>
        <v>16521.09</v>
      </c>
      <c r="K114" s="2">
        <f t="shared" si="3"/>
        <v>0</v>
      </c>
      <c r="L114" s="2">
        <f t="shared" si="4"/>
        <v>16521.09</v>
      </c>
      <c r="M114" s="1"/>
    </row>
    <row r="115" spans="1:13" s="20" customFormat="1" x14ac:dyDescent="0.2">
      <c r="A115" s="18" t="s">
        <v>61</v>
      </c>
      <c r="B115" s="243"/>
      <c r="C115" s="243"/>
      <c r="D115" s="243">
        <v>60183</v>
      </c>
      <c r="E115" s="243"/>
      <c r="F115" s="243">
        <v>30855</v>
      </c>
      <c r="G115" s="243">
        <v>30855</v>
      </c>
      <c r="H115" s="2">
        <f t="shared" si="0"/>
        <v>0</v>
      </c>
      <c r="I115" s="2">
        <f t="shared" si="1"/>
        <v>0</v>
      </c>
      <c r="J115" s="2">
        <f t="shared" si="8"/>
        <v>15924.42</v>
      </c>
      <c r="K115" s="2">
        <f t="shared" si="3"/>
        <v>0</v>
      </c>
      <c r="L115" s="2">
        <f t="shared" si="4"/>
        <v>15924.42</v>
      </c>
      <c r="M115" s="18"/>
    </row>
    <row r="116" spans="1:13" x14ac:dyDescent="0.2">
      <c r="A116" s="1" t="s">
        <v>62</v>
      </c>
      <c r="B116" s="7"/>
      <c r="C116" s="7"/>
      <c r="D116" s="7">
        <v>0</v>
      </c>
      <c r="E116" s="7"/>
      <c r="F116" s="7">
        <v>6869</v>
      </c>
      <c r="G116" s="7">
        <v>6869</v>
      </c>
      <c r="H116" s="2">
        <f t="shared" si="0"/>
        <v>0</v>
      </c>
      <c r="I116" s="2">
        <f t="shared" si="1"/>
        <v>0</v>
      </c>
      <c r="J116" s="2">
        <f t="shared" si="8"/>
        <v>0</v>
      </c>
      <c r="K116" s="2">
        <f t="shared" si="3"/>
        <v>0</v>
      </c>
      <c r="L116" s="2">
        <f t="shared" si="4"/>
        <v>0</v>
      </c>
      <c r="M116" s="1"/>
    </row>
    <row r="117" spans="1:13" x14ac:dyDescent="0.2">
      <c r="A117" s="1" t="s">
        <v>63</v>
      </c>
      <c r="B117" s="7"/>
      <c r="C117" s="7"/>
      <c r="D117" s="7">
        <v>15116</v>
      </c>
      <c r="E117" s="7"/>
      <c r="F117" s="7">
        <v>21616</v>
      </c>
      <c r="G117" s="7">
        <v>21616</v>
      </c>
      <c r="H117" s="2">
        <f t="shared" si="0"/>
        <v>0</v>
      </c>
      <c r="I117" s="2">
        <f t="shared" si="1"/>
        <v>0</v>
      </c>
      <c r="J117" s="2">
        <f t="shared" si="8"/>
        <v>3999.69</v>
      </c>
      <c r="K117" s="2">
        <f t="shared" si="3"/>
        <v>0</v>
      </c>
      <c r="L117" s="2">
        <f t="shared" si="4"/>
        <v>3999.69</v>
      </c>
      <c r="M117" s="1"/>
    </row>
    <row r="118" spans="1:13" s="20" customFormat="1" x14ac:dyDescent="0.2">
      <c r="A118" s="18" t="s">
        <v>641</v>
      </c>
      <c r="B118" s="243"/>
      <c r="C118" s="243"/>
      <c r="D118" s="243">
        <v>434404</v>
      </c>
      <c r="E118" s="243"/>
      <c r="F118" s="243">
        <v>0</v>
      </c>
      <c r="G118" s="243">
        <v>0</v>
      </c>
      <c r="H118" s="2">
        <f t="shared" si="0"/>
        <v>0</v>
      </c>
      <c r="I118" s="2">
        <f t="shared" si="1"/>
        <v>0</v>
      </c>
      <c r="J118" s="2">
        <f t="shared" si="8"/>
        <v>114943.3</v>
      </c>
      <c r="K118" s="2">
        <f t="shared" si="3"/>
        <v>0</v>
      </c>
      <c r="L118" s="2">
        <f t="shared" si="4"/>
        <v>114943.3</v>
      </c>
      <c r="M118" s="18"/>
    </row>
    <row r="119" spans="1:13" s="20" customFormat="1" x14ac:dyDescent="0.2">
      <c r="A119" s="18" t="s">
        <v>576</v>
      </c>
      <c r="B119" s="243"/>
      <c r="C119" s="243"/>
      <c r="D119" s="243">
        <v>0</v>
      </c>
      <c r="E119" s="243"/>
      <c r="F119" s="243">
        <v>1924144</v>
      </c>
      <c r="G119" s="243">
        <v>1924144</v>
      </c>
      <c r="H119" s="2">
        <f t="shared" si="0"/>
        <v>0</v>
      </c>
      <c r="I119" s="2">
        <f t="shared" si="1"/>
        <v>0</v>
      </c>
      <c r="J119" s="2">
        <f t="shared" si="8"/>
        <v>0</v>
      </c>
      <c r="K119" s="2">
        <f t="shared" si="3"/>
        <v>0</v>
      </c>
      <c r="L119" s="2">
        <f t="shared" si="4"/>
        <v>0</v>
      </c>
      <c r="M119" s="18"/>
    </row>
    <row r="120" spans="1:13" s="20" customFormat="1" x14ac:dyDescent="0.2">
      <c r="A120" s="18" t="s">
        <v>442</v>
      </c>
      <c r="B120" s="243"/>
      <c r="C120" s="243"/>
      <c r="D120" s="243">
        <v>132393</v>
      </c>
      <c r="E120" s="243"/>
      <c r="F120" s="243">
        <v>0</v>
      </c>
      <c r="G120" s="243">
        <v>0</v>
      </c>
      <c r="H120" s="2">
        <f t="shared" ref="H120:H137" si="9">B120*0.1862</f>
        <v>0</v>
      </c>
      <c r="I120" s="2">
        <f t="shared" ref="I120:I137" si="10">C120*0.2058</f>
        <v>0</v>
      </c>
      <c r="J120" s="2">
        <f t="shared" ref="J120:J137" si="11">D120*0.2646</f>
        <v>35031.19</v>
      </c>
      <c r="K120" s="2">
        <f t="shared" ref="K120:K137" si="12">E120*0.2156</f>
        <v>0</v>
      </c>
      <c r="L120" s="2">
        <f t="shared" ref="L120:L137" si="13">+H120+I120+J120+K120</f>
        <v>35031.19</v>
      </c>
      <c r="M120" s="18"/>
    </row>
    <row r="121" spans="1:13" x14ac:dyDescent="0.2">
      <c r="A121" s="18" t="s">
        <v>65</v>
      </c>
      <c r="B121" s="243"/>
      <c r="C121" s="243"/>
      <c r="D121" s="243">
        <v>62727</v>
      </c>
      <c r="E121" s="243"/>
      <c r="F121" s="243">
        <v>4000</v>
      </c>
      <c r="G121" s="243">
        <v>4000</v>
      </c>
      <c r="H121" s="2">
        <f t="shared" si="9"/>
        <v>0</v>
      </c>
      <c r="I121" s="2">
        <f t="shared" si="10"/>
        <v>0</v>
      </c>
      <c r="J121" s="2">
        <f t="shared" si="11"/>
        <v>16597.560000000001</v>
      </c>
      <c r="K121" s="2">
        <f t="shared" si="12"/>
        <v>0</v>
      </c>
      <c r="L121" s="2">
        <f t="shared" si="13"/>
        <v>16597.560000000001</v>
      </c>
      <c r="M121" s="18"/>
    </row>
    <row r="122" spans="1:13" x14ac:dyDescent="0.2">
      <c r="A122" s="18" t="s">
        <v>478</v>
      </c>
      <c r="B122" s="243"/>
      <c r="C122" s="243"/>
      <c r="D122" s="243">
        <v>997595</v>
      </c>
      <c r="E122" s="243"/>
      <c r="F122" s="243">
        <v>436204</v>
      </c>
      <c r="G122" s="243">
        <v>436204</v>
      </c>
      <c r="H122" s="2">
        <f t="shared" si="9"/>
        <v>0</v>
      </c>
      <c r="I122" s="2">
        <f t="shared" si="10"/>
        <v>0</v>
      </c>
      <c r="J122" s="2">
        <f>D122*0.2646-25.3</f>
        <v>263938.34000000003</v>
      </c>
      <c r="K122" s="2">
        <f t="shared" si="12"/>
        <v>0</v>
      </c>
      <c r="L122" s="2">
        <f t="shared" si="13"/>
        <v>263938.34000000003</v>
      </c>
      <c r="M122" s="18"/>
    </row>
    <row r="123" spans="1:13" x14ac:dyDescent="0.2">
      <c r="A123" s="18" t="s">
        <v>66</v>
      </c>
      <c r="B123" s="243"/>
      <c r="C123" s="243"/>
      <c r="D123" s="243">
        <v>0</v>
      </c>
      <c r="E123" s="243"/>
      <c r="F123" s="243">
        <v>6456</v>
      </c>
      <c r="G123" s="243">
        <v>6456</v>
      </c>
      <c r="H123" s="2">
        <f t="shared" si="9"/>
        <v>0</v>
      </c>
      <c r="I123" s="2">
        <f t="shared" si="10"/>
        <v>0</v>
      </c>
      <c r="J123" s="2">
        <f t="shared" si="11"/>
        <v>0</v>
      </c>
      <c r="K123" s="2">
        <f t="shared" si="12"/>
        <v>0</v>
      </c>
      <c r="L123" s="2">
        <f t="shared" si="13"/>
        <v>0</v>
      </c>
      <c r="M123" s="18"/>
    </row>
    <row r="124" spans="1:13" x14ac:dyDescent="0.2">
      <c r="A124" s="18" t="s">
        <v>82</v>
      </c>
      <c r="B124" s="243"/>
      <c r="C124" s="243"/>
      <c r="D124" s="243">
        <v>264201</v>
      </c>
      <c r="E124" s="243"/>
      <c r="F124" s="243">
        <v>0</v>
      </c>
      <c r="G124" s="243">
        <v>0</v>
      </c>
      <c r="H124" s="2">
        <f t="shared" si="9"/>
        <v>0</v>
      </c>
      <c r="I124" s="2">
        <f t="shared" si="10"/>
        <v>0</v>
      </c>
      <c r="J124" s="2">
        <f>D124*0.2646-273.54</f>
        <v>69634.039999999994</v>
      </c>
      <c r="K124" s="2">
        <f t="shared" si="12"/>
        <v>0</v>
      </c>
      <c r="L124" s="2">
        <f t="shared" si="13"/>
        <v>69634.039999999994</v>
      </c>
      <c r="M124" s="18"/>
    </row>
    <row r="125" spans="1:13" x14ac:dyDescent="0.2">
      <c r="A125" s="18" t="s">
        <v>356</v>
      </c>
      <c r="B125" s="243"/>
      <c r="C125" s="243"/>
      <c r="D125" s="243">
        <v>2389873</v>
      </c>
      <c r="E125" s="243"/>
      <c r="F125" s="243">
        <v>15057</v>
      </c>
      <c r="G125" s="243">
        <v>15057</v>
      </c>
      <c r="H125" s="2">
        <f t="shared" si="9"/>
        <v>0</v>
      </c>
      <c r="I125" s="2">
        <f t="shared" si="10"/>
        <v>0</v>
      </c>
      <c r="J125" s="2">
        <f t="shared" si="11"/>
        <v>632360.4</v>
      </c>
      <c r="K125" s="2">
        <f t="shared" si="12"/>
        <v>0</v>
      </c>
      <c r="L125" s="2">
        <f t="shared" si="13"/>
        <v>632360.4</v>
      </c>
      <c r="M125" s="18"/>
    </row>
    <row r="126" spans="1:13" s="20" customFormat="1" x14ac:dyDescent="0.2">
      <c r="A126" s="18" t="s">
        <v>619</v>
      </c>
      <c r="B126" s="243"/>
      <c r="C126" s="243"/>
      <c r="D126" s="243">
        <v>0</v>
      </c>
      <c r="E126" s="243"/>
      <c r="F126" s="243">
        <v>7094</v>
      </c>
      <c r="G126" s="243">
        <v>7094</v>
      </c>
      <c r="H126" s="2">
        <f>B126*0.1862</f>
        <v>0</v>
      </c>
      <c r="I126" s="2">
        <f>C126*0.2058</f>
        <v>0</v>
      </c>
      <c r="J126" s="2">
        <f>D126*0.2646</f>
        <v>0</v>
      </c>
      <c r="K126" s="2">
        <f>E126*0.2156</f>
        <v>0</v>
      </c>
      <c r="L126" s="2">
        <f>+H126+I126+J126+K126</f>
        <v>0</v>
      </c>
      <c r="M126" s="18"/>
    </row>
    <row r="127" spans="1:13" s="20" customFormat="1" x14ac:dyDescent="0.2">
      <c r="A127" s="18" t="s">
        <v>369</v>
      </c>
      <c r="B127" s="243"/>
      <c r="C127" s="243"/>
      <c r="D127" s="243">
        <v>37613</v>
      </c>
      <c r="E127" s="243"/>
      <c r="F127" s="243">
        <v>284613</v>
      </c>
      <c r="G127" s="243">
        <v>284613</v>
      </c>
      <c r="H127" s="2">
        <f t="shared" si="9"/>
        <v>0</v>
      </c>
      <c r="I127" s="2">
        <f t="shared" si="10"/>
        <v>0</v>
      </c>
      <c r="J127" s="2">
        <f t="shared" si="11"/>
        <v>9952.4</v>
      </c>
      <c r="K127" s="2">
        <f t="shared" si="12"/>
        <v>0</v>
      </c>
      <c r="L127" s="2">
        <f t="shared" si="13"/>
        <v>9952.4</v>
      </c>
      <c r="M127" s="18"/>
    </row>
    <row r="128" spans="1:13" s="89" customFormat="1" x14ac:dyDescent="0.2">
      <c r="A128" s="18" t="s">
        <v>68</v>
      </c>
      <c r="B128" s="243"/>
      <c r="C128" s="243"/>
      <c r="D128" s="243">
        <v>190962</v>
      </c>
      <c r="E128" s="243"/>
      <c r="F128" s="243">
        <v>0</v>
      </c>
      <c r="G128" s="243">
        <v>0</v>
      </c>
      <c r="H128" s="2">
        <f t="shared" si="9"/>
        <v>0</v>
      </c>
      <c r="I128" s="2">
        <f t="shared" si="10"/>
        <v>0</v>
      </c>
      <c r="J128" s="2">
        <f t="shared" si="11"/>
        <v>50528.55</v>
      </c>
      <c r="K128" s="2">
        <f t="shared" si="12"/>
        <v>0</v>
      </c>
      <c r="L128" s="2">
        <f t="shared" si="13"/>
        <v>50528.55</v>
      </c>
      <c r="M128" s="18"/>
    </row>
    <row r="129" spans="1:32" x14ac:dyDescent="0.2">
      <c r="A129" s="1" t="s">
        <v>577</v>
      </c>
      <c r="B129" s="7"/>
      <c r="C129" s="7"/>
      <c r="D129" s="7">
        <v>160598</v>
      </c>
      <c r="E129" s="7"/>
      <c r="F129" s="7">
        <v>0</v>
      </c>
      <c r="G129" s="7">
        <v>0</v>
      </c>
      <c r="H129" s="2">
        <f t="shared" si="9"/>
        <v>0</v>
      </c>
      <c r="I129" s="2">
        <f t="shared" si="10"/>
        <v>0</v>
      </c>
      <c r="J129" s="2">
        <f t="shared" si="11"/>
        <v>42494.23</v>
      </c>
      <c r="K129" s="2">
        <f t="shared" si="12"/>
        <v>0</v>
      </c>
      <c r="L129" s="2">
        <f t="shared" si="13"/>
        <v>42494.23</v>
      </c>
      <c r="M129" s="1"/>
    </row>
    <row r="130" spans="1:32" x14ac:dyDescent="0.2">
      <c r="A130" s="1" t="s">
        <v>443</v>
      </c>
      <c r="B130" s="7"/>
      <c r="C130" s="7"/>
      <c r="D130" s="7">
        <v>34236</v>
      </c>
      <c r="E130" s="7"/>
      <c r="F130" s="7">
        <v>0</v>
      </c>
      <c r="G130" s="7">
        <v>0</v>
      </c>
      <c r="H130" s="2">
        <f t="shared" si="9"/>
        <v>0</v>
      </c>
      <c r="I130" s="2">
        <f t="shared" si="10"/>
        <v>0</v>
      </c>
      <c r="J130" s="2">
        <f t="shared" si="11"/>
        <v>9058.85</v>
      </c>
      <c r="K130" s="2">
        <f t="shared" si="12"/>
        <v>0</v>
      </c>
      <c r="L130" s="2">
        <f t="shared" si="13"/>
        <v>9058.85</v>
      </c>
      <c r="M130" s="1"/>
    </row>
    <row r="131" spans="1:32" ht="12.75" customHeight="1" x14ac:dyDescent="0.2">
      <c r="A131" s="1" t="s">
        <v>724</v>
      </c>
      <c r="B131" s="7"/>
      <c r="C131" s="7"/>
      <c r="D131" s="7">
        <v>7359</v>
      </c>
      <c r="E131" s="7"/>
      <c r="F131" s="7">
        <v>0</v>
      </c>
      <c r="G131" s="7">
        <v>0</v>
      </c>
      <c r="H131" s="2">
        <f>B131*0.1862</f>
        <v>0</v>
      </c>
      <c r="I131" s="2">
        <f>C131*0.2058</f>
        <v>0</v>
      </c>
      <c r="J131" s="2">
        <f>D131*0.2646</f>
        <v>1947.19</v>
      </c>
      <c r="K131" s="2">
        <f>E131*0.2156</f>
        <v>0</v>
      </c>
      <c r="L131" s="2">
        <f>+H131+I131+J131+K131</f>
        <v>1947.19</v>
      </c>
      <c r="M131" s="1"/>
    </row>
    <row r="132" spans="1:32" x14ac:dyDescent="0.2">
      <c r="A132" s="1" t="s">
        <v>444</v>
      </c>
      <c r="B132" s="7"/>
      <c r="C132" s="7"/>
      <c r="D132" s="7">
        <v>6487</v>
      </c>
      <c r="E132" s="7"/>
      <c r="F132" s="7">
        <v>0</v>
      </c>
      <c r="G132" s="7">
        <v>0</v>
      </c>
      <c r="H132" s="2">
        <f t="shared" si="9"/>
        <v>0</v>
      </c>
      <c r="I132" s="2">
        <f t="shared" si="10"/>
        <v>0</v>
      </c>
      <c r="J132" s="2">
        <f t="shared" si="11"/>
        <v>1716.46</v>
      </c>
      <c r="K132" s="2">
        <f t="shared" si="12"/>
        <v>0</v>
      </c>
      <c r="L132" s="2">
        <f t="shared" si="13"/>
        <v>1716.46</v>
      </c>
      <c r="M132" s="1"/>
    </row>
    <row r="133" spans="1:32" x14ac:dyDescent="0.2">
      <c r="A133" s="1" t="s">
        <v>83</v>
      </c>
      <c r="B133" s="7"/>
      <c r="C133" s="7"/>
      <c r="D133" s="7">
        <v>1093</v>
      </c>
      <c r="E133" s="7"/>
      <c r="F133" s="7">
        <v>4598</v>
      </c>
      <c r="G133" s="7">
        <v>4598</v>
      </c>
      <c r="H133" s="2">
        <f t="shared" si="9"/>
        <v>0</v>
      </c>
      <c r="I133" s="2">
        <f t="shared" si="10"/>
        <v>0</v>
      </c>
      <c r="J133" s="2">
        <f t="shared" si="11"/>
        <v>289.20999999999998</v>
      </c>
      <c r="K133" s="2">
        <f t="shared" si="12"/>
        <v>0</v>
      </c>
      <c r="L133" s="2">
        <f t="shared" si="13"/>
        <v>289.20999999999998</v>
      </c>
      <c r="M133" s="1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x14ac:dyDescent="0.2">
      <c r="A134" s="18" t="s">
        <v>578</v>
      </c>
      <c r="B134" s="243"/>
      <c r="C134" s="243"/>
      <c r="D134" s="243">
        <v>0</v>
      </c>
      <c r="E134" s="243"/>
      <c r="F134" s="243">
        <v>647756</v>
      </c>
      <c r="G134" s="243">
        <v>647756</v>
      </c>
      <c r="H134" s="2">
        <f t="shared" si="9"/>
        <v>0</v>
      </c>
      <c r="I134" s="2">
        <f t="shared" si="10"/>
        <v>0</v>
      </c>
      <c r="J134" s="2">
        <f t="shared" si="11"/>
        <v>0</v>
      </c>
      <c r="K134" s="2">
        <f t="shared" si="12"/>
        <v>0</v>
      </c>
      <c r="L134" s="2">
        <f t="shared" si="13"/>
        <v>0</v>
      </c>
      <c r="M134" s="18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</row>
    <row r="135" spans="1:32" x14ac:dyDescent="0.2">
      <c r="A135" s="1" t="s">
        <v>787</v>
      </c>
      <c r="B135" s="7"/>
      <c r="C135" s="7"/>
      <c r="D135" s="7">
        <v>-5602</v>
      </c>
      <c r="E135" s="7"/>
      <c r="F135" s="7">
        <v>0</v>
      </c>
      <c r="G135" s="7">
        <v>0</v>
      </c>
      <c r="H135" s="2">
        <f>B135*0.1862</f>
        <v>0</v>
      </c>
      <c r="I135" s="2">
        <f>C135*0.2058</f>
        <v>0</v>
      </c>
      <c r="J135" s="2">
        <v>0</v>
      </c>
      <c r="K135" s="2">
        <f>E135*0.2156</f>
        <v>0</v>
      </c>
      <c r="L135" s="2">
        <f>+H135+I135+J135+K135-1482.29</f>
        <v>-1482.29</v>
      </c>
      <c r="M135" s="1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1:32" x14ac:dyDescent="0.2">
      <c r="A136" s="18" t="s">
        <v>69</v>
      </c>
      <c r="B136" s="243"/>
      <c r="C136" s="243"/>
      <c r="D136" s="243">
        <v>409208</v>
      </c>
      <c r="E136" s="243">
        <v>875</v>
      </c>
      <c r="F136" s="243">
        <v>547997</v>
      </c>
      <c r="G136" s="243">
        <v>547997</v>
      </c>
      <c r="H136" s="2">
        <f t="shared" si="9"/>
        <v>0</v>
      </c>
      <c r="I136" s="2">
        <f t="shared" si="10"/>
        <v>0</v>
      </c>
      <c r="J136" s="2">
        <f t="shared" si="11"/>
        <v>108276.44</v>
      </c>
      <c r="K136" s="2">
        <f t="shared" si="12"/>
        <v>188.65</v>
      </c>
      <c r="L136" s="2">
        <f t="shared" si="13"/>
        <v>108465.09</v>
      </c>
      <c r="M136" s="18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</row>
    <row r="137" spans="1:32" x14ac:dyDescent="0.2">
      <c r="A137" s="1" t="s">
        <v>70</v>
      </c>
      <c r="B137" s="7"/>
      <c r="C137" s="7"/>
      <c r="D137" s="7">
        <v>48647</v>
      </c>
      <c r="E137" s="7"/>
      <c r="F137" s="7">
        <v>224822</v>
      </c>
      <c r="G137" s="7">
        <v>224822</v>
      </c>
      <c r="H137" s="2">
        <f t="shared" si="9"/>
        <v>0</v>
      </c>
      <c r="I137" s="2">
        <f t="shared" si="10"/>
        <v>0</v>
      </c>
      <c r="J137" s="2">
        <f t="shared" si="11"/>
        <v>12872</v>
      </c>
      <c r="K137" s="2">
        <f t="shared" si="12"/>
        <v>0</v>
      </c>
      <c r="L137" s="2">
        <f t="shared" si="13"/>
        <v>12872</v>
      </c>
      <c r="M137" s="1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:32" x14ac:dyDescent="0.2">
      <c r="A138" s="1" t="s">
        <v>620</v>
      </c>
      <c r="B138" s="7"/>
      <c r="C138" s="7"/>
      <c r="D138" s="7">
        <v>0</v>
      </c>
      <c r="E138" s="7"/>
      <c r="F138" s="7">
        <v>21399</v>
      </c>
      <c r="G138" s="7">
        <v>21399</v>
      </c>
      <c r="H138" s="2">
        <f>B138*0.1862</f>
        <v>0</v>
      </c>
      <c r="I138" s="2">
        <f>C138*0.2058</f>
        <v>0</v>
      </c>
      <c r="J138" s="2">
        <f>D138*0.2646</f>
        <v>0</v>
      </c>
      <c r="K138" s="2">
        <f>E138*0.2156</f>
        <v>0</v>
      </c>
      <c r="L138" s="2">
        <f>+H138+I138+J138+K138</f>
        <v>0</v>
      </c>
      <c r="M138" s="1"/>
    </row>
    <row r="139" spans="1:32" x14ac:dyDescent="0.2">
      <c r="A139" s="1" t="s">
        <v>367</v>
      </c>
      <c r="B139" s="7"/>
      <c r="C139" s="7"/>
      <c r="D139" s="7">
        <v>18457</v>
      </c>
      <c r="E139" s="7"/>
      <c r="F139" s="7">
        <v>0</v>
      </c>
      <c r="G139" s="7">
        <v>0</v>
      </c>
      <c r="H139" s="2">
        <f>B139*0.1862</f>
        <v>0</v>
      </c>
      <c r="I139" s="2">
        <f>C139*0.2058</f>
        <v>0</v>
      </c>
      <c r="J139" s="2">
        <f>D139*0.2646</f>
        <v>4883.72</v>
      </c>
      <c r="K139" s="2">
        <f>E139*0.2156</f>
        <v>0</v>
      </c>
      <c r="L139" s="2">
        <f>+H139+I139+J139+K139</f>
        <v>4883.72</v>
      </c>
      <c r="M139" s="1"/>
    </row>
    <row r="140" spans="1:32" x14ac:dyDescent="0.2">
      <c r="A140" s="1" t="s">
        <v>741</v>
      </c>
      <c r="B140" s="7"/>
      <c r="C140" s="7"/>
      <c r="D140" s="7">
        <v>5663</v>
      </c>
      <c r="E140" s="7"/>
      <c r="F140" s="7">
        <v>0</v>
      </c>
      <c r="G140" s="7">
        <v>0</v>
      </c>
      <c r="H140" s="2">
        <f>B140*0.1862</f>
        <v>0</v>
      </c>
      <c r="I140" s="2">
        <f>C140*0.2058</f>
        <v>0</v>
      </c>
      <c r="J140" s="2">
        <f>D140*0.2646</f>
        <v>1498.43</v>
      </c>
      <c r="K140" s="2">
        <f>E140*0.2156</f>
        <v>0</v>
      </c>
      <c r="L140" s="2">
        <f>+H140+I140+J140+K140</f>
        <v>1498.43</v>
      </c>
      <c r="M140" s="1"/>
    </row>
    <row r="141" spans="1:32" x14ac:dyDescent="0.2">
      <c r="A141" s="10"/>
      <c r="B141" s="32"/>
      <c r="C141" s="32"/>
      <c r="D141" s="32"/>
      <c r="E141" s="32"/>
      <c r="F141" s="32"/>
      <c r="G141" s="32"/>
      <c r="H141" s="33"/>
      <c r="I141" s="33"/>
      <c r="J141" s="33"/>
      <c r="K141" s="33"/>
      <c r="L141" s="33"/>
      <c r="M141" s="90"/>
    </row>
    <row r="142" spans="1:32" s="143" customFormat="1" x14ac:dyDescent="0.2">
      <c r="A142" s="130" t="s">
        <v>71</v>
      </c>
      <c r="B142" s="285">
        <f t="shared" ref="B142:G142" si="14">SUM(B12:B141)</f>
        <v>0</v>
      </c>
      <c r="C142" s="285">
        <f t="shared" si="14"/>
        <v>-193</v>
      </c>
      <c r="D142" s="285">
        <f t="shared" si="14"/>
        <v>31237162</v>
      </c>
      <c r="E142" s="285">
        <f t="shared" si="14"/>
        <v>104635</v>
      </c>
      <c r="F142" s="285">
        <f t="shared" si="14"/>
        <v>21850029</v>
      </c>
      <c r="G142" s="285">
        <f t="shared" si="14"/>
        <v>21542222</v>
      </c>
      <c r="H142" s="286">
        <f>SUM(H13:H141)</f>
        <v>0</v>
      </c>
      <c r="I142" s="286">
        <f>SUM(I13:I141)</f>
        <v>-39.72</v>
      </c>
      <c r="J142" s="286">
        <f>SUM(J13:J141)</f>
        <v>8271639.46</v>
      </c>
      <c r="K142" s="286">
        <f>SUM(K13:K141)</f>
        <v>22559.3</v>
      </c>
      <c r="L142" s="286">
        <f>SUM(L13:L141)</f>
        <v>8281391.2599999998</v>
      </c>
      <c r="M142" s="285"/>
    </row>
    <row r="143" spans="1:32" hidden="1" x14ac:dyDescent="0.2">
      <c r="A143" s="129" t="s">
        <v>604</v>
      </c>
      <c r="B143" s="7">
        <v>0</v>
      </c>
      <c r="C143" s="7"/>
      <c r="D143" s="7"/>
      <c r="E143" s="7"/>
      <c r="F143" s="7"/>
      <c r="G143" s="7"/>
      <c r="H143" s="287"/>
      <c r="I143" s="287">
        <v>-39.72</v>
      </c>
      <c r="J143" s="287">
        <v>8271639.46</v>
      </c>
      <c r="K143" s="287">
        <v>22559.3</v>
      </c>
      <c r="L143" s="287">
        <v>8294437.0999999996</v>
      </c>
      <c r="M143" s="1"/>
    </row>
    <row r="144" spans="1:32" hidden="1" x14ac:dyDescent="0.2">
      <c r="A144" s="129" t="s">
        <v>761</v>
      </c>
      <c r="B144" s="7"/>
      <c r="C144" s="7"/>
      <c r="D144" s="7"/>
      <c r="E144" s="7"/>
      <c r="F144" s="7"/>
      <c r="G144" s="7"/>
      <c r="H144" s="287"/>
      <c r="I144" s="287"/>
      <c r="J144" s="287"/>
      <c r="K144" s="287"/>
      <c r="L144" s="287">
        <v>278.06</v>
      </c>
      <c r="M144" s="1"/>
    </row>
    <row r="145" spans="1:13" hidden="1" x14ac:dyDescent="0.2">
      <c r="A145" s="129" t="s">
        <v>697</v>
      </c>
      <c r="B145" s="7"/>
      <c r="C145" s="7"/>
      <c r="D145" s="7"/>
      <c r="E145" s="7"/>
      <c r="F145" s="7"/>
      <c r="G145" s="7"/>
      <c r="H145" s="287"/>
      <c r="I145" s="287"/>
      <c r="J145" s="287"/>
      <c r="K145" s="287"/>
      <c r="L145" s="287">
        <v>-13045.84</v>
      </c>
      <c r="M145" s="1"/>
    </row>
    <row r="146" spans="1:13" ht="13.5" hidden="1" thickBot="1" x14ac:dyDescent="0.25">
      <c r="A146" s="130" t="s">
        <v>315</v>
      </c>
      <c r="B146" s="34">
        <f t="shared" ref="B146:K146" si="15">+B142-B143-B145</f>
        <v>0</v>
      </c>
      <c r="C146" s="34">
        <f t="shared" si="15"/>
        <v>-193</v>
      </c>
      <c r="D146" s="34">
        <f t="shared" si="15"/>
        <v>31237162</v>
      </c>
      <c r="E146" s="34">
        <f t="shared" si="15"/>
        <v>104635</v>
      </c>
      <c r="F146" s="34">
        <f t="shared" si="15"/>
        <v>21850029</v>
      </c>
      <c r="G146" s="34">
        <f t="shared" si="15"/>
        <v>21542222</v>
      </c>
      <c r="H146" s="288">
        <f t="shared" si="15"/>
        <v>0</v>
      </c>
      <c r="I146" s="288">
        <f t="shared" si="15"/>
        <v>0</v>
      </c>
      <c r="J146" s="288">
        <f t="shared" si="15"/>
        <v>0</v>
      </c>
      <c r="K146" s="288">
        <f t="shared" si="15"/>
        <v>0</v>
      </c>
      <c r="L146" s="288">
        <f>+L142-L143-L145</f>
        <v>0</v>
      </c>
      <c r="M146" s="1"/>
    </row>
    <row r="147" spans="1:13" hidden="1" x14ac:dyDescent="0.2">
      <c r="A147" s="1"/>
      <c r="B147" s="7" t="s">
        <v>81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>
        <f>'s6'!L28</f>
        <v>4701.87</v>
      </c>
      <c r="M148" s="2"/>
    </row>
    <row r="149" spans="1:13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1"/>
    </row>
    <row r="150" spans="1:13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79">
        <v>4701.87</v>
      </c>
      <c r="M150" s="1"/>
    </row>
    <row r="151" spans="1:13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</row>
    <row r="152" spans="1:13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>
        <f>ST12.65+_ST5+ST5.35</f>
        <v>19933583.870000001</v>
      </c>
      <c r="K152" s="1"/>
      <c r="L152" s="2">
        <f>+L146+L148-L150</f>
        <v>0</v>
      </c>
      <c r="M152" s="1"/>
    </row>
    <row r="153" spans="1:13" hidden="1" x14ac:dyDescent="0.2">
      <c r="A153" s="1"/>
      <c r="B153" s="1"/>
      <c r="C153" s="1"/>
      <c r="D153" s="1"/>
      <c r="E153" s="1"/>
      <c r="F153" s="1"/>
      <c r="G153" s="1"/>
      <c r="H153" s="1" t="s">
        <v>500</v>
      </c>
      <c r="I153" s="1"/>
      <c r="J153" s="232">
        <v>19933583.870000001</v>
      </c>
      <c r="K153" s="1"/>
      <c r="L153" s="1"/>
      <c r="M153" s="1"/>
    </row>
    <row r="154" spans="1:13" hidden="1" x14ac:dyDescent="0.2">
      <c r="J154" s="221">
        <f>J152-J153</f>
        <v>0</v>
      </c>
    </row>
    <row r="155" spans="1:13" hidden="1" x14ac:dyDescent="0.2"/>
    <row r="156" spans="1:13" hidden="1" x14ac:dyDescent="0.2"/>
    <row r="157" spans="1:13" hidden="1" x14ac:dyDescent="0.2"/>
    <row r="158" spans="1:13" hidden="1" x14ac:dyDescent="0.2"/>
    <row r="159" spans="1:13" hidden="1" x14ac:dyDescent="0.2"/>
    <row r="160" spans="1:13" hidden="1" x14ac:dyDescent="0.2">
      <c r="M160" s="1" t="s">
        <v>79</v>
      </c>
    </row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2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511</v>
      </c>
    </row>
    <row r="2" spans="1:7" x14ac:dyDescent="0.2">
      <c r="A2" t="s">
        <v>512</v>
      </c>
      <c r="B2" t="str">
        <f>+'s1'!$A$2</f>
        <v>NOVEMBER 2004</v>
      </c>
      <c r="C2" t="s">
        <v>563</v>
      </c>
      <c r="G2" t="s">
        <v>12</v>
      </c>
    </row>
    <row r="3" spans="1:7" x14ac:dyDescent="0.2">
      <c r="C3" t="s">
        <v>564</v>
      </c>
      <c r="D3" s="173" t="s">
        <v>559</v>
      </c>
      <c r="E3" t="s">
        <v>560</v>
      </c>
      <c r="F3" t="s">
        <v>562</v>
      </c>
      <c r="G3" t="s">
        <v>561</v>
      </c>
    </row>
    <row r="4" spans="1:7" x14ac:dyDescent="0.2">
      <c r="A4" s="256">
        <v>3921</v>
      </c>
      <c r="B4" s="257" t="s">
        <v>532</v>
      </c>
      <c r="C4" s="163">
        <f>-SUM(C6:C8)/2</f>
        <v>126049.36</v>
      </c>
      <c r="G4" s="11">
        <f>+C4+E4</f>
        <v>126049.36</v>
      </c>
    </row>
    <row r="5" spans="1:7" x14ac:dyDescent="0.2">
      <c r="A5" s="256">
        <v>3922</v>
      </c>
      <c r="B5" s="257" t="s">
        <v>533</v>
      </c>
      <c r="C5" s="163">
        <f>+C4</f>
        <v>126049.36</v>
      </c>
      <c r="G5" s="11">
        <f>+C5+E5</f>
        <v>126049.36</v>
      </c>
    </row>
    <row r="6" spans="1:7" x14ac:dyDescent="0.2">
      <c r="A6" s="256">
        <v>3924</v>
      </c>
      <c r="B6" s="257" t="s">
        <v>556</v>
      </c>
      <c r="C6" s="258">
        <f>-'s4'!C8</f>
        <v>-138687.82999999999</v>
      </c>
      <c r="E6" s="11">
        <f>-'s4'!D8</f>
        <v>-19502.349999999999</v>
      </c>
      <c r="F6" s="11">
        <f>+'s4'!F8</f>
        <v>0</v>
      </c>
      <c r="G6" s="11">
        <f>+C6+E6+F6</f>
        <v>-158190.18</v>
      </c>
    </row>
    <row r="7" spans="1:7" x14ac:dyDescent="0.2">
      <c r="A7" s="256">
        <v>3925</v>
      </c>
      <c r="B7" s="257" t="s">
        <v>557</v>
      </c>
      <c r="C7" s="258">
        <f>-'s4'!C9</f>
        <v>-54803.99</v>
      </c>
      <c r="E7" s="11">
        <f>-'s4'!D9</f>
        <v>-7708.41</v>
      </c>
      <c r="F7" s="11">
        <f>+'s4'!F9</f>
        <v>0</v>
      </c>
      <c r="G7" s="11">
        <f>+C7+E7+F7</f>
        <v>-62512.4</v>
      </c>
    </row>
    <row r="8" spans="1:7" x14ac:dyDescent="0.2">
      <c r="A8" s="256">
        <v>3926</v>
      </c>
      <c r="B8" s="257" t="s">
        <v>558</v>
      </c>
      <c r="C8" s="258">
        <f>-LessWP535</f>
        <v>-58606.9</v>
      </c>
      <c r="E8" s="11">
        <f>-'s4'!D10</f>
        <v>-8247.9699999999993</v>
      </c>
      <c r="F8" s="11">
        <f>-LessAF535</f>
        <v>-16174.16</v>
      </c>
      <c r="G8" s="11">
        <f>+C8+E8+F8</f>
        <v>-83029.03</v>
      </c>
    </row>
    <row r="9" spans="1:7" x14ac:dyDescent="0.2">
      <c r="A9" t="s">
        <v>534</v>
      </c>
      <c r="E9" s="11" t="s">
        <v>81</v>
      </c>
      <c r="G9" s="11" t="s">
        <v>81</v>
      </c>
    </row>
    <row r="10" spans="1:7" x14ac:dyDescent="0.2">
      <c r="A10" t="s">
        <v>531</v>
      </c>
      <c r="B10" t="str">
        <f>+'s1'!$A$2</f>
        <v>NOVEMBER 2004</v>
      </c>
    </row>
    <row r="11" spans="1:7" x14ac:dyDescent="0.2">
      <c r="D11" s="173"/>
    </row>
    <row r="12" spans="1:7" x14ac:dyDescent="0.2">
      <c r="A12" s="259">
        <v>3904</v>
      </c>
      <c r="B12" s="260" t="s">
        <v>513</v>
      </c>
      <c r="C12" s="260"/>
      <c r="D12" s="152">
        <f>+'s3, s3b, s3d'!E121</f>
        <v>102448.58</v>
      </c>
      <c r="E12" s="11">
        <f>-'s4'!D15-'s4'!D16</f>
        <v>0</v>
      </c>
      <c r="F12" s="152">
        <f>-SUM('s4'!F15:F16)</f>
        <v>-1327.93</v>
      </c>
      <c r="G12" s="163">
        <f>+D12+E12+F12</f>
        <v>101120.65</v>
      </c>
    </row>
    <row r="13" spans="1:7" x14ac:dyDescent="0.2">
      <c r="A13" s="259">
        <v>3905</v>
      </c>
      <c r="B13" s="260" t="s">
        <v>514</v>
      </c>
      <c r="C13" s="260"/>
      <c r="D13" s="152">
        <f>+'s3, s3b, s3d'!E122</f>
        <v>83948.29</v>
      </c>
      <c r="E13" s="11">
        <f>-'s4'!D17-'s4'!D18</f>
        <v>-1791.36</v>
      </c>
      <c r="F13" s="152">
        <f>-SUM('s4'!F17:F18)</f>
        <v>-274.95999999999998</v>
      </c>
      <c r="G13" s="163">
        <f t="shared" ref="G13:G52" si="0">+D13+E13+F13</f>
        <v>81881.97</v>
      </c>
    </row>
    <row r="14" spans="1:7" x14ac:dyDescent="0.2">
      <c r="A14" s="259">
        <v>3906</v>
      </c>
      <c r="B14" s="260" t="s">
        <v>515</v>
      </c>
      <c r="C14" s="260"/>
      <c r="D14" s="152">
        <f>+'s3, s3b, s3d'!E125</f>
        <v>1532955.38</v>
      </c>
      <c r="E14" s="11">
        <f>-'s4'!D19-'s4'!D20</f>
        <v>-1601.62</v>
      </c>
      <c r="F14" s="152">
        <f>-SUM('s4'!F19:F20)</f>
        <v>-26372.12</v>
      </c>
      <c r="G14" s="163">
        <f t="shared" si="0"/>
        <v>1504981.64</v>
      </c>
    </row>
    <row r="15" spans="1:7" x14ac:dyDescent="0.2">
      <c r="A15" s="259">
        <v>3907</v>
      </c>
      <c r="B15" s="260" t="s">
        <v>516</v>
      </c>
      <c r="C15" s="260"/>
      <c r="D15" s="152">
        <f>+'s3, s3b, s3d'!E132</f>
        <v>79183.06</v>
      </c>
      <c r="E15" s="11">
        <f>-'s4'!D21-'s4'!D22</f>
        <v>-76.39</v>
      </c>
      <c r="F15" s="152">
        <f>-SUM('s4'!F21:F22)</f>
        <v>-372.81</v>
      </c>
      <c r="G15" s="163">
        <f t="shared" si="0"/>
        <v>78733.86</v>
      </c>
    </row>
    <row r="16" spans="1:7" x14ac:dyDescent="0.2">
      <c r="A16" s="259">
        <v>3908</v>
      </c>
      <c r="B16" s="260" t="s">
        <v>517</v>
      </c>
      <c r="C16" s="260"/>
      <c r="D16" s="152">
        <f>+'s3, s3b, s3d'!E133</f>
        <v>186847.82</v>
      </c>
      <c r="E16" s="11">
        <f>-'s4'!D23-'s4'!D24</f>
        <v>-1107.8399999999999</v>
      </c>
      <c r="F16" s="152">
        <f>-SUM('s4'!F23:F24)</f>
        <v>-409.4</v>
      </c>
      <c r="G16" s="163">
        <f t="shared" si="0"/>
        <v>185330.58</v>
      </c>
    </row>
    <row r="17" spans="1:7" x14ac:dyDescent="0.2">
      <c r="A17" s="259">
        <v>3909</v>
      </c>
      <c r="B17" s="260" t="s">
        <v>518</v>
      </c>
      <c r="C17" s="260"/>
      <c r="D17" s="152">
        <f>+'s3, s3b, s3d'!E139</f>
        <v>46107.91</v>
      </c>
      <c r="E17" s="11">
        <f>-'s4'!D25-'s4'!D26</f>
        <v>0</v>
      </c>
      <c r="F17" s="152">
        <f>-SUM('s4'!F25:F26)</f>
        <v>-6.05</v>
      </c>
      <c r="G17" s="163">
        <f t="shared" si="0"/>
        <v>46101.86</v>
      </c>
    </row>
    <row r="18" spans="1:7" x14ac:dyDescent="0.2">
      <c r="A18" s="259">
        <v>3910</v>
      </c>
      <c r="B18" s="260" t="s">
        <v>519</v>
      </c>
      <c r="C18" s="260"/>
      <c r="D18" s="152">
        <f>+'s3, s3b, s3d'!E140</f>
        <v>59838.080000000002</v>
      </c>
      <c r="E18" s="11">
        <f>-'s4'!D27-'s4'!D28</f>
        <v>-387.11</v>
      </c>
      <c r="F18" s="152">
        <f>-SUM('s4'!F27:F28)</f>
        <v>-20.8</v>
      </c>
      <c r="G18" s="163">
        <f t="shared" si="0"/>
        <v>59430.17</v>
      </c>
    </row>
    <row r="19" spans="1:7" x14ac:dyDescent="0.2">
      <c r="A19" s="259">
        <v>3911</v>
      </c>
      <c r="B19" s="260" t="s">
        <v>520</v>
      </c>
      <c r="C19" s="260"/>
      <c r="D19" s="152">
        <f>+'s3, s3b, s3d'!E141</f>
        <v>118884.74</v>
      </c>
      <c r="E19" s="11">
        <f>-'s4'!D29-'s4'!D30</f>
        <v>-1569.28</v>
      </c>
      <c r="F19" s="152">
        <f>-SUM('s4'!F29:F30)</f>
        <v>-453.83</v>
      </c>
      <c r="G19" s="163">
        <f t="shared" si="0"/>
        <v>116861.63</v>
      </c>
    </row>
    <row r="20" spans="1:7" x14ac:dyDescent="0.2">
      <c r="A20" s="259">
        <v>3912</v>
      </c>
      <c r="B20" s="260" t="s">
        <v>521</v>
      </c>
      <c r="C20" s="260"/>
      <c r="D20" s="152">
        <f>+'s3, s3b, s3d'!E144</f>
        <v>78185.81</v>
      </c>
      <c r="E20" s="11">
        <f>-'s4'!D31-'s4'!D32</f>
        <v>-300.08</v>
      </c>
      <c r="F20" s="152">
        <f>-SUM('s4'!F31:F32)</f>
        <v>-101.93</v>
      </c>
      <c r="G20" s="163">
        <f t="shared" si="0"/>
        <v>77783.8</v>
      </c>
    </row>
    <row r="21" spans="1:7" x14ac:dyDescent="0.2">
      <c r="A21" s="259">
        <v>3913</v>
      </c>
      <c r="B21" s="260" t="s">
        <v>522</v>
      </c>
      <c r="C21" s="260"/>
      <c r="D21" s="152">
        <f>+'s3, s3b, s3d'!E147</f>
        <v>125906.15</v>
      </c>
      <c r="E21" s="11">
        <f>-'s4'!D33-'s4'!D34</f>
        <v>0</v>
      </c>
      <c r="F21" s="152">
        <f>-SUM('s4'!F33:F34)</f>
        <v>-44.68</v>
      </c>
      <c r="G21" s="163">
        <f t="shared" si="0"/>
        <v>125861.47</v>
      </c>
    </row>
    <row r="22" spans="1:7" x14ac:dyDescent="0.2">
      <c r="A22" s="259">
        <v>3914</v>
      </c>
      <c r="B22" s="260" t="s">
        <v>523</v>
      </c>
      <c r="C22" s="260"/>
      <c r="D22" s="152">
        <f>+'s3, s3b, s3d'!E150</f>
        <v>66365.48</v>
      </c>
      <c r="E22" s="11">
        <f>-'s4'!D35-'s4'!D36</f>
        <v>-191.79</v>
      </c>
      <c r="F22" s="152">
        <f>-SUM('s4'!F35:F36)</f>
        <v>-657.09</v>
      </c>
      <c r="G22" s="163">
        <f t="shared" si="0"/>
        <v>65516.6</v>
      </c>
    </row>
    <row r="23" spans="1:7" x14ac:dyDescent="0.2">
      <c r="A23" s="259">
        <v>3915</v>
      </c>
      <c r="B23" s="260" t="s">
        <v>524</v>
      </c>
      <c r="C23" s="260"/>
      <c r="D23" s="152">
        <f>+'s3, s3b, s3d'!E154</f>
        <v>45579.4</v>
      </c>
      <c r="E23" s="11">
        <f>-'s4'!D37-'s4'!D38</f>
        <v>-3501.93</v>
      </c>
      <c r="F23" s="152">
        <f>-SUM('s4'!F37:F38)</f>
        <v>-109.95</v>
      </c>
      <c r="G23" s="163">
        <f t="shared" si="0"/>
        <v>41967.519999999997</v>
      </c>
    </row>
    <row r="24" spans="1:7" x14ac:dyDescent="0.2">
      <c r="A24" s="259">
        <v>3916</v>
      </c>
      <c r="B24" s="260" t="s">
        <v>525</v>
      </c>
      <c r="C24" s="260"/>
      <c r="D24" s="152">
        <f>+'s3, s3b, s3d'!E155</f>
        <v>208730.3</v>
      </c>
      <c r="E24" s="11">
        <f>-'s4'!D39-'s4'!D40</f>
        <v>-450.85</v>
      </c>
      <c r="F24" s="152">
        <f>-SUM('s4'!F39:F40)</f>
        <v>-374.81</v>
      </c>
      <c r="G24" s="163">
        <f t="shared" si="0"/>
        <v>207904.64000000001</v>
      </c>
    </row>
    <row r="25" spans="1:7" x14ac:dyDescent="0.2">
      <c r="A25" s="259">
        <v>3917</v>
      </c>
      <c r="B25" s="260" t="s">
        <v>526</v>
      </c>
      <c r="C25" s="260"/>
      <c r="D25" s="152">
        <f>+'s3, s3b, s3d'!E160</f>
        <v>84668.94</v>
      </c>
      <c r="E25" s="11">
        <f>-'s4'!D41-'s4'!D42</f>
        <v>-454.71</v>
      </c>
      <c r="F25" s="152">
        <f>-SUM('s4'!F41:F42)</f>
        <v>-92.86</v>
      </c>
      <c r="G25" s="163">
        <f t="shared" si="0"/>
        <v>84121.37</v>
      </c>
    </row>
    <row r="26" spans="1:7" x14ac:dyDescent="0.2">
      <c r="A26" s="259">
        <v>3918</v>
      </c>
      <c r="B26" s="260" t="s">
        <v>527</v>
      </c>
      <c r="C26" s="260"/>
      <c r="D26" s="152">
        <f>+'s3, s3b, s3d'!E163</f>
        <v>7029.04</v>
      </c>
      <c r="E26" s="11">
        <f>-'s4'!D43-'s4'!D44</f>
        <v>0</v>
      </c>
      <c r="F26" s="152">
        <f>-SUM('s4'!F43:F44)</f>
        <v>-5.01</v>
      </c>
      <c r="G26" s="163">
        <f t="shared" si="0"/>
        <v>7024.03</v>
      </c>
    </row>
    <row r="27" spans="1:7" x14ac:dyDescent="0.2">
      <c r="A27" s="259">
        <v>3919</v>
      </c>
      <c r="B27" s="260" t="s">
        <v>528</v>
      </c>
      <c r="C27" s="260"/>
      <c r="D27" s="152">
        <f>+'s3, s3b, s3d'!E164</f>
        <v>368485.78</v>
      </c>
      <c r="E27" s="11">
        <f>-'s4'!D45-'s4'!D46</f>
        <v>-1059.3699999999999</v>
      </c>
      <c r="F27" s="152">
        <f>-SUM('s4'!F45:F46)</f>
        <v>-6665.51</v>
      </c>
      <c r="G27" s="163">
        <f t="shared" si="0"/>
        <v>360760.9</v>
      </c>
    </row>
    <row r="28" spans="1:7" x14ac:dyDescent="0.2">
      <c r="A28" s="259">
        <v>3920</v>
      </c>
      <c r="B28" s="260" t="s">
        <v>529</v>
      </c>
      <c r="C28" s="260"/>
      <c r="D28" s="152">
        <f>+'s3, s3b, s3d'!E168</f>
        <v>114569.13</v>
      </c>
      <c r="E28" s="11">
        <f>-'s4'!D47-'s4'!D48</f>
        <v>-902.38</v>
      </c>
      <c r="F28" s="152">
        <f>-SUM('s4'!F47:F48)</f>
        <v>-171.82</v>
      </c>
      <c r="G28" s="163">
        <f t="shared" si="0"/>
        <v>113494.93</v>
      </c>
    </row>
    <row r="29" spans="1:7" x14ac:dyDescent="0.2">
      <c r="A29" s="261">
        <v>3940</v>
      </c>
      <c r="B29" s="257" t="s">
        <v>535</v>
      </c>
      <c r="C29" s="257"/>
      <c r="D29" s="152">
        <f>+'s3, s3b, s3d'!E123</f>
        <v>9328.14</v>
      </c>
      <c r="G29" s="163">
        <f t="shared" si="0"/>
        <v>9328.14</v>
      </c>
    </row>
    <row r="30" spans="1:7" x14ac:dyDescent="0.2">
      <c r="A30" s="261">
        <v>3941</v>
      </c>
      <c r="B30" s="257" t="s">
        <v>536</v>
      </c>
      <c r="C30" s="257"/>
      <c r="D30" s="152">
        <f>+'s3, s3b, s3d'!E126</f>
        <v>22005.63</v>
      </c>
      <c r="G30" s="163">
        <f t="shared" si="0"/>
        <v>22005.63</v>
      </c>
    </row>
    <row r="31" spans="1:7" x14ac:dyDescent="0.2">
      <c r="A31" s="261">
        <v>3942</v>
      </c>
      <c r="B31" s="257" t="s">
        <v>537</v>
      </c>
      <c r="C31" s="257"/>
      <c r="D31" s="152">
        <f>+'s3, s3b, s3d'!E127</f>
        <v>233448.89</v>
      </c>
      <c r="G31" s="163">
        <f t="shared" si="0"/>
        <v>233448.89</v>
      </c>
    </row>
    <row r="32" spans="1:7" x14ac:dyDescent="0.2">
      <c r="A32" s="261">
        <v>3943</v>
      </c>
      <c r="B32" s="257" t="s">
        <v>538</v>
      </c>
      <c r="C32" s="257"/>
      <c r="D32" s="152">
        <f>+'s3, s3b, s3d'!E128</f>
        <v>443611.41</v>
      </c>
      <c r="G32" s="163">
        <f t="shared" si="0"/>
        <v>443611.41</v>
      </c>
    </row>
    <row r="33" spans="1:7" x14ac:dyDescent="0.2">
      <c r="A33" s="261">
        <v>3944</v>
      </c>
      <c r="B33" s="257" t="s">
        <v>539</v>
      </c>
      <c r="C33" s="257"/>
      <c r="D33" s="152">
        <f>+'s3, s3b, s3d'!E129</f>
        <v>12410.28</v>
      </c>
      <c r="G33" s="163">
        <f t="shared" si="0"/>
        <v>12410.28</v>
      </c>
    </row>
    <row r="34" spans="1:7" x14ac:dyDescent="0.2">
      <c r="A34" s="261">
        <v>3945</v>
      </c>
      <c r="B34" s="257" t="s">
        <v>540</v>
      </c>
      <c r="C34" s="257"/>
      <c r="D34" s="152">
        <f>+'s3, s3b, s3d'!E130</f>
        <v>127580.21</v>
      </c>
      <c r="G34" s="163">
        <f t="shared" si="0"/>
        <v>127580.21</v>
      </c>
    </row>
    <row r="35" spans="1:7" x14ac:dyDescent="0.2">
      <c r="A35" s="261">
        <v>3946</v>
      </c>
      <c r="B35" s="257" t="s">
        <v>541</v>
      </c>
      <c r="C35" s="257"/>
      <c r="D35" s="152">
        <f>+'s3, s3b, s3d'!E134</f>
        <v>3017.01</v>
      </c>
      <c r="G35" s="163">
        <f t="shared" si="0"/>
        <v>3017.01</v>
      </c>
    </row>
    <row r="36" spans="1:7" x14ac:dyDescent="0.2">
      <c r="A36" s="261">
        <v>3947</v>
      </c>
      <c r="B36" s="257" t="s">
        <v>542</v>
      </c>
      <c r="C36" s="257"/>
      <c r="D36" s="152">
        <f>+'s3, s3b, s3d'!E135</f>
        <v>30945.89</v>
      </c>
      <c r="G36" s="163">
        <f t="shared" si="0"/>
        <v>30945.89</v>
      </c>
    </row>
    <row r="37" spans="1:7" x14ac:dyDescent="0.2">
      <c r="A37" s="261">
        <v>3948</v>
      </c>
      <c r="B37" s="257" t="s">
        <v>543</v>
      </c>
      <c r="C37" s="257"/>
      <c r="D37" s="152">
        <f>+'s3, s3b, s3d'!E136</f>
        <v>2470.91</v>
      </c>
      <c r="G37" s="163">
        <f t="shared" si="0"/>
        <v>2470.91</v>
      </c>
    </row>
    <row r="38" spans="1:7" x14ac:dyDescent="0.2">
      <c r="A38" s="261">
        <v>3949</v>
      </c>
      <c r="B38" s="257" t="s">
        <v>544</v>
      </c>
      <c r="C38" s="257"/>
      <c r="D38" s="152">
        <f>+'s3, s3b, s3d'!E137</f>
        <v>7398.76</v>
      </c>
      <c r="G38" s="163">
        <f t="shared" si="0"/>
        <v>7398.76</v>
      </c>
    </row>
    <row r="39" spans="1:7" x14ac:dyDescent="0.2">
      <c r="A39" s="261">
        <v>3950</v>
      </c>
      <c r="B39" s="257" t="s">
        <v>545</v>
      </c>
      <c r="C39" s="257"/>
      <c r="D39" s="152">
        <f>+'s3, s3b, s3d'!E142</f>
        <v>15760</v>
      </c>
      <c r="G39" s="163">
        <f t="shared" si="0"/>
        <v>15760</v>
      </c>
    </row>
    <row r="40" spans="1:7" x14ac:dyDescent="0.2">
      <c r="A40" s="261">
        <v>3951</v>
      </c>
      <c r="B40" s="257" t="s">
        <v>546</v>
      </c>
      <c r="C40" s="257"/>
      <c r="D40" s="152">
        <f>+'s3, s3b, s3d'!E145</f>
        <v>38.44</v>
      </c>
      <c r="G40" s="163">
        <f t="shared" si="0"/>
        <v>38.44</v>
      </c>
    </row>
    <row r="41" spans="1:7" x14ac:dyDescent="0.2">
      <c r="A41" s="261">
        <v>3952</v>
      </c>
      <c r="B41" s="257" t="s">
        <v>547</v>
      </c>
      <c r="C41" s="257"/>
      <c r="D41" s="152">
        <f>+'s3, s3b, s3d'!E148</f>
        <v>7502.64</v>
      </c>
      <c r="G41" s="163">
        <f t="shared" si="0"/>
        <v>7502.64</v>
      </c>
    </row>
    <row r="42" spans="1:7" x14ac:dyDescent="0.2">
      <c r="A42" s="261">
        <v>3953</v>
      </c>
      <c r="B42" s="257" t="s">
        <v>548</v>
      </c>
      <c r="C42" s="257"/>
      <c r="D42" s="152">
        <f>+'s3, s3b, s3d'!E152</f>
        <v>13690.67</v>
      </c>
      <c r="G42" s="163">
        <f t="shared" si="0"/>
        <v>13690.67</v>
      </c>
    </row>
    <row r="43" spans="1:7" x14ac:dyDescent="0.2">
      <c r="A43" s="261">
        <v>3954</v>
      </c>
      <c r="B43" s="257" t="s">
        <v>549</v>
      </c>
      <c r="C43" s="257"/>
      <c r="D43" s="152">
        <f>+'s3, s3b, s3d'!E151</f>
        <v>2988.68</v>
      </c>
      <c r="G43" s="163">
        <f t="shared" si="0"/>
        <v>2988.68</v>
      </c>
    </row>
    <row r="44" spans="1:7" x14ac:dyDescent="0.2">
      <c r="A44" s="261">
        <v>3955</v>
      </c>
      <c r="B44" s="257" t="s">
        <v>550</v>
      </c>
      <c r="C44" s="257"/>
      <c r="D44" s="152">
        <f>+'s3, s3b, s3d'!E156</f>
        <v>20906.060000000001</v>
      </c>
      <c r="G44" s="163">
        <f t="shared" si="0"/>
        <v>20906.060000000001</v>
      </c>
    </row>
    <row r="45" spans="1:7" x14ac:dyDescent="0.2">
      <c r="A45" s="261">
        <v>3956</v>
      </c>
      <c r="B45" s="257" t="s">
        <v>586</v>
      </c>
      <c r="C45" s="257"/>
      <c r="D45" s="152">
        <f>+'s3, s3b, s3d'!E157</f>
        <v>4684.29</v>
      </c>
      <c r="G45" s="163">
        <f t="shared" si="0"/>
        <v>4684.29</v>
      </c>
    </row>
    <row r="46" spans="1:7" x14ac:dyDescent="0.2">
      <c r="A46" s="261">
        <v>3957</v>
      </c>
      <c r="B46" s="257" t="s">
        <v>551</v>
      </c>
      <c r="C46" s="257"/>
      <c r="D46" s="152">
        <f>+'s3, s3b, s3d'!E158</f>
        <v>808.52</v>
      </c>
      <c r="G46" s="163">
        <f t="shared" si="0"/>
        <v>808.52</v>
      </c>
    </row>
    <row r="47" spans="1:7" x14ac:dyDescent="0.2">
      <c r="A47" s="261">
        <v>3958</v>
      </c>
      <c r="B47" s="257" t="s">
        <v>552</v>
      </c>
      <c r="C47" s="257"/>
      <c r="D47" s="152">
        <f>+'s3, s3b, s3d'!E161</f>
        <v>6396.28</v>
      </c>
      <c r="G47" s="163">
        <f t="shared" si="0"/>
        <v>6396.28</v>
      </c>
    </row>
    <row r="48" spans="1:7" x14ac:dyDescent="0.2">
      <c r="A48" s="261">
        <v>3959</v>
      </c>
      <c r="B48" s="257" t="s">
        <v>553</v>
      </c>
      <c r="C48" s="257"/>
      <c r="D48" s="152">
        <f>+'s3, s3b, s3d'!E165</f>
        <v>193855.73</v>
      </c>
      <c r="G48" s="163">
        <f t="shared" si="0"/>
        <v>193855.73</v>
      </c>
    </row>
    <row r="49" spans="1:7" x14ac:dyDescent="0.2">
      <c r="A49" s="261">
        <v>3960</v>
      </c>
      <c r="B49" s="257" t="s">
        <v>554</v>
      </c>
      <c r="C49" s="257"/>
      <c r="D49" s="152">
        <f>+'s3, s3b, s3d'!E166</f>
        <v>69753.78</v>
      </c>
      <c r="G49" s="163">
        <f t="shared" si="0"/>
        <v>69753.78</v>
      </c>
    </row>
    <row r="50" spans="1:7" x14ac:dyDescent="0.2">
      <c r="A50" s="261">
        <v>3961</v>
      </c>
      <c r="B50" s="257" t="s">
        <v>555</v>
      </c>
      <c r="C50" s="257"/>
      <c r="D50" s="152">
        <f>+'s3, s3b, s3d'!E169</f>
        <v>12709.46</v>
      </c>
      <c r="G50" s="163">
        <f t="shared" si="0"/>
        <v>12709.46</v>
      </c>
    </row>
    <row r="51" spans="1:7" x14ac:dyDescent="0.2">
      <c r="A51" s="259">
        <v>3926</v>
      </c>
      <c r="B51" s="260" t="s">
        <v>558</v>
      </c>
      <c r="C51" s="260"/>
      <c r="D51" s="152">
        <f>-SUM(D11:D50)</f>
        <v>-4551045.57</v>
      </c>
      <c r="G51" s="163">
        <f t="shared" si="0"/>
        <v>-4551045.57</v>
      </c>
    </row>
    <row r="52" spans="1:7" x14ac:dyDescent="0.2">
      <c r="A52" s="281">
        <v>3999</v>
      </c>
      <c r="B52" s="281" t="s">
        <v>585</v>
      </c>
      <c r="C52" s="281"/>
      <c r="D52" s="282"/>
      <c r="E52" s="283">
        <f>-SUM(E6:E28)</f>
        <v>48853.440000000002</v>
      </c>
      <c r="F52" s="276"/>
      <c r="G52" s="163">
        <f t="shared" si="0"/>
        <v>48853.440000000002</v>
      </c>
    </row>
    <row r="53" spans="1:7" x14ac:dyDescent="0.2">
      <c r="A53" s="256">
        <v>3923</v>
      </c>
      <c r="B53" s="256" t="s">
        <v>530</v>
      </c>
      <c r="C53" s="256"/>
      <c r="F53" s="152">
        <f>-SUM(F6:F28)</f>
        <v>53635.72</v>
      </c>
      <c r="G53" s="163">
        <f>+F53</f>
        <v>53635.72</v>
      </c>
    </row>
    <row r="54" spans="1:7" x14ac:dyDescent="0.2">
      <c r="C54" s="152">
        <f>SUM(C4:C53)</f>
        <v>0</v>
      </c>
      <c r="D54" s="152">
        <f>SUM(D4:D53)</f>
        <v>0</v>
      </c>
      <c r="E54" s="152">
        <f>SUM(E4:E53)</f>
        <v>0</v>
      </c>
      <c r="F54" s="152">
        <f>SUM(F4:F53)</f>
        <v>0</v>
      </c>
      <c r="G54" s="152">
        <f>+C54+D54+E54+F54</f>
        <v>0</v>
      </c>
    </row>
    <row r="55" spans="1:7" ht="13.5" thickBot="1" x14ac:dyDescent="0.25">
      <c r="F55" t="s">
        <v>587</v>
      </c>
      <c r="G55" s="284">
        <f>SUM(G4:G53)</f>
        <v>0</v>
      </c>
    </row>
    <row r="56" spans="1:7" ht="13.5" thickTop="1" x14ac:dyDescent="0.2"/>
    <row r="57" spans="1:7" x14ac:dyDescent="0.2">
      <c r="A57" s="257"/>
      <c r="B57" s="257"/>
      <c r="C57" s="257"/>
    </row>
    <row r="58" spans="1:7" x14ac:dyDescent="0.2">
      <c r="A58" s="257"/>
      <c r="B58" s="257"/>
      <c r="C58" s="257"/>
    </row>
    <row r="60" spans="1:7" x14ac:dyDescent="0.2">
      <c r="A60" s="256"/>
      <c r="B60" s="256"/>
      <c r="C60" s="256"/>
    </row>
    <row r="61" spans="1:7" x14ac:dyDescent="0.2">
      <c r="A61" s="256"/>
      <c r="B61" s="256"/>
      <c r="C61" s="256"/>
    </row>
    <row r="62" spans="1:7" x14ac:dyDescent="0.2">
      <c r="A62" s="256"/>
      <c r="B62" s="256"/>
      <c r="C62" s="256"/>
    </row>
    <row r="63" spans="1:7" x14ac:dyDescent="0.2">
      <c r="A63" s="256"/>
      <c r="B63" s="256"/>
      <c r="C63" s="256"/>
    </row>
    <row r="64" spans="1:7" x14ac:dyDescent="0.2">
      <c r="A64" s="256"/>
      <c r="B64" s="256"/>
      <c r="C64" s="256"/>
    </row>
    <row r="65" spans="1:3" x14ac:dyDescent="0.2">
      <c r="A65" s="256"/>
      <c r="B65" s="256"/>
      <c r="C65" s="256"/>
    </row>
    <row r="66" spans="1:3" x14ac:dyDescent="0.2">
      <c r="A66" s="256"/>
      <c r="B66" s="256"/>
      <c r="C66" s="256"/>
    </row>
    <row r="67" spans="1:3" x14ac:dyDescent="0.2">
      <c r="A67" s="256"/>
      <c r="B67" s="256"/>
      <c r="C67" s="256"/>
    </row>
    <row r="68" spans="1:3" x14ac:dyDescent="0.2">
      <c r="A68" s="256"/>
      <c r="B68" s="256"/>
      <c r="C68" s="256"/>
    </row>
    <row r="69" spans="1:3" x14ac:dyDescent="0.2">
      <c r="A69" s="256"/>
      <c r="B69" s="256"/>
      <c r="C69" s="256"/>
    </row>
    <row r="70" spans="1:3" x14ac:dyDescent="0.2">
      <c r="A70" s="256"/>
      <c r="B70" s="256"/>
      <c r="C70" s="256"/>
    </row>
    <row r="71" spans="1:3" x14ac:dyDescent="0.2">
      <c r="A71" s="256"/>
      <c r="B71" s="256"/>
      <c r="C71" s="256"/>
    </row>
    <row r="72" spans="1:3" x14ac:dyDescent="0.2">
      <c r="A72" s="256"/>
      <c r="B72" s="256"/>
      <c r="C72" s="256"/>
    </row>
    <row r="73" spans="1:3" x14ac:dyDescent="0.2">
      <c r="A73" s="256"/>
      <c r="B73" s="256"/>
      <c r="C73" s="256"/>
    </row>
    <row r="74" spans="1:3" x14ac:dyDescent="0.2">
      <c r="A74" s="256"/>
      <c r="B74" s="256"/>
      <c r="C74" s="256"/>
    </row>
    <row r="75" spans="1:3" x14ac:dyDescent="0.2">
      <c r="A75" s="256"/>
      <c r="B75" s="256"/>
      <c r="C75" s="256"/>
    </row>
    <row r="76" spans="1:3" x14ac:dyDescent="0.2">
      <c r="A76" s="256"/>
      <c r="B76" s="256"/>
      <c r="C76" s="256"/>
    </row>
    <row r="81" spans="2:3" x14ac:dyDescent="0.2">
      <c r="B81" s="257"/>
      <c r="C81" s="257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9"/>
  <sheetViews>
    <sheetView workbookViewId="0">
      <selection activeCell="A48" sqref="A48"/>
    </sheetView>
  </sheetViews>
  <sheetFormatPr defaultRowHeight="12.75" x14ac:dyDescent="0.2"/>
  <cols>
    <col min="1" max="1" width="2.7109375" customWidth="1"/>
    <col min="2" max="2" width="6.28515625" customWidth="1"/>
    <col min="3" max="3" width="33.28515625" customWidth="1"/>
    <col min="4" max="4" width="15.28515625" hidden="1" customWidth="1"/>
    <col min="5" max="5" width="2.85546875" customWidth="1"/>
    <col min="7" max="7" width="35.28515625" customWidth="1"/>
    <col min="8" max="8" width="14" hidden="1" customWidth="1"/>
  </cols>
  <sheetData>
    <row r="1" spans="1:8" ht="15.75" x14ac:dyDescent="0.25">
      <c r="A1" s="63" t="s">
        <v>0</v>
      </c>
      <c r="C1" s="1"/>
      <c r="D1" s="1"/>
      <c r="E1" s="1"/>
    </row>
    <row r="2" spans="1:8" ht="15.75" x14ac:dyDescent="0.25">
      <c r="A2" s="117" t="str">
        <f>ReportMonth</f>
        <v>NOVEMBER 2004</v>
      </c>
      <c r="C2" s="1"/>
      <c r="D2" s="1"/>
      <c r="E2" s="1"/>
    </row>
    <row r="3" spans="1:8" ht="15.75" x14ac:dyDescent="0.25">
      <c r="A3" s="96" t="s">
        <v>80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5"/>
      <c r="C4" s="106"/>
      <c r="D4" s="106"/>
      <c r="E4" s="106"/>
      <c r="F4" s="247"/>
      <c r="G4" s="248"/>
    </row>
    <row r="5" spans="1:8" ht="19.5" customHeight="1" x14ac:dyDescent="0.2">
      <c r="A5" s="104"/>
      <c r="B5" s="43"/>
      <c r="C5" s="42" t="s">
        <v>510</v>
      </c>
      <c r="D5" s="42"/>
      <c r="E5" s="42"/>
      <c r="F5" s="43"/>
      <c r="G5" s="43"/>
    </row>
    <row r="6" spans="1:8" ht="9" customHeight="1" x14ac:dyDescent="0.2">
      <c r="A6" s="103"/>
      <c r="B6" s="43"/>
      <c r="C6" s="42"/>
      <c r="D6" s="1"/>
      <c r="E6" s="1"/>
    </row>
    <row r="7" spans="1:8" ht="12.75" customHeight="1" x14ac:dyDescent="0.2"/>
    <row r="8" spans="1:8" ht="12.75" customHeight="1" x14ac:dyDescent="0.2">
      <c r="A8" t="s">
        <v>507</v>
      </c>
      <c r="B8" s="20">
        <v>14527</v>
      </c>
      <c r="C8" s="20" t="s">
        <v>469</v>
      </c>
      <c r="D8" s="249"/>
    </row>
    <row r="9" spans="1:8" x14ac:dyDescent="0.2">
      <c r="A9" s="1" t="s">
        <v>507</v>
      </c>
      <c r="B9" s="20">
        <v>13420</v>
      </c>
      <c r="C9" s="20" t="s">
        <v>471</v>
      </c>
      <c r="D9" s="20"/>
    </row>
    <row r="10" spans="1:8" x14ac:dyDescent="0.2">
      <c r="A10" s="1"/>
      <c r="B10" s="20">
        <v>14919</v>
      </c>
      <c r="C10" s="20" t="s">
        <v>589</v>
      </c>
      <c r="D10" s="20"/>
    </row>
    <row r="11" spans="1:8" x14ac:dyDescent="0.2">
      <c r="A11" s="1"/>
      <c r="B11" s="20">
        <v>14858</v>
      </c>
      <c r="C11" s="20" t="s">
        <v>472</v>
      </c>
      <c r="D11" s="20"/>
      <c r="H11" t="s">
        <v>470</v>
      </c>
    </row>
    <row r="12" spans="1:8" x14ac:dyDescent="0.2">
      <c r="A12" s="1"/>
      <c r="B12" s="20">
        <v>14542</v>
      </c>
      <c r="C12" s="20" t="s">
        <v>473</v>
      </c>
      <c r="D12" s="20"/>
    </row>
    <row r="13" spans="1:8" x14ac:dyDescent="0.2">
      <c r="A13" s="1"/>
      <c r="B13" s="20">
        <v>13428</v>
      </c>
      <c r="C13" s="20" t="s">
        <v>474</v>
      </c>
      <c r="D13" s="20"/>
      <c r="H13" t="s">
        <v>470</v>
      </c>
    </row>
    <row r="14" spans="1:8" x14ac:dyDescent="0.2">
      <c r="A14" s="1"/>
      <c r="B14" s="20">
        <v>14543</v>
      </c>
      <c r="C14" s="20" t="s">
        <v>590</v>
      </c>
      <c r="D14" s="20"/>
    </row>
    <row r="15" spans="1:8" x14ac:dyDescent="0.2">
      <c r="A15" s="1"/>
      <c r="B15" s="20">
        <v>13663</v>
      </c>
      <c r="C15" s="20" t="s">
        <v>627</v>
      </c>
      <c r="D15" s="20"/>
    </row>
    <row r="16" spans="1:8" x14ac:dyDescent="0.2">
      <c r="A16" s="1" t="s">
        <v>507</v>
      </c>
      <c r="B16" s="20">
        <v>14549</v>
      </c>
      <c r="C16" s="20" t="s">
        <v>626</v>
      </c>
      <c r="D16" s="20"/>
    </row>
    <row r="17" spans="1:8" x14ac:dyDescent="0.2">
      <c r="A17" s="1" t="s">
        <v>507</v>
      </c>
      <c r="B17" s="20">
        <v>14917</v>
      </c>
      <c r="C17" s="20" t="s">
        <v>457</v>
      </c>
      <c r="D17" s="20"/>
      <c r="H17" t="s">
        <v>470</v>
      </c>
    </row>
    <row r="18" spans="1:8" x14ac:dyDescent="0.2">
      <c r="A18" s="1" t="s">
        <v>507</v>
      </c>
      <c r="B18" s="20">
        <v>14323</v>
      </c>
      <c r="C18" s="20" t="s">
        <v>357</v>
      </c>
      <c r="D18" s="20"/>
    </row>
    <row r="19" spans="1:8" x14ac:dyDescent="0.2">
      <c r="A19" s="1"/>
      <c r="B19" s="20">
        <v>14887</v>
      </c>
      <c r="C19" s="20" t="s">
        <v>798</v>
      </c>
      <c r="D19" s="20"/>
    </row>
    <row r="20" spans="1:8" x14ac:dyDescent="0.2">
      <c r="A20" s="1"/>
      <c r="B20" s="20">
        <v>13889</v>
      </c>
      <c r="C20" s="20" t="s">
        <v>591</v>
      </c>
      <c r="D20" s="20"/>
    </row>
    <row r="21" spans="1:8" x14ac:dyDescent="0.2">
      <c r="A21" s="1"/>
      <c r="B21" s="20">
        <v>13882</v>
      </c>
      <c r="C21" s="20" t="s">
        <v>504</v>
      </c>
      <c r="D21" s="20"/>
      <c r="H21" t="s">
        <v>470</v>
      </c>
    </row>
    <row r="22" spans="1:8" x14ac:dyDescent="0.2">
      <c r="A22" s="1"/>
      <c r="B22" s="20">
        <v>13441</v>
      </c>
      <c r="C22" s="20" t="s">
        <v>629</v>
      </c>
      <c r="D22" s="20"/>
      <c r="E22" s="20"/>
      <c r="F22" s="20"/>
    </row>
    <row r="23" spans="1:8" x14ac:dyDescent="0.2">
      <c r="A23" s="1"/>
      <c r="B23" s="20">
        <v>13447</v>
      </c>
      <c r="C23" s="20" t="s">
        <v>630</v>
      </c>
      <c r="D23" s="20"/>
      <c r="E23" s="20"/>
      <c r="F23" s="20"/>
    </row>
    <row r="24" spans="1:8" x14ac:dyDescent="0.2">
      <c r="A24" s="1"/>
      <c r="B24" s="20">
        <v>14884</v>
      </c>
      <c r="C24" s="20" t="s">
        <v>799</v>
      </c>
      <c r="D24" s="20"/>
      <c r="E24" s="20"/>
      <c r="F24" s="20"/>
    </row>
    <row r="25" spans="1:8" x14ac:dyDescent="0.2">
      <c r="A25" s="1"/>
      <c r="B25" s="20">
        <v>14561</v>
      </c>
      <c r="C25" s="20" t="s">
        <v>800</v>
      </c>
      <c r="D25" s="20"/>
      <c r="E25" s="20"/>
      <c r="F25" s="20"/>
    </row>
    <row r="26" spans="1:8" x14ac:dyDescent="0.2">
      <c r="A26" s="1"/>
      <c r="B26" s="20">
        <v>26643</v>
      </c>
      <c r="C26" s="20" t="s">
        <v>801</v>
      </c>
      <c r="D26" s="20"/>
      <c r="E26" s="20"/>
      <c r="F26" s="20"/>
    </row>
    <row r="27" spans="1:8" x14ac:dyDescent="0.2">
      <c r="A27" s="1" t="s">
        <v>507</v>
      </c>
      <c r="B27" s="20">
        <v>14245</v>
      </c>
      <c r="C27" s="20" t="s">
        <v>475</v>
      </c>
      <c r="D27" s="20"/>
      <c r="E27" s="20"/>
      <c r="F27" s="20"/>
    </row>
    <row r="28" spans="1:8" x14ac:dyDescent="0.2">
      <c r="A28" s="1"/>
      <c r="B28" s="252">
        <v>14321</v>
      </c>
      <c r="C28" s="20" t="s">
        <v>476</v>
      </c>
      <c r="D28" s="20"/>
      <c r="E28" s="20"/>
      <c r="F28" s="20"/>
    </row>
    <row r="29" spans="1:8" x14ac:dyDescent="0.2">
      <c r="A29" s="1" t="s">
        <v>507</v>
      </c>
      <c r="B29" s="252">
        <v>14813</v>
      </c>
      <c r="C29" s="20" t="s">
        <v>802</v>
      </c>
      <c r="D29" s="20"/>
      <c r="E29" s="20"/>
      <c r="F29" s="20"/>
    </row>
    <row r="30" spans="1:8" x14ac:dyDescent="0.2">
      <c r="A30" s="1"/>
      <c r="B30" s="250">
        <v>14814</v>
      </c>
      <c r="C30" s="246" t="s">
        <v>490</v>
      </c>
    </row>
    <row r="31" spans="1:8" x14ac:dyDescent="0.2">
      <c r="A31" s="1" t="s">
        <v>507</v>
      </c>
      <c r="B31" s="250">
        <v>14825</v>
      </c>
      <c r="C31" s="251" t="s">
        <v>631</v>
      </c>
    </row>
    <row r="32" spans="1:8" x14ac:dyDescent="0.2">
      <c r="A32" s="1"/>
      <c r="B32" s="255">
        <v>13474</v>
      </c>
      <c r="C32" s="251" t="s">
        <v>632</v>
      </c>
    </row>
    <row r="33" spans="1:3" x14ac:dyDescent="0.2">
      <c r="A33" s="20"/>
      <c r="B33" s="250">
        <v>14828</v>
      </c>
      <c r="C33" s="246" t="s">
        <v>480</v>
      </c>
    </row>
    <row r="34" spans="1:3" x14ac:dyDescent="0.2">
      <c r="A34" s="20" t="s">
        <v>507</v>
      </c>
      <c r="B34" s="250">
        <v>14829</v>
      </c>
      <c r="C34" s="246" t="s">
        <v>481</v>
      </c>
    </row>
    <row r="35" spans="1:3" x14ac:dyDescent="0.2">
      <c r="A35" s="20"/>
      <c r="B35" s="255">
        <v>14830</v>
      </c>
      <c r="C35" s="251" t="s">
        <v>592</v>
      </c>
    </row>
    <row r="36" spans="1:3" x14ac:dyDescent="0.2">
      <c r="A36" s="20"/>
      <c r="B36" s="255">
        <v>14831</v>
      </c>
      <c r="C36" s="251" t="s">
        <v>508</v>
      </c>
    </row>
    <row r="37" spans="1:3" x14ac:dyDescent="0.2">
      <c r="A37" s="20"/>
      <c r="B37" s="255">
        <v>14873</v>
      </c>
      <c r="C37" s="251" t="s">
        <v>588</v>
      </c>
    </row>
    <row r="38" spans="1:3" x14ac:dyDescent="0.2">
      <c r="A38" s="20"/>
      <c r="B38" s="255">
        <v>26713</v>
      </c>
      <c r="C38" s="251" t="s">
        <v>803</v>
      </c>
    </row>
    <row r="39" spans="1:3" x14ac:dyDescent="0.2">
      <c r="A39" s="20" t="s">
        <v>507</v>
      </c>
      <c r="B39" s="255">
        <v>14867</v>
      </c>
      <c r="C39" s="251" t="s">
        <v>482</v>
      </c>
    </row>
    <row r="40" spans="1:3" x14ac:dyDescent="0.2">
      <c r="A40" s="20" t="s">
        <v>507</v>
      </c>
      <c r="B40" s="250">
        <v>14838</v>
      </c>
      <c r="C40" s="246" t="s">
        <v>483</v>
      </c>
    </row>
    <row r="41" spans="1:3" x14ac:dyDescent="0.2">
      <c r="A41" s="20"/>
      <c r="B41" s="255">
        <v>26431</v>
      </c>
      <c r="C41" s="251" t="s">
        <v>804</v>
      </c>
    </row>
    <row r="42" spans="1:3" x14ac:dyDescent="0.2">
      <c r="A42" s="20"/>
      <c r="B42" s="250">
        <v>14839</v>
      </c>
      <c r="C42" s="251" t="s">
        <v>484</v>
      </c>
    </row>
    <row r="43" spans="1:3" x14ac:dyDescent="0.2">
      <c r="A43" s="20"/>
      <c r="B43" s="250">
        <v>14882</v>
      </c>
      <c r="C43" s="246" t="s">
        <v>633</v>
      </c>
    </row>
    <row r="44" spans="1:3" x14ac:dyDescent="0.2">
      <c r="A44" s="20" t="s">
        <v>507</v>
      </c>
      <c r="B44" s="250">
        <v>14847</v>
      </c>
      <c r="C44" s="246" t="s">
        <v>485</v>
      </c>
    </row>
    <row r="45" spans="1:3" x14ac:dyDescent="0.2">
      <c r="A45" s="20"/>
      <c r="B45" s="250">
        <v>14849</v>
      </c>
      <c r="C45" s="251" t="s">
        <v>486</v>
      </c>
    </row>
    <row r="46" spans="1:3" x14ac:dyDescent="0.2">
      <c r="A46" s="20"/>
      <c r="B46" s="255">
        <v>14850</v>
      </c>
      <c r="C46" s="251" t="s">
        <v>509</v>
      </c>
    </row>
    <row r="47" spans="1:3" x14ac:dyDescent="0.2">
      <c r="A47" s="20" t="s">
        <v>507</v>
      </c>
      <c r="B47" s="250">
        <v>14080</v>
      </c>
      <c r="C47" s="251" t="s">
        <v>487</v>
      </c>
    </row>
    <row r="48" spans="1:3" x14ac:dyDescent="0.2">
      <c r="A48" s="20"/>
      <c r="B48" s="250">
        <v>13503</v>
      </c>
      <c r="C48" s="20" t="s">
        <v>488</v>
      </c>
    </row>
    <row r="49" spans="2:3" x14ac:dyDescent="0.2">
      <c r="B49">
        <v>13504</v>
      </c>
      <c r="C49" s="251" t="s">
        <v>489</v>
      </c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32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9" sqref="A9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2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</cols>
  <sheetData>
    <row r="1" spans="1:24" ht="15.75" x14ac:dyDescent="0.25">
      <c r="A1" s="63" t="s">
        <v>84</v>
      </c>
      <c r="B1" s="1" t="s">
        <v>85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7" t="str">
        <f>ReportMonth</f>
        <v>NOVEMBER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7" t="s">
        <v>3</v>
      </c>
      <c r="B3" s="42"/>
      <c r="C3" s="42"/>
      <c r="D3" s="42"/>
      <c r="E3" s="42"/>
      <c r="F3" s="87"/>
      <c r="G3" s="87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88"/>
      <c r="T3" s="1"/>
    </row>
    <row r="4" spans="1:24" ht="15" x14ac:dyDescent="0.2">
      <c r="A4" s="87" t="s">
        <v>446</v>
      </c>
      <c r="B4" s="42"/>
      <c r="C4" s="42"/>
      <c r="D4" s="42"/>
      <c r="E4" s="42"/>
      <c r="F4" s="87"/>
      <c r="G4" s="87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88"/>
      <c r="T4" s="1"/>
    </row>
    <row r="5" spans="1:24" ht="15" x14ac:dyDescent="0.2">
      <c r="A5" s="87" t="s">
        <v>86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8" t="s">
        <v>87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6"/>
      <c r="U6" s="86"/>
      <c r="V6" s="86" t="s">
        <v>81</v>
      </c>
      <c r="W6" s="85"/>
      <c r="X6" s="85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10" t="s">
        <v>13</v>
      </c>
      <c r="B10" s="38" t="s">
        <v>88</v>
      </c>
      <c r="C10" s="38" t="s">
        <v>88</v>
      </c>
      <c r="D10" s="38" t="s">
        <v>88</v>
      </c>
      <c r="E10" s="38" t="s">
        <v>89</v>
      </c>
      <c r="F10" s="38" t="s">
        <v>89</v>
      </c>
      <c r="G10" s="38" t="s">
        <v>89</v>
      </c>
      <c r="H10" s="38" t="s">
        <v>89</v>
      </c>
      <c r="I10" s="38" t="s">
        <v>88</v>
      </c>
      <c r="J10" s="38" t="s">
        <v>88</v>
      </c>
      <c r="K10" s="38" t="s">
        <v>89</v>
      </c>
      <c r="L10" s="38" t="s">
        <v>88</v>
      </c>
      <c r="M10" s="38" t="s">
        <v>88</v>
      </c>
      <c r="N10" s="38" t="s">
        <v>89</v>
      </c>
      <c r="O10" s="38" t="s">
        <v>88</v>
      </c>
      <c r="P10" s="38" t="s">
        <v>89</v>
      </c>
      <c r="Q10" s="38" t="s">
        <v>88</v>
      </c>
      <c r="R10" s="38" t="s">
        <v>88</v>
      </c>
      <c r="S10" s="40" t="s">
        <v>18</v>
      </c>
      <c r="T10" s="1"/>
    </row>
    <row r="11" spans="1:24" s="89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719</v>
      </c>
      <c r="B12" s="2">
        <f>+'s1'!AF13</f>
        <v>0</v>
      </c>
      <c r="C12" s="2">
        <f>+'s1'!AG13</f>
        <v>0</v>
      </c>
      <c r="D12" s="2">
        <f>+'s1'!AH13</f>
        <v>284.52999999999997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284.52999999999997</v>
      </c>
      <c r="T12" s="2"/>
    </row>
    <row r="13" spans="1:24" x14ac:dyDescent="0.2">
      <c r="A13" s="1" t="s">
        <v>38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7818.13</v>
      </c>
      <c r="G13" s="2">
        <f>+'s1'!AK14</f>
        <v>0</v>
      </c>
      <c r="H13" s="2">
        <f>+'s1'!AL14</f>
        <v>418.93</v>
      </c>
      <c r="I13" s="2">
        <f>+'s1'!AM14</f>
        <v>661.59</v>
      </c>
      <c r="J13" s="2">
        <f>+'s1'!AN14</f>
        <v>6414.96</v>
      </c>
      <c r="K13" s="2">
        <f>+'s1'!AO14</f>
        <v>0</v>
      </c>
      <c r="L13" s="2">
        <f>+'s1'!AP14</f>
        <v>0</v>
      </c>
      <c r="M13" s="2">
        <f>+'s1'!AQ14</f>
        <v>0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732.06</v>
      </c>
      <c r="S13" s="2">
        <f t="shared" ref="S13:S83" si="0">SUM(B13:R13)</f>
        <v>16045.67</v>
      </c>
      <c r="T13" s="2"/>
    </row>
    <row r="14" spans="1:24" x14ac:dyDescent="0.2">
      <c r="A14" s="1" t="s">
        <v>349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</f>
        <v>0</v>
      </c>
      <c r="G14" s="2">
        <f>+'s1'!AK15</f>
        <v>0</v>
      </c>
      <c r="H14" s="2">
        <f>+'s1'!AL15</f>
        <v>0</v>
      </c>
      <c r="I14" s="2">
        <f>+'s1'!AM15</f>
        <v>0</v>
      </c>
      <c r="J14" s="2">
        <f>+'s1'!AN15</f>
        <v>2051.36</v>
      </c>
      <c r="K14" s="2">
        <f>+'s1'!AO15</f>
        <v>0</v>
      </c>
      <c r="L14" s="2">
        <f>+'s1'!AP15</f>
        <v>0</v>
      </c>
      <c r="M14" s="2">
        <f>+'s1'!AQ15</f>
        <v>0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0</v>
      </c>
      <c r="S14" s="2">
        <f t="shared" si="0"/>
        <v>2051.36</v>
      </c>
      <c r="T14" s="2"/>
    </row>
    <row r="15" spans="1:24" x14ac:dyDescent="0.2">
      <c r="A15" s="7" t="s">
        <v>39</v>
      </c>
      <c r="B15" s="2">
        <f>+'s1'!AF16</f>
        <v>0</v>
      </c>
      <c r="C15" s="2">
        <f>+'s1'!AG16</f>
        <v>0</v>
      </c>
      <c r="D15" s="2">
        <f>+'s1'!AH16</f>
        <v>15.52</v>
      </c>
      <c r="E15" s="2">
        <f>+'s1'!AI16</f>
        <v>0</v>
      </c>
      <c r="F15" s="2">
        <f>+'s1'!AJ16</f>
        <v>0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</f>
        <v>0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</f>
        <v>0</v>
      </c>
      <c r="S15" s="2">
        <f t="shared" si="0"/>
        <v>15.52</v>
      </c>
      <c r="T15" s="2"/>
    </row>
    <row r="16" spans="1:24" x14ac:dyDescent="0.2">
      <c r="A16" s="18" t="s">
        <v>612</v>
      </c>
      <c r="B16" s="2">
        <f>+'s1'!AF17</f>
        <v>0</v>
      </c>
      <c r="C16" s="2">
        <f>+'s1'!AG17</f>
        <v>0</v>
      </c>
      <c r="D16" s="2">
        <f>+'s1'!AH17</f>
        <v>438.35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0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18.96</v>
      </c>
      <c r="R16" s="2">
        <f>+'s1'!AV17</f>
        <v>0</v>
      </c>
      <c r="S16" s="2">
        <f t="shared" si="0"/>
        <v>457.31</v>
      </c>
      <c r="T16" s="1"/>
    </row>
    <row r="17" spans="1:20" s="20" customFormat="1" x14ac:dyDescent="0.2">
      <c r="A17" s="1" t="s">
        <v>492</v>
      </c>
      <c r="B17" s="2">
        <f>+'s1'!AF18</f>
        <v>0</v>
      </c>
      <c r="C17" s="2">
        <f>+'s1'!AG18</f>
        <v>0</v>
      </c>
      <c r="D17" s="2">
        <f>+'s1'!AH18</f>
        <v>16716.810000000001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0</v>
      </c>
      <c r="R17" s="2">
        <f>+'s1'!AV18</f>
        <v>0</v>
      </c>
      <c r="S17" s="2">
        <f t="shared" si="0"/>
        <v>16716.810000000001</v>
      </c>
      <c r="T17" s="78"/>
    </row>
    <row r="18" spans="1:20" x14ac:dyDescent="0.2">
      <c r="A18" s="1" t="s">
        <v>726</v>
      </c>
      <c r="B18" s="2">
        <f>+'s1'!AF19</f>
        <v>0</v>
      </c>
      <c r="C18" s="2">
        <f>+'s1'!AG19</f>
        <v>0</v>
      </c>
      <c r="D18" s="2">
        <f>+'s1'!AH19</f>
        <v>0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2401.9499999999998</v>
      </c>
      <c r="J18" s="2">
        <f>+'s1'!AN19</f>
        <v>0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8751.82</v>
      </c>
      <c r="R18" s="2">
        <f>+'s1'!AV19</f>
        <v>0</v>
      </c>
      <c r="S18" s="2">
        <f>SUM(B18:R18)</f>
        <v>11153.77</v>
      </c>
      <c r="T18" s="1"/>
    </row>
    <row r="19" spans="1:20" x14ac:dyDescent="0.2">
      <c r="A19" s="1" t="s">
        <v>40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0</v>
      </c>
      <c r="J19" s="2">
        <f>+'s1'!AN20</f>
        <v>291.06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0</v>
      </c>
      <c r="R19" s="2">
        <f>+'s1'!AV20</f>
        <v>0</v>
      </c>
      <c r="S19" s="2">
        <f t="shared" si="0"/>
        <v>291.06</v>
      </c>
      <c r="T19" s="1"/>
    </row>
    <row r="20" spans="1:20" x14ac:dyDescent="0.2">
      <c r="A20" s="1" t="s">
        <v>433</v>
      </c>
      <c r="B20" s="2">
        <f>+'s1'!AF21</f>
        <v>0</v>
      </c>
      <c r="C20" s="2">
        <f>+'s1'!AG21</f>
        <v>0</v>
      </c>
      <c r="D20" s="2">
        <f>+'s1'!AH21</f>
        <v>81762.81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0</v>
      </c>
      <c r="J20" s="2">
        <f>+'s1'!AN21</f>
        <v>0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27159.43</v>
      </c>
      <c r="R20" s="2">
        <f>+'s1'!AV21</f>
        <v>0</v>
      </c>
      <c r="S20" s="2">
        <f t="shared" si="0"/>
        <v>108922.24000000001</v>
      </c>
      <c r="T20" s="2"/>
    </row>
    <row r="21" spans="1:20" ht="12" customHeight="1" x14ac:dyDescent="0.2">
      <c r="A21" s="1" t="s">
        <v>621</v>
      </c>
      <c r="B21" s="2">
        <f>+'s1'!AF22</f>
        <v>2154.02</v>
      </c>
      <c r="C21" s="2">
        <f>+'s1'!AG22</f>
        <v>0</v>
      </c>
      <c r="D21" s="2">
        <f>+'s1'!AH22</f>
        <v>0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0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0</v>
      </c>
      <c r="R21" s="2">
        <f>+'s1'!AV22</f>
        <v>0</v>
      </c>
      <c r="S21" s="2">
        <f>SUM(B21:R21)</f>
        <v>2154.02</v>
      </c>
      <c r="T21" s="2"/>
    </row>
    <row r="22" spans="1:20" ht="12" customHeight="1" x14ac:dyDescent="0.2">
      <c r="A22" s="1" t="s">
        <v>447</v>
      </c>
      <c r="B22" s="2">
        <f>+'s1'!AF23</f>
        <v>0</v>
      </c>
      <c r="C22" s="2">
        <f>+'s1'!AG23</f>
        <v>24890.22</v>
      </c>
      <c r="D22" s="2">
        <f>+'s1'!AH23</f>
        <v>0</v>
      </c>
      <c r="E22" s="2">
        <f>+'s1'!AI23</f>
        <v>1862.9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0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0</v>
      </c>
      <c r="R22" s="2">
        <f>+'s1'!AV23</f>
        <v>0</v>
      </c>
      <c r="S22" s="2">
        <f>SUM(B22:R22)</f>
        <v>26753.119999999999</v>
      </c>
      <c r="T22" s="2"/>
    </row>
    <row r="23" spans="1:20" x14ac:dyDescent="0.2">
      <c r="A23" s="1" t="s">
        <v>767</v>
      </c>
      <c r="B23" s="2">
        <f>+'s1'!AF24</f>
        <v>0</v>
      </c>
      <c r="C23" s="2">
        <f>+'s1'!AG24</f>
        <v>0</v>
      </c>
      <c r="D23" s="2">
        <f>+'s1'!AH24</f>
        <v>0</v>
      </c>
      <c r="E23" s="2">
        <f>+'s1'!AI24</f>
        <v>0</v>
      </c>
      <c r="F23" s="2">
        <f>+'s1'!AJ24</f>
        <v>0</v>
      </c>
      <c r="G23" s="2">
        <f>+'s1'!AK24</f>
        <v>0</v>
      </c>
      <c r="H23" s="2">
        <f>+'s1'!AL24</f>
        <v>0</v>
      </c>
      <c r="I23" s="2">
        <f>+'s1'!AM24</f>
        <v>0</v>
      </c>
      <c r="J23" s="2">
        <f>+'s1'!AN24</f>
        <v>0</v>
      </c>
      <c r="K23" s="2">
        <f>+'s1'!AO24</f>
        <v>0</v>
      </c>
      <c r="L23" s="2">
        <f>+'s1'!AP24</f>
        <v>0</v>
      </c>
      <c r="M23" s="2">
        <f>+'s1'!AQ24</f>
        <v>0</v>
      </c>
      <c r="N23" s="2">
        <f>+'s1'!AR24</f>
        <v>0</v>
      </c>
      <c r="O23" s="2">
        <f>+'s1'!AS24</f>
        <v>0</v>
      </c>
      <c r="P23" s="2">
        <f>+'s1'!AT24</f>
        <v>0</v>
      </c>
      <c r="Q23" s="2">
        <f>+'s1'!AU24</f>
        <v>0</v>
      </c>
      <c r="R23" s="2">
        <f>+'s1'!AV24</f>
        <v>0</v>
      </c>
      <c r="S23" s="2">
        <f>SUM(B23:R23)</f>
        <v>0</v>
      </c>
      <c r="T23" s="2"/>
    </row>
    <row r="24" spans="1:20" x14ac:dyDescent="0.2">
      <c r="A24" s="1" t="s">
        <v>448</v>
      </c>
      <c r="B24" s="2">
        <f>+'s1'!AF25</f>
        <v>80762.36</v>
      </c>
      <c r="C24" s="2">
        <f>+'s1'!AG25</f>
        <v>8798.1299999999992</v>
      </c>
      <c r="D24" s="2">
        <f>+'s1'!AH25</f>
        <v>429.89</v>
      </c>
      <c r="E24" s="2">
        <f>+'s1'!AI25</f>
        <v>19771.419999999998</v>
      </c>
      <c r="F24" s="2">
        <f>+'s1'!AJ25</f>
        <v>10385.84</v>
      </c>
      <c r="G24" s="2">
        <f>+'s1'!AK25</f>
        <v>0</v>
      </c>
      <c r="H24" s="2">
        <f>+'s1'!AL25</f>
        <v>936.37</v>
      </c>
      <c r="I24" s="2">
        <f>+'s1'!AM25</f>
        <v>16295.57</v>
      </c>
      <c r="J24" s="2">
        <f>+'s1'!AN25</f>
        <v>10810.5</v>
      </c>
      <c r="K24" s="2">
        <f>+'s1'!AO25</f>
        <v>0</v>
      </c>
      <c r="L24" s="2">
        <f>+'s1'!AP25</f>
        <v>22480.68</v>
      </c>
      <c r="M24" s="2">
        <f>+'s1'!AQ25</f>
        <v>3029.32</v>
      </c>
      <c r="N24" s="2">
        <f>+'s1'!AR25</f>
        <v>764.6</v>
      </c>
      <c r="O24" s="2">
        <f>+'s1'!AS25</f>
        <v>6370.69</v>
      </c>
      <c r="P24" s="2">
        <f>+'s1'!AT25</f>
        <v>0</v>
      </c>
      <c r="Q24" s="2">
        <f>+'s1'!AU25</f>
        <v>490449.24</v>
      </c>
      <c r="R24" s="2">
        <f>+'s1'!AV25</f>
        <v>4942.82</v>
      </c>
      <c r="S24" s="2">
        <f t="shared" si="0"/>
        <v>676227.43</v>
      </c>
      <c r="T24" s="2"/>
    </row>
    <row r="25" spans="1:20" s="20" customFormat="1" ht="13.5" customHeight="1" x14ac:dyDescent="0.2">
      <c r="A25" s="1" t="s">
        <v>368</v>
      </c>
      <c r="B25" s="2">
        <f>+'s1'!AF26</f>
        <v>0</v>
      </c>
      <c r="C25" s="2">
        <f>+'s1'!AG26</f>
        <v>0</v>
      </c>
      <c r="D25" s="2">
        <f>+'s1'!AH26</f>
        <v>0</v>
      </c>
      <c r="E25" s="2">
        <f>+'s1'!AI26</f>
        <v>0</v>
      </c>
      <c r="F25" s="2">
        <f>+'s1'!AJ26</f>
        <v>0</v>
      </c>
      <c r="G25" s="2">
        <f>+'s1'!AK26</f>
        <v>0</v>
      </c>
      <c r="H25" s="2">
        <f>+'s1'!AL26</f>
        <v>0</v>
      </c>
      <c r="I25" s="2">
        <f>+'s1'!AM26</f>
        <v>0</v>
      </c>
      <c r="J25" s="2">
        <f>+'s1'!AN26</f>
        <v>0</v>
      </c>
      <c r="K25" s="2">
        <f>+'s1'!AO26</f>
        <v>0</v>
      </c>
      <c r="L25" s="2">
        <f>+'s1'!AP26</f>
        <v>10196.1</v>
      </c>
      <c r="M25" s="2">
        <f>+'s1'!AQ26</f>
        <v>0</v>
      </c>
      <c r="N25" s="2">
        <f>+'s1'!AR26</f>
        <v>0</v>
      </c>
      <c r="O25" s="2">
        <f>+'s1'!AS26</f>
        <v>0</v>
      </c>
      <c r="P25" s="2">
        <f>+'s1'!AT26</f>
        <v>0</v>
      </c>
      <c r="Q25" s="2">
        <f>+'s1'!AU26</f>
        <v>0</v>
      </c>
      <c r="R25" s="2">
        <f>+'s1'!AV26</f>
        <v>0</v>
      </c>
      <c r="S25" s="2">
        <f t="shared" si="0"/>
        <v>10196.1</v>
      </c>
      <c r="T25" s="78"/>
    </row>
    <row r="26" spans="1:20" x14ac:dyDescent="0.2">
      <c r="A26" s="1" t="s">
        <v>449</v>
      </c>
      <c r="B26" s="2">
        <f>+'s1'!AF27</f>
        <v>97865.4</v>
      </c>
      <c r="C26" s="2">
        <f>+'s1'!AG27</f>
        <v>0</v>
      </c>
      <c r="D26" s="2">
        <f>+'s1'!AH27</f>
        <v>792692.38</v>
      </c>
      <c r="E26" s="2">
        <f>+'s1'!AI27</f>
        <v>27283.79</v>
      </c>
      <c r="F26" s="2">
        <f>+'s1'!AJ27</f>
        <v>0</v>
      </c>
      <c r="G26" s="2">
        <f>+'s1'!AK27</f>
        <v>0</v>
      </c>
      <c r="H26" s="2">
        <f>+'s1'!AL27</f>
        <v>0</v>
      </c>
      <c r="I26" s="2">
        <f>+'s1'!AM27</f>
        <v>0</v>
      </c>
      <c r="J26" s="2">
        <f>+'s1'!AN27</f>
        <v>0</v>
      </c>
      <c r="K26" s="2">
        <f>+'s1'!AO27</f>
        <v>0</v>
      </c>
      <c r="L26" s="2">
        <f>+'s1'!AP27</f>
        <v>0</v>
      </c>
      <c r="M26" s="2">
        <f>+'s1'!AQ27</f>
        <v>0</v>
      </c>
      <c r="N26" s="2">
        <f>+'s1'!AR27</f>
        <v>0</v>
      </c>
      <c r="O26" s="2">
        <f>+'s1'!AS27</f>
        <v>0</v>
      </c>
      <c r="P26" s="2">
        <f>+'s1'!AT27</f>
        <v>0</v>
      </c>
      <c r="Q26" s="2">
        <f>+'s1'!AU27</f>
        <v>198770.7</v>
      </c>
      <c r="R26" s="2">
        <f>+'s1'!AV27</f>
        <v>0</v>
      </c>
      <c r="S26" s="2">
        <f t="shared" si="0"/>
        <v>1116612.27</v>
      </c>
      <c r="T26" s="2"/>
    </row>
    <row r="27" spans="1:20" ht="13.5" customHeight="1" x14ac:dyDescent="0.2">
      <c r="A27" s="1" t="s">
        <v>353</v>
      </c>
      <c r="B27" s="2">
        <f>+'s1'!AF28</f>
        <v>0</v>
      </c>
      <c r="C27" s="2">
        <f>+'s1'!AG28</f>
        <v>0</v>
      </c>
      <c r="D27" s="2">
        <f>+'s1'!AH28</f>
        <v>96358.06</v>
      </c>
      <c r="E27" s="2">
        <f>+'s1'!AI28</f>
        <v>0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355.45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0</v>
      </c>
      <c r="R27" s="2">
        <f>+'s1'!AV28</f>
        <v>0</v>
      </c>
      <c r="S27" s="2">
        <f t="shared" si="0"/>
        <v>96713.51</v>
      </c>
      <c r="T27" s="2"/>
    </row>
    <row r="28" spans="1:20" x14ac:dyDescent="0.2">
      <c r="A28" s="18" t="s">
        <v>493</v>
      </c>
      <c r="B28" s="2">
        <f>+'s1'!AF29</f>
        <v>0</v>
      </c>
      <c r="C28" s="2">
        <f>+'s1'!AG29</f>
        <v>0</v>
      </c>
      <c r="D28" s="2">
        <f>+'s1'!AH29</f>
        <v>0</v>
      </c>
      <c r="E28" s="2">
        <f>+'s1'!AI29</f>
        <v>0</v>
      </c>
      <c r="F28" s="2">
        <f>+'s1'!AJ29</f>
        <v>2127.0700000000002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0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0</v>
      </c>
      <c r="R28" s="2">
        <f>+'s1'!AV29</f>
        <v>0</v>
      </c>
      <c r="S28" s="2">
        <f t="shared" si="0"/>
        <v>2127.0700000000002</v>
      </c>
      <c r="T28" s="2"/>
    </row>
    <row r="29" spans="1:20" x14ac:dyDescent="0.2">
      <c r="A29" s="1" t="s">
        <v>301</v>
      </c>
      <c r="B29" s="2">
        <f>+'s1'!AF30</f>
        <v>0</v>
      </c>
      <c r="C29" s="2">
        <f>+'s1'!AG30</f>
        <v>0</v>
      </c>
      <c r="D29" s="2">
        <f>+'s1'!AH30</f>
        <v>13162.35</v>
      </c>
      <c r="E29" s="2">
        <f>+'s1'!AI30</f>
        <v>0</v>
      </c>
      <c r="F29" s="2">
        <f>+'s1'!AJ30</f>
        <v>0</v>
      </c>
      <c r="G29" s="2">
        <f>+'s1'!AK30</f>
        <v>0</v>
      </c>
      <c r="H29" s="2">
        <f>+'s1'!AL30</f>
        <v>0</v>
      </c>
      <c r="I29" s="2">
        <f>+'s1'!AM30</f>
        <v>0</v>
      </c>
      <c r="J29" s="2">
        <f>+'s1'!AN30</f>
        <v>0</v>
      </c>
      <c r="K29" s="2">
        <f>+'s1'!AO30</f>
        <v>0</v>
      </c>
      <c r="L29" s="2">
        <f>+'s1'!AP30</f>
        <v>0</v>
      </c>
      <c r="M29" s="2">
        <f>+'s1'!AQ30</f>
        <v>0</v>
      </c>
      <c r="N29" s="2">
        <f>+'s1'!AR30</f>
        <v>0</v>
      </c>
      <c r="O29" s="2">
        <f>+'s1'!AS30</f>
        <v>0</v>
      </c>
      <c r="P29" s="2">
        <f>+'s1'!AT30</f>
        <v>0</v>
      </c>
      <c r="Q29" s="2">
        <f>+'s1'!AU30</f>
        <v>0</v>
      </c>
      <c r="R29" s="2">
        <f>+'s1'!AV30</f>
        <v>0</v>
      </c>
      <c r="S29" s="2">
        <f t="shared" si="0"/>
        <v>13162.35</v>
      </c>
      <c r="T29" s="2"/>
    </row>
    <row r="30" spans="1:20" x14ac:dyDescent="0.2">
      <c r="A30" s="18" t="s">
        <v>640</v>
      </c>
      <c r="B30" s="2">
        <f>+'s1'!AF31</f>
        <v>0</v>
      </c>
      <c r="C30" s="2">
        <f>+'s1'!AG31</f>
        <v>0</v>
      </c>
      <c r="D30" s="2">
        <f>+'s1'!AH31</f>
        <v>0</v>
      </c>
      <c r="E30" s="2">
        <f>+'s1'!AI31</f>
        <v>0</v>
      </c>
      <c r="F30" s="2">
        <f>+'s1'!AJ31</f>
        <v>34.03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 t="shared" si="0"/>
        <v>34.03</v>
      </c>
      <c r="T30" s="1"/>
    </row>
    <row r="31" spans="1:20" x14ac:dyDescent="0.2">
      <c r="A31" s="1" t="s">
        <v>41</v>
      </c>
      <c r="B31" s="2">
        <f>+'s1'!AF32</f>
        <v>13684.58</v>
      </c>
      <c r="C31" s="2">
        <f>+'s1'!AG32</f>
        <v>397.25</v>
      </c>
      <c r="D31" s="2">
        <f>+'s1'!AH32</f>
        <v>0</v>
      </c>
      <c r="E31" s="2">
        <f>+'s1'!AI32</f>
        <v>3091.86</v>
      </c>
      <c r="F31" s="2">
        <f>+'s1'!AJ32</f>
        <v>0</v>
      </c>
      <c r="G31" s="2">
        <f>+'s1'!AK32</f>
        <v>0</v>
      </c>
      <c r="H31" s="2">
        <f>+'s1'!AL32</f>
        <v>0</v>
      </c>
      <c r="I31" s="2">
        <f>+'s1'!AM32</f>
        <v>882.26</v>
      </c>
      <c r="J31" s="2">
        <f>+'s1'!AN32</f>
        <v>617.30999999999995</v>
      </c>
      <c r="K31" s="2">
        <f>+'s1'!AO32</f>
        <v>0</v>
      </c>
      <c r="L31" s="2">
        <f>+'s1'!AP32</f>
        <v>10112.040000000001</v>
      </c>
      <c r="M31" s="2">
        <f>+'s1'!AQ32</f>
        <v>0</v>
      </c>
      <c r="N31" s="2">
        <f>+'s1'!AR32</f>
        <v>0</v>
      </c>
      <c r="O31" s="2">
        <f>+'s1'!AS32</f>
        <v>2134.88</v>
      </c>
      <c r="P31" s="2">
        <f>+'s1'!AT32</f>
        <v>858.75</v>
      </c>
      <c r="Q31" s="2">
        <f>+'s1'!AU32</f>
        <v>6657.51</v>
      </c>
      <c r="R31" s="2">
        <f>+'s1'!AV32</f>
        <v>0</v>
      </c>
      <c r="S31" s="2">
        <f t="shared" si="0"/>
        <v>38436.44</v>
      </c>
      <c r="T31" s="1"/>
    </row>
    <row r="32" spans="1:20" x14ac:dyDescent="0.2">
      <c r="A32" s="1" t="s">
        <v>450</v>
      </c>
      <c r="B32" s="2">
        <f>+'s1'!AF33</f>
        <v>0</v>
      </c>
      <c r="C32" s="2">
        <f>+'s1'!AG33</f>
        <v>0</v>
      </c>
      <c r="D32" s="2">
        <f>+'s1'!AH33</f>
        <v>0</v>
      </c>
      <c r="E32" s="2">
        <f>+'s1'!AI33</f>
        <v>0</v>
      </c>
      <c r="F32" s="2">
        <f>+'s1'!AJ33</f>
        <v>5994.74</v>
      </c>
      <c r="G32" s="2">
        <f>+'s1'!AK33</f>
        <v>0</v>
      </c>
      <c r="H32" s="2">
        <f>+'s1'!AL33</f>
        <v>0</v>
      </c>
      <c r="I32" s="2">
        <f>+'s1'!AM33</f>
        <v>24076.57</v>
      </c>
      <c r="J32" s="2">
        <f>+'s1'!AN33</f>
        <v>0</v>
      </c>
      <c r="K32" s="2">
        <f>+'s1'!AO33</f>
        <v>0</v>
      </c>
      <c r="L32" s="2">
        <f>+'s1'!AP33</f>
        <v>0</v>
      </c>
      <c r="M32" s="2">
        <f>+'s1'!AQ33</f>
        <v>0</v>
      </c>
      <c r="N32" s="2">
        <f>+'s1'!AR33</f>
        <v>0</v>
      </c>
      <c r="O32" s="2">
        <f>+'s1'!AS33</f>
        <v>0</v>
      </c>
      <c r="P32" s="2">
        <f>+'s1'!AT33</f>
        <v>0</v>
      </c>
      <c r="Q32" s="2">
        <f>+'s1'!AU33</f>
        <v>0</v>
      </c>
      <c r="R32" s="2">
        <f>+'s1'!AV33</f>
        <v>0</v>
      </c>
      <c r="S32" s="2">
        <f>SUM(B32:R32)</f>
        <v>30071.31</v>
      </c>
      <c r="T32" s="2"/>
    </row>
    <row r="33" spans="1:20" x14ac:dyDescent="0.2">
      <c r="A33" s="1" t="s">
        <v>42</v>
      </c>
      <c r="B33" s="2">
        <f>+'s1'!AF34</f>
        <v>0</v>
      </c>
      <c r="C33" s="2">
        <f>+'s1'!AG34</f>
        <v>0</v>
      </c>
      <c r="D33" s="2">
        <f>+'s1'!AH34</f>
        <v>322508.5</v>
      </c>
      <c r="E33" s="2">
        <f>+'s1'!AI34</f>
        <v>0</v>
      </c>
      <c r="F33" s="2">
        <f>+'s1'!AJ34</f>
        <v>0</v>
      </c>
      <c r="G33" s="2">
        <f>+'s1'!AK34</f>
        <v>0</v>
      </c>
      <c r="H33" s="2">
        <f>+'s1'!AL34</f>
        <v>0</v>
      </c>
      <c r="I33" s="2">
        <f>+'s1'!AM34</f>
        <v>0</v>
      </c>
      <c r="J33" s="2">
        <f>+'s1'!AN34</f>
        <v>0</v>
      </c>
      <c r="K33" s="2">
        <f>+'s1'!AO34</f>
        <v>0</v>
      </c>
      <c r="L33" s="2">
        <f>+'s1'!AP34</f>
        <v>0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0</v>
      </c>
      <c r="Q33" s="2">
        <f>+'s1'!AU34</f>
        <v>772.81</v>
      </c>
      <c r="R33" s="2">
        <f>+'s1'!AV34</f>
        <v>0</v>
      </c>
      <c r="S33" s="2">
        <f t="shared" si="0"/>
        <v>323281.31</v>
      </c>
      <c r="T33" s="2"/>
    </row>
    <row r="34" spans="1:20" x14ac:dyDescent="0.2">
      <c r="A34" s="1" t="s">
        <v>43</v>
      </c>
      <c r="B34" s="2">
        <f>+'s1'!AF35</f>
        <v>0</v>
      </c>
      <c r="C34" s="2">
        <f>+'s1'!AG35</f>
        <v>0</v>
      </c>
      <c r="D34" s="2">
        <f>+'s1'!AH35</f>
        <v>0</v>
      </c>
      <c r="E34" s="2">
        <f>+'s1'!AI35</f>
        <v>0</v>
      </c>
      <c r="F34" s="2">
        <f>+'s1'!AJ35</f>
        <v>0</v>
      </c>
      <c r="G34" s="2">
        <f>+'s1'!AK35</f>
        <v>0</v>
      </c>
      <c r="H34" s="2">
        <f>+'s1'!AL35</f>
        <v>62.92</v>
      </c>
      <c r="I34" s="2">
        <f>+'s1'!AM35</f>
        <v>0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95.06</v>
      </c>
      <c r="O34" s="2">
        <f>+'s1'!AS35</f>
        <v>0</v>
      </c>
      <c r="P34" s="2">
        <f>+'s1'!AT35</f>
        <v>0</v>
      </c>
      <c r="Q34" s="2">
        <f>+'s1'!AU35</f>
        <v>0</v>
      </c>
      <c r="R34" s="2">
        <f>+'s1'!AV35</f>
        <v>2286.85</v>
      </c>
      <c r="S34" s="2">
        <f t="shared" si="0"/>
        <v>2444.83</v>
      </c>
      <c r="T34" s="2"/>
    </row>
    <row r="35" spans="1:20" x14ac:dyDescent="0.2">
      <c r="A35" s="18" t="s">
        <v>44</v>
      </c>
      <c r="B35" s="2">
        <f>+'s1'!AF36</f>
        <v>0</v>
      </c>
      <c r="C35" s="2">
        <f>+'s1'!AG36</f>
        <v>0</v>
      </c>
      <c r="D35" s="2">
        <f>+'s1'!AH36</f>
        <v>108507.61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0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0</v>
      </c>
      <c r="O35" s="2">
        <f>+'s1'!AS36</f>
        <v>0</v>
      </c>
      <c r="P35" s="2">
        <f>+'s1'!AT36</f>
        <v>0</v>
      </c>
      <c r="Q35" s="2">
        <f>+'s1'!AU36</f>
        <v>0</v>
      </c>
      <c r="R35" s="2">
        <f>+'s1'!AV36</f>
        <v>0</v>
      </c>
      <c r="S35" s="2">
        <f t="shared" si="0"/>
        <v>108507.61</v>
      </c>
      <c r="T35" s="2"/>
    </row>
    <row r="36" spans="1:20" x14ac:dyDescent="0.2">
      <c r="A36" s="18" t="s">
        <v>617</v>
      </c>
      <c r="B36" s="2">
        <f>+'s1'!AF37</f>
        <v>0</v>
      </c>
      <c r="C36" s="2">
        <f>+'s1'!AG37</f>
        <v>0</v>
      </c>
      <c r="D36" s="2">
        <f>+'s1'!AH37</f>
        <v>38.1</v>
      </c>
      <c r="E36" s="2">
        <f>+'s1'!AI37</f>
        <v>0</v>
      </c>
      <c r="F36" s="2">
        <f>+'s1'!AJ37</f>
        <v>0</v>
      </c>
      <c r="G36" s="2">
        <f>+'s1'!AK37</f>
        <v>0</v>
      </c>
      <c r="H36" s="2">
        <f>+'s1'!AL37</f>
        <v>0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0</v>
      </c>
      <c r="O36" s="2">
        <f>+'s1'!AS37</f>
        <v>0</v>
      </c>
      <c r="P36" s="2">
        <f>+'s1'!AT37</f>
        <v>0</v>
      </c>
      <c r="Q36" s="2">
        <f>+'s1'!AU37</f>
        <v>40.75</v>
      </c>
      <c r="R36" s="2">
        <f>+'s1'!AV37</f>
        <v>0</v>
      </c>
      <c r="S36" s="2">
        <f t="shared" si="0"/>
        <v>78.849999999999994</v>
      </c>
      <c r="T36" s="1"/>
    </row>
    <row r="37" spans="1:20" x14ac:dyDescent="0.2">
      <c r="A37" s="18" t="s">
        <v>609</v>
      </c>
      <c r="B37" s="2">
        <f>+'s1'!AF38</f>
        <v>0</v>
      </c>
      <c r="C37" s="2">
        <f>+'s1'!AG38</f>
        <v>0</v>
      </c>
      <c r="D37" s="2">
        <f>+'s1'!AH38</f>
        <v>4552.97</v>
      </c>
      <c r="E37" s="2">
        <f>+'s1'!AI38</f>
        <v>0</v>
      </c>
      <c r="F37" s="2">
        <f>+'s1'!AJ38</f>
        <v>0</v>
      </c>
      <c r="G37" s="2">
        <f>+'s1'!AK38</f>
        <v>0</v>
      </c>
      <c r="H37" s="2">
        <f>+'s1'!AL38</f>
        <v>0</v>
      </c>
      <c r="I37" s="2">
        <f>+'s1'!AM38</f>
        <v>0</v>
      </c>
      <c r="J37" s="2">
        <f>+'s1'!AN38</f>
        <v>0</v>
      </c>
      <c r="K37" s="2">
        <f>+'s1'!AO38</f>
        <v>0</v>
      </c>
      <c r="L37" s="2">
        <f>+'s1'!AP38</f>
        <v>0</v>
      </c>
      <c r="M37" s="2">
        <f>+'s1'!AQ38</f>
        <v>0</v>
      </c>
      <c r="N37" s="2">
        <f>+'s1'!AR38</f>
        <v>0</v>
      </c>
      <c r="O37" s="2">
        <f>+'s1'!AS38</f>
        <v>0</v>
      </c>
      <c r="P37" s="2">
        <f>+'s1'!AT38</f>
        <v>0</v>
      </c>
      <c r="Q37" s="2">
        <f>+'s1'!AU38</f>
        <v>22692.45</v>
      </c>
      <c r="R37" s="2">
        <f>+'s1'!AV38</f>
        <v>0</v>
      </c>
      <c r="S37" s="2">
        <f t="shared" si="0"/>
        <v>27245.42</v>
      </c>
      <c r="T37" s="2"/>
    </row>
    <row r="38" spans="1:20" x14ac:dyDescent="0.2">
      <c r="A38" s="1" t="s">
        <v>45</v>
      </c>
      <c r="B38" s="2">
        <f>+'s1'!AF39</f>
        <v>0</v>
      </c>
      <c r="C38" s="2">
        <f>+'s1'!AG39</f>
        <v>0</v>
      </c>
      <c r="D38" s="2">
        <f>+'s1'!AH39</f>
        <v>0</v>
      </c>
      <c r="E38" s="2">
        <f>+'s1'!AI39</f>
        <v>0</v>
      </c>
      <c r="F38" s="2">
        <f>+'s1'!AJ39</f>
        <v>4603.7299999999996</v>
      </c>
      <c r="G38" s="2">
        <f>+'s1'!AK39</f>
        <v>0</v>
      </c>
      <c r="H38" s="2">
        <f>+'s1'!AL39</f>
        <v>0</v>
      </c>
      <c r="I38" s="2">
        <f>+'s1'!AM39</f>
        <v>0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0</v>
      </c>
      <c r="R38" s="2">
        <f>+'s1'!AV39</f>
        <v>0</v>
      </c>
      <c r="S38" s="2">
        <f t="shared" si="0"/>
        <v>4603.7299999999996</v>
      </c>
      <c r="T38" s="1"/>
    </row>
    <row r="39" spans="1:20" x14ac:dyDescent="0.2">
      <c r="A39" s="1" t="s">
        <v>451</v>
      </c>
      <c r="B39" s="2">
        <f>+'s1'!AF40</f>
        <v>0</v>
      </c>
      <c r="C39" s="2">
        <f>+'s1'!AG40</f>
        <v>0</v>
      </c>
      <c r="D39" s="2">
        <f>+'s1'!AH40</f>
        <v>438.44</v>
      </c>
      <c r="E39" s="2">
        <f>+'s1'!AI40</f>
        <v>0</v>
      </c>
      <c r="F39" s="2">
        <f>+'s1'!AJ40</f>
        <v>0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0</v>
      </c>
      <c r="R39" s="2">
        <f>+'s1'!AV40</f>
        <v>0</v>
      </c>
      <c r="S39" s="2">
        <f t="shared" si="0"/>
        <v>438.44</v>
      </c>
      <c r="T39" s="2"/>
    </row>
    <row r="40" spans="1:20" x14ac:dyDescent="0.2">
      <c r="A40" s="1" t="s">
        <v>434</v>
      </c>
      <c r="B40" s="2">
        <f>+'s1'!AF41</f>
        <v>0</v>
      </c>
      <c r="C40" s="2">
        <f>+'s1'!AG41</f>
        <v>0</v>
      </c>
      <c r="D40" s="2">
        <f>+'s1'!AH41</f>
        <v>401606.88</v>
      </c>
      <c r="E40" s="2">
        <f>+'s1'!AI41</f>
        <v>0</v>
      </c>
      <c r="F40" s="2">
        <f>+'s1'!AJ41</f>
        <v>0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5212.62</v>
      </c>
      <c r="O40" s="2">
        <f>+'s1'!AS41</f>
        <v>0</v>
      </c>
      <c r="P40" s="2">
        <f>+'s1'!AT41</f>
        <v>0</v>
      </c>
      <c r="Q40" s="2">
        <f>+'s1'!AU41</f>
        <v>0</v>
      </c>
      <c r="R40" s="2">
        <f>+'s1'!AV41</f>
        <v>0</v>
      </c>
      <c r="S40" s="2">
        <f>SUM(B40:R40)</f>
        <v>406819.5</v>
      </c>
      <c r="T40" s="2"/>
    </row>
    <row r="41" spans="1:20" x14ac:dyDescent="0.2">
      <c r="A41" s="1" t="s">
        <v>452</v>
      </c>
      <c r="B41" s="2">
        <f>+'s1'!AF42</f>
        <v>0</v>
      </c>
      <c r="C41" s="2">
        <f>+'s1'!AG42</f>
        <v>0</v>
      </c>
      <c r="D41" s="2">
        <f>+'s1'!AH42</f>
        <v>15837.46</v>
      </c>
      <c r="E41" s="2">
        <f>+'s1'!AI42</f>
        <v>0</v>
      </c>
      <c r="F41" s="2">
        <f>+'s1'!AJ42</f>
        <v>1194.3499999999999</v>
      </c>
      <c r="G41" s="2">
        <f>+'s1'!AK42</f>
        <v>0</v>
      </c>
      <c r="H41" s="2">
        <f>+'s1'!AL42</f>
        <v>0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0</v>
      </c>
      <c r="O41" s="2">
        <f>+'s1'!AS42</f>
        <v>0</v>
      </c>
      <c r="P41" s="2">
        <f>+'s1'!AT42</f>
        <v>0</v>
      </c>
      <c r="Q41" s="2">
        <f>+'s1'!AU42</f>
        <v>2715.24</v>
      </c>
      <c r="R41" s="2">
        <f>+'s1'!AV42</f>
        <v>0</v>
      </c>
      <c r="S41" s="2">
        <f t="shared" si="0"/>
        <v>19747.05</v>
      </c>
      <c r="T41" s="2"/>
    </row>
    <row r="42" spans="1:20" x14ac:dyDescent="0.2">
      <c r="A42" s="1" t="s">
        <v>720</v>
      </c>
      <c r="B42" s="2">
        <f>+'s1'!AF43</f>
        <v>0</v>
      </c>
      <c r="C42" s="2">
        <f>+'s1'!AG43</f>
        <v>0</v>
      </c>
      <c r="D42" s="2">
        <f>+'s1'!AH43</f>
        <v>0</v>
      </c>
      <c r="E42" s="2">
        <f>+'s1'!AI43</f>
        <v>0</v>
      </c>
      <c r="F42" s="2">
        <f>+'s1'!AJ43</f>
        <v>85.68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0</v>
      </c>
      <c r="L42" s="2">
        <f>+'s1'!AP43</f>
        <v>0</v>
      </c>
      <c r="M42" s="2">
        <f>+'s1'!AQ43</f>
        <v>0</v>
      </c>
      <c r="N42" s="2">
        <f>+'s1'!AR43</f>
        <v>0</v>
      </c>
      <c r="O42" s="2">
        <f>+'s1'!AS43</f>
        <v>0</v>
      </c>
      <c r="P42" s="2">
        <f>+'s1'!AT43</f>
        <v>0</v>
      </c>
      <c r="Q42" s="2">
        <f>+'s1'!AU43</f>
        <v>0</v>
      </c>
      <c r="R42" s="2">
        <f>+'s1'!AV43</f>
        <v>0</v>
      </c>
      <c r="S42" s="2">
        <f>SUM(B42:R42)</f>
        <v>85.68</v>
      </c>
      <c r="T42" s="2"/>
    </row>
    <row r="43" spans="1:20" x14ac:dyDescent="0.2">
      <c r="A43" s="1" t="s">
        <v>458</v>
      </c>
      <c r="B43" s="2">
        <f>+'s1'!AF44</f>
        <v>0</v>
      </c>
      <c r="C43" s="2">
        <f>+'s1'!AG44</f>
        <v>0</v>
      </c>
      <c r="D43" s="2">
        <f>+'s1'!AH44</f>
        <v>0</v>
      </c>
      <c r="E43" s="2">
        <f>+'s1'!AI44</f>
        <v>0</v>
      </c>
      <c r="F43" s="2">
        <f>+'s1'!AJ44</f>
        <v>0</v>
      </c>
      <c r="G43" s="2">
        <f>+'s1'!AK44</f>
        <v>0</v>
      </c>
      <c r="H43" s="2">
        <f>+'s1'!AL44</f>
        <v>0</v>
      </c>
      <c r="I43" s="2">
        <f>+'s1'!AM44</f>
        <v>46.75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0</v>
      </c>
      <c r="O43" s="2">
        <f>+'s1'!AS44</f>
        <v>0</v>
      </c>
      <c r="P43" s="2">
        <f>+'s1'!AT44</f>
        <v>0</v>
      </c>
      <c r="Q43" s="2">
        <f>+'s1'!AU44</f>
        <v>127.54</v>
      </c>
      <c r="R43" s="2">
        <f>+'s1'!AV44</f>
        <v>0</v>
      </c>
      <c r="S43" s="2">
        <f t="shared" si="0"/>
        <v>174.29</v>
      </c>
      <c r="T43" s="2"/>
    </row>
    <row r="44" spans="1:20" x14ac:dyDescent="0.2">
      <c r="A44" s="18" t="s">
        <v>499</v>
      </c>
      <c r="B44" s="2">
        <f>+'s1'!AF45</f>
        <v>0</v>
      </c>
      <c r="C44" s="2">
        <f>+'s1'!AG45</f>
        <v>4680.7700000000004</v>
      </c>
      <c r="D44" s="2">
        <f>+'s1'!AH45</f>
        <v>744.58</v>
      </c>
      <c r="E44" s="2">
        <f>+'s1'!AI45</f>
        <v>0</v>
      </c>
      <c r="F44" s="2">
        <f>+'s1'!AJ45</f>
        <v>0</v>
      </c>
      <c r="G44" s="2">
        <f>+'s1'!AK45</f>
        <v>0</v>
      </c>
      <c r="H44" s="2">
        <f>+'s1'!AL45</f>
        <v>0</v>
      </c>
      <c r="I44" s="2">
        <f>+'s1'!AM45</f>
        <v>0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0</v>
      </c>
      <c r="O44" s="2">
        <f>+'s1'!AS45</f>
        <v>0</v>
      </c>
      <c r="P44" s="2">
        <f>+'s1'!AT45</f>
        <v>0</v>
      </c>
      <c r="Q44" s="2">
        <f>+'s1'!AU45</f>
        <v>13856.57</v>
      </c>
      <c r="R44" s="2">
        <f>+'s1'!AV45</f>
        <v>0</v>
      </c>
      <c r="S44" s="2">
        <f t="shared" si="0"/>
        <v>19281.919999999998</v>
      </c>
      <c r="T44" s="1"/>
    </row>
    <row r="45" spans="1:20" x14ac:dyDescent="0.2">
      <c r="A45" s="18" t="s">
        <v>142</v>
      </c>
      <c r="B45" s="2">
        <f>+'s1'!AF46</f>
        <v>0</v>
      </c>
      <c r="C45" s="2">
        <f>+'s1'!AG46</f>
        <v>0</v>
      </c>
      <c r="D45" s="2">
        <f>+'s1'!AH46</f>
        <v>0</v>
      </c>
      <c r="E45" s="2">
        <f>+'s1'!AI46</f>
        <v>0</v>
      </c>
      <c r="F45" s="2">
        <f>+'s1'!AJ46</f>
        <v>0</v>
      </c>
      <c r="G45" s="2">
        <f>+'s1'!AK46</f>
        <v>0</v>
      </c>
      <c r="H45" s="2">
        <f>+'s1'!AL46</f>
        <v>0</v>
      </c>
      <c r="I45" s="2">
        <f>+'s1'!AM46</f>
        <v>0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5135.04</v>
      </c>
      <c r="O45" s="2">
        <f>+'s1'!AS46</f>
        <v>0</v>
      </c>
      <c r="P45" s="2">
        <f>+'s1'!AT46</f>
        <v>0</v>
      </c>
      <c r="Q45" s="2">
        <f>+'s1'!AU46</f>
        <v>0</v>
      </c>
      <c r="R45" s="2">
        <f>+'s1'!AV46</f>
        <v>0</v>
      </c>
      <c r="S45" s="2">
        <f t="shared" si="0"/>
        <v>5135.04</v>
      </c>
      <c r="T45" s="1"/>
    </row>
    <row r="46" spans="1:20" s="20" customFormat="1" x14ac:dyDescent="0.2">
      <c r="A46" s="1" t="s">
        <v>435</v>
      </c>
      <c r="B46" s="2">
        <f>+'s1'!AF47</f>
        <v>0</v>
      </c>
      <c r="C46" s="2">
        <f>+'s1'!AG47</f>
        <v>0</v>
      </c>
      <c r="D46" s="2">
        <f>+'s1'!AH47</f>
        <v>213632.4</v>
      </c>
      <c r="E46" s="2">
        <f>+'s1'!AI47</f>
        <v>0</v>
      </c>
      <c r="F46" s="2">
        <f>+'s1'!AJ47</f>
        <v>0</v>
      </c>
      <c r="G46" s="2">
        <f>+'s1'!AK47</f>
        <v>0</v>
      </c>
      <c r="H46" s="2">
        <f>+'s1'!AL47</f>
        <v>0</v>
      </c>
      <c r="I46" s="2">
        <f>+'s1'!AM47</f>
        <v>0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2887.86</v>
      </c>
      <c r="O46" s="2">
        <f>+'s1'!AS47</f>
        <v>0</v>
      </c>
      <c r="P46" s="2">
        <f>+'s1'!AT47</f>
        <v>0</v>
      </c>
      <c r="Q46" s="2">
        <f>+'s1'!AU47</f>
        <v>0</v>
      </c>
      <c r="R46" s="2">
        <f>+'s1'!AV47</f>
        <v>0</v>
      </c>
      <c r="S46" s="2">
        <f t="shared" si="0"/>
        <v>216520.26</v>
      </c>
      <c r="T46" s="78"/>
    </row>
    <row r="47" spans="1:20" x14ac:dyDescent="0.2">
      <c r="A47" s="18" t="s">
        <v>502</v>
      </c>
      <c r="B47" s="2">
        <f>+'s1'!AF48</f>
        <v>0</v>
      </c>
      <c r="C47" s="2">
        <f>+'s1'!AG48</f>
        <v>0</v>
      </c>
      <c r="D47" s="2">
        <f>+'s1'!AH48</f>
        <v>0</v>
      </c>
      <c r="E47" s="2">
        <f>+'s1'!AI48</f>
        <v>0</v>
      </c>
      <c r="F47" s="2">
        <f>+'s1'!AJ48</f>
        <v>0</v>
      </c>
      <c r="G47" s="2">
        <f>+'s1'!AK48</f>
        <v>0</v>
      </c>
      <c r="H47" s="2">
        <f>+'s1'!AL48</f>
        <v>0</v>
      </c>
      <c r="I47" s="2">
        <f>+'s1'!AM48</f>
        <v>0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5244.18</v>
      </c>
      <c r="O47" s="2">
        <f>+'s1'!AS48</f>
        <v>0</v>
      </c>
      <c r="P47" s="2">
        <f>+'s1'!AT48</f>
        <v>0</v>
      </c>
      <c r="Q47" s="2">
        <f>+'s1'!AU48</f>
        <v>0</v>
      </c>
      <c r="R47" s="2">
        <f>+'s1'!AV48</f>
        <v>0</v>
      </c>
      <c r="S47" s="2">
        <f t="shared" si="0"/>
        <v>5244.18</v>
      </c>
      <c r="T47" s="2"/>
    </row>
    <row r="48" spans="1:20" s="20" customFormat="1" x14ac:dyDescent="0.2">
      <c r="A48" s="18" t="s">
        <v>610</v>
      </c>
      <c r="B48" s="2">
        <f>+'s1'!AF49</f>
        <v>0</v>
      </c>
      <c r="C48" s="2">
        <f>+'s1'!AG49</f>
        <v>0</v>
      </c>
      <c r="D48" s="2">
        <f>+'s1'!AH49</f>
        <v>38256.57</v>
      </c>
      <c r="E48" s="2">
        <f>+'s1'!AI49</f>
        <v>0</v>
      </c>
      <c r="F48" s="2">
        <f>+'s1'!AJ49</f>
        <v>5277.18</v>
      </c>
      <c r="G48" s="2">
        <f>+'s1'!AK49</f>
        <v>0</v>
      </c>
      <c r="H48" s="2">
        <f>+'s1'!AL49</f>
        <v>0</v>
      </c>
      <c r="I48" s="2">
        <f>+'s1'!AM49</f>
        <v>3269.93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0</v>
      </c>
      <c r="O48" s="2">
        <f>+'s1'!AS49</f>
        <v>0</v>
      </c>
      <c r="P48" s="2">
        <f>+'s1'!AT49</f>
        <v>0</v>
      </c>
      <c r="Q48" s="2">
        <f>+'s1'!AU49</f>
        <v>0</v>
      </c>
      <c r="R48" s="2">
        <f>+'s1'!AV49</f>
        <v>0</v>
      </c>
      <c r="S48" s="2">
        <f t="shared" si="0"/>
        <v>46803.68</v>
      </c>
      <c r="T48" s="78"/>
    </row>
    <row r="49" spans="1:20" x14ac:dyDescent="0.2">
      <c r="A49" s="7" t="s">
        <v>352</v>
      </c>
      <c r="B49" s="2">
        <f>+'s1'!AF50</f>
        <v>0</v>
      </c>
      <c r="C49" s="2">
        <f>+'s1'!AG50</f>
        <v>0</v>
      </c>
      <c r="D49" s="2">
        <f>+'s1'!AH50</f>
        <v>0</v>
      </c>
      <c r="E49" s="2">
        <f>+'s1'!AI50</f>
        <v>0</v>
      </c>
      <c r="F49" s="2">
        <f>+'s1'!AJ50</f>
        <v>0</v>
      </c>
      <c r="G49" s="2">
        <f>+'s1'!AK50</f>
        <v>789.29</v>
      </c>
      <c r="H49" s="2">
        <f>+'s1'!AL50</f>
        <v>0</v>
      </c>
      <c r="I49" s="2">
        <f>+'s1'!AM50</f>
        <v>0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1856.43</v>
      </c>
      <c r="N49" s="2">
        <f>+'s1'!AR50</f>
        <v>3757.99</v>
      </c>
      <c r="O49" s="2">
        <f>+'s1'!AS50</f>
        <v>0</v>
      </c>
      <c r="P49" s="2">
        <f>+'s1'!AT50</f>
        <v>0</v>
      </c>
      <c r="Q49" s="2">
        <f>+'s1'!AU50</f>
        <v>0</v>
      </c>
      <c r="R49" s="2">
        <f>+'s1'!AV50</f>
        <v>3321.26</v>
      </c>
      <c r="S49" s="2">
        <f t="shared" si="0"/>
        <v>9724.9699999999993</v>
      </c>
      <c r="T49" s="2"/>
    </row>
    <row r="50" spans="1:20" s="20" customFormat="1" x14ac:dyDescent="0.2">
      <c r="A50" s="243" t="s">
        <v>459</v>
      </c>
      <c r="B50" s="2">
        <f>+'s1'!AF51</f>
        <v>0</v>
      </c>
      <c r="C50" s="2">
        <f>+'s1'!AG51</f>
        <v>0</v>
      </c>
      <c r="D50" s="2">
        <f>+'s1'!AH51</f>
        <v>46722.8</v>
      </c>
      <c r="E50" s="2">
        <f>+'s1'!AI51</f>
        <v>0</v>
      </c>
      <c r="F50" s="2">
        <f>+'s1'!AJ51</f>
        <v>0</v>
      </c>
      <c r="G50" s="2">
        <f>+'s1'!AK51</f>
        <v>0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0</v>
      </c>
      <c r="N50" s="2">
        <f>+'s1'!AR51</f>
        <v>0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0</v>
      </c>
      <c r="S50" s="2">
        <f t="shared" si="0"/>
        <v>46722.8</v>
      </c>
      <c r="T50" s="78"/>
    </row>
    <row r="51" spans="1:20" x14ac:dyDescent="0.2">
      <c r="A51" s="7" t="s">
        <v>436</v>
      </c>
      <c r="B51" s="2">
        <f>+'s1'!AF52</f>
        <v>0</v>
      </c>
      <c r="C51" s="2">
        <f>+'s1'!AG52</f>
        <v>0</v>
      </c>
      <c r="D51" s="2">
        <f>+'s1'!AH52</f>
        <v>0</v>
      </c>
      <c r="E51" s="2">
        <f>+'s1'!AI52</f>
        <v>0</v>
      </c>
      <c r="F51" s="2">
        <f>+'s1'!AJ52</f>
        <v>0</v>
      </c>
      <c r="G51" s="2">
        <f>+'s1'!AK52</f>
        <v>0</v>
      </c>
      <c r="H51" s="2">
        <f>+'s1'!AL52</f>
        <v>0</v>
      </c>
      <c r="I51" s="2">
        <f>+'s1'!AM52</f>
        <v>2130.91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0</v>
      </c>
      <c r="O51" s="2">
        <f>+'s1'!AS52</f>
        <v>0</v>
      </c>
      <c r="P51" s="2">
        <f>+'s1'!AT52</f>
        <v>0</v>
      </c>
      <c r="Q51" s="2">
        <f>+'s1'!AU52</f>
        <v>0</v>
      </c>
      <c r="R51" s="2">
        <f>+'s1'!AV52</f>
        <v>0</v>
      </c>
      <c r="S51" s="2">
        <f t="shared" si="0"/>
        <v>2130.91</v>
      </c>
      <c r="T51" s="2"/>
    </row>
    <row r="52" spans="1:20" s="20" customFormat="1" x14ac:dyDescent="0.2">
      <c r="A52" s="1" t="s">
        <v>46</v>
      </c>
      <c r="B52" s="2">
        <f>+'s1'!AF53</f>
        <v>0</v>
      </c>
      <c r="C52" s="2">
        <f>+'s1'!AG53</f>
        <v>0</v>
      </c>
      <c r="D52" s="2">
        <f>+'s1'!AH53</f>
        <v>0</v>
      </c>
      <c r="E52" s="2">
        <f>+'s1'!AI53</f>
        <v>0</v>
      </c>
      <c r="F52" s="2">
        <f>+'s1'!AJ53</f>
        <v>2967.48</v>
      </c>
      <c r="G52" s="2">
        <f>+'s1'!AK53</f>
        <v>0</v>
      </c>
      <c r="H52" s="2">
        <f>+'s1'!AL53</f>
        <v>0</v>
      </c>
      <c r="I52" s="2">
        <f>+'s1'!AM53</f>
        <v>976.46</v>
      </c>
      <c r="J52" s="2">
        <f>+'s1'!AN53</f>
        <v>0</v>
      </c>
      <c r="K52" s="2">
        <f>+'s1'!AO53</f>
        <v>0</v>
      </c>
      <c r="L52" s="2">
        <f>+'s1'!AP53</f>
        <v>0</v>
      </c>
      <c r="M52" s="2">
        <f>+'s1'!AQ53</f>
        <v>0</v>
      </c>
      <c r="N52" s="2">
        <f>+'s1'!AR53</f>
        <v>0</v>
      </c>
      <c r="O52" s="2">
        <f>+'s1'!AS53</f>
        <v>0</v>
      </c>
      <c r="P52" s="2">
        <f>+'s1'!AT53</f>
        <v>0</v>
      </c>
      <c r="Q52" s="2">
        <f>+'s1'!AU53</f>
        <v>0</v>
      </c>
      <c r="R52" s="2">
        <f>+'s1'!AV53</f>
        <v>0</v>
      </c>
      <c r="S52" s="2">
        <f t="shared" si="0"/>
        <v>3943.94</v>
      </c>
      <c r="T52" s="78"/>
    </row>
    <row r="53" spans="1:20" s="20" customFormat="1" x14ac:dyDescent="0.2">
      <c r="A53" s="18" t="s">
        <v>47</v>
      </c>
      <c r="B53" s="2">
        <f>+'s1'!AF54</f>
        <v>0</v>
      </c>
      <c r="C53" s="2">
        <f>+'s1'!AG54</f>
        <v>0</v>
      </c>
      <c r="D53" s="2">
        <f>+'s1'!AH54</f>
        <v>140388.47</v>
      </c>
      <c r="E53" s="2">
        <f>+'s1'!AI54</f>
        <v>0</v>
      </c>
      <c r="F53" s="2">
        <f>+'s1'!AJ54</f>
        <v>1932.83</v>
      </c>
      <c r="G53" s="2">
        <f>+'s1'!AK54</f>
        <v>0</v>
      </c>
      <c r="H53" s="2">
        <f>+'s1'!AL54</f>
        <v>1275.6099999999999</v>
      </c>
      <c r="I53" s="2">
        <f>+'s1'!AM54</f>
        <v>3130.13</v>
      </c>
      <c r="J53" s="2">
        <f>+'s1'!AN54</f>
        <v>88.2</v>
      </c>
      <c r="K53" s="2">
        <f>+'s1'!AO54</f>
        <v>3366.85</v>
      </c>
      <c r="L53" s="2">
        <f>+'s1'!AP54</f>
        <v>0</v>
      </c>
      <c r="M53" s="2">
        <f>+'s1'!AQ54</f>
        <v>0</v>
      </c>
      <c r="N53" s="2">
        <f>+'s1'!AR54</f>
        <v>39.4</v>
      </c>
      <c r="O53" s="2">
        <f>+'s1'!AS54</f>
        <v>613.25</v>
      </c>
      <c r="P53" s="2">
        <f>+'s1'!AT54</f>
        <v>0</v>
      </c>
      <c r="Q53" s="2">
        <f>+'s1'!AU54</f>
        <v>1228.98</v>
      </c>
      <c r="R53" s="2">
        <f>+'s1'!AV54</f>
        <v>1243.8800000000001</v>
      </c>
      <c r="S53" s="2">
        <f t="shared" si="0"/>
        <v>153307.6</v>
      </c>
      <c r="T53" s="78"/>
    </row>
    <row r="54" spans="1:20" x14ac:dyDescent="0.2">
      <c r="A54" s="1" t="s">
        <v>783</v>
      </c>
      <c r="B54" s="2">
        <f>+'s1'!AF55</f>
        <v>0</v>
      </c>
      <c r="C54" s="2">
        <f>+'s1'!AG55</f>
        <v>0</v>
      </c>
      <c r="D54" s="2">
        <f>+'s1'!AH55</f>
        <v>0</v>
      </c>
      <c r="E54" s="2">
        <f>+'s1'!AI55</f>
        <v>0</v>
      </c>
      <c r="F54" s="2">
        <f>+'s1'!AJ55</f>
        <v>0</v>
      </c>
      <c r="G54" s="2">
        <f>+'s1'!AK55</f>
        <v>0</v>
      </c>
      <c r="H54" s="2">
        <f>+'s1'!AL55</f>
        <v>0</v>
      </c>
      <c r="I54" s="2">
        <f>+'s1'!AM55</f>
        <v>0</v>
      </c>
      <c r="J54" s="2">
        <f>+'s1'!AN55</f>
        <v>0</v>
      </c>
      <c r="K54" s="2">
        <f>+'s1'!AO55</f>
        <v>0</v>
      </c>
      <c r="L54" s="2">
        <f>+'s1'!AP55</f>
        <v>0</v>
      </c>
      <c r="M54" s="2">
        <f>+'s1'!AQ55</f>
        <v>0</v>
      </c>
      <c r="N54" s="2">
        <f>+'s1'!AR55</f>
        <v>0</v>
      </c>
      <c r="O54" s="2">
        <f>+'s1'!AS55</f>
        <v>0</v>
      </c>
      <c r="P54" s="2">
        <f>+'s1'!AT55</f>
        <v>0</v>
      </c>
      <c r="Q54" s="2">
        <f>+'s1'!AU55</f>
        <v>0</v>
      </c>
      <c r="R54" s="2">
        <f>+'s1'!AV55</f>
        <v>0</v>
      </c>
      <c r="S54" s="2">
        <f>SUM(B54:R54)</f>
        <v>0</v>
      </c>
      <c r="T54" s="2"/>
    </row>
    <row r="55" spans="1:20" s="20" customFormat="1" x14ac:dyDescent="0.2">
      <c r="A55" s="1" t="s">
        <v>48</v>
      </c>
      <c r="B55" s="2">
        <f>+'s1'!AF56</f>
        <v>0</v>
      </c>
      <c r="C55" s="2">
        <f>+'s1'!AG56</f>
        <v>0</v>
      </c>
      <c r="D55" s="2">
        <f>+'s1'!AH56</f>
        <v>1057437.21</v>
      </c>
      <c r="E55" s="2">
        <f>+'s1'!AI56</f>
        <v>0</v>
      </c>
      <c r="F55" s="2">
        <f>+'s1'!AJ56</f>
        <v>0</v>
      </c>
      <c r="G55" s="2">
        <f>+'s1'!AK56</f>
        <v>0</v>
      </c>
      <c r="H55" s="2">
        <f>+'s1'!AL56</f>
        <v>0</v>
      </c>
      <c r="I55" s="2">
        <f>+'s1'!AM56</f>
        <v>0</v>
      </c>
      <c r="J55" s="2">
        <f>+'s1'!AN56</f>
        <v>0</v>
      </c>
      <c r="K55" s="2">
        <f>+'s1'!AO56</f>
        <v>0</v>
      </c>
      <c r="L55" s="2">
        <f>+'s1'!AP56</f>
        <v>0</v>
      </c>
      <c r="M55" s="2">
        <f>+'s1'!AQ56</f>
        <v>0</v>
      </c>
      <c r="N55" s="2">
        <f>+'s1'!AR56</f>
        <v>14777.62</v>
      </c>
      <c r="O55" s="2">
        <f>+'s1'!AS56</f>
        <v>0</v>
      </c>
      <c r="P55" s="2">
        <f>+'s1'!AT56</f>
        <v>0</v>
      </c>
      <c r="Q55" s="2">
        <f>+'s1'!AU56</f>
        <v>0</v>
      </c>
      <c r="R55" s="2">
        <f>+'s1'!AV56</f>
        <v>0</v>
      </c>
      <c r="S55" s="2">
        <f t="shared" si="0"/>
        <v>1072214.83</v>
      </c>
      <c r="T55" s="78"/>
    </row>
    <row r="56" spans="1:20" s="20" customFormat="1" x14ac:dyDescent="0.2">
      <c r="A56" s="1" t="s">
        <v>362</v>
      </c>
      <c r="B56" s="2">
        <f>+'s1'!AF57</f>
        <v>3720.54</v>
      </c>
      <c r="C56" s="2">
        <f>+'s1'!AG57</f>
        <v>0</v>
      </c>
      <c r="D56" s="2">
        <f>+'s1'!AH57</f>
        <v>1323.71</v>
      </c>
      <c r="E56" s="2">
        <f>+'s1'!AI57</f>
        <v>0</v>
      </c>
      <c r="F56" s="2">
        <f>+'s1'!AJ57</f>
        <v>0</v>
      </c>
      <c r="G56" s="2">
        <f>+'s1'!AK57</f>
        <v>0</v>
      </c>
      <c r="H56" s="2">
        <f>+'s1'!AL57</f>
        <v>0</v>
      </c>
      <c r="I56" s="2">
        <f>+'s1'!AM57</f>
        <v>0</v>
      </c>
      <c r="J56" s="2">
        <f>+'s1'!AN57</f>
        <v>0</v>
      </c>
      <c r="K56" s="2">
        <f>+'s1'!AO57</f>
        <v>0</v>
      </c>
      <c r="L56" s="2">
        <f>+'s1'!AP57</f>
        <v>0</v>
      </c>
      <c r="M56" s="2">
        <f>+'s1'!AQ57</f>
        <v>0</v>
      </c>
      <c r="N56" s="2">
        <f>+'s1'!AR57</f>
        <v>0</v>
      </c>
      <c r="O56" s="2">
        <f>+'s1'!AS57</f>
        <v>0</v>
      </c>
      <c r="P56" s="2">
        <f>+'s1'!AT57</f>
        <v>0</v>
      </c>
      <c r="Q56" s="2">
        <f>+'s1'!AU57</f>
        <v>0</v>
      </c>
      <c r="R56" s="2">
        <f>+'s1'!AV57</f>
        <v>0</v>
      </c>
      <c r="S56" s="2">
        <f t="shared" si="0"/>
        <v>5044.25</v>
      </c>
      <c r="T56" s="78"/>
    </row>
    <row r="57" spans="1:20" s="20" customFormat="1" x14ac:dyDescent="0.2">
      <c r="A57" s="1" t="s">
        <v>49</v>
      </c>
      <c r="B57" s="2">
        <f>+'s1'!AF58</f>
        <v>0</v>
      </c>
      <c r="C57" s="2">
        <f>+'s1'!AG58</f>
        <v>0</v>
      </c>
      <c r="D57" s="2">
        <f>+'s1'!AH58</f>
        <v>917.02</v>
      </c>
      <c r="E57" s="2">
        <f>+'s1'!AI58</f>
        <v>0</v>
      </c>
      <c r="F57" s="2">
        <f>+'s1'!AJ58</f>
        <v>0</v>
      </c>
      <c r="G57" s="2">
        <f>+'s1'!AK58</f>
        <v>0</v>
      </c>
      <c r="H57" s="2">
        <f>+'s1'!AL58</f>
        <v>0</v>
      </c>
      <c r="I57" s="2">
        <f>+'s1'!AM58</f>
        <v>0</v>
      </c>
      <c r="J57" s="2">
        <f>+'s1'!AN58</f>
        <v>0</v>
      </c>
      <c r="K57" s="2">
        <f>+'s1'!AO58</f>
        <v>0</v>
      </c>
      <c r="L57" s="2">
        <f>+'s1'!AP58</f>
        <v>0</v>
      </c>
      <c r="M57" s="2">
        <f>+'s1'!AQ58</f>
        <v>0</v>
      </c>
      <c r="N57" s="2">
        <f>+'s1'!AR58</f>
        <v>0</v>
      </c>
      <c r="O57" s="2">
        <f>+'s1'!AS58</f>
        <v>0</v>
      </c>
      <c r="P57" s="2">
        <f>+'s1'!AT58</f>
        <v>0</v>
      </c>
      <c r="Q57" s="2">
        <f>+'s1'!AU58</f>
        <v>0</v>
      </c>
      <c r="R57" s="2">
        <f>+'s1'!AV58</f>
        <v>0</v>
      </c>
      <c r="S57" s="2">
        <f t="shared" si="0"/>
        <v>917.02</v>
      </c>
      <c r="T57" s="78"/>
    </row>
    <row r="58" spans="1:20" s="20" customFormat="1" x14ac:dyDescent="0.2">
      <c r="A58" s="1" t="s">
        <v>354</v>
      </c>
      <c r="B58" s="2">
        <f>+'s1'!AF59</f>
        <v>2253.42</v>
      </c>
      <c r="C58" s="2">
        <f>+'s1'!AG59</f>
        <v>1759.33</v>
      </c>
      <c r="D58" s="2">
        <f>+'s1'!AH59</f>
        <v>0</v>
      </c>
      <c r="E58" s="2">
        <f>+'s1'!AI59</f>
        <v>2487.12</v>
      </c>
      <c r="F58" s="2">
        <f>+'s1'!AJ59</f>
        <v>501.76</v>
      </c>
      <c r="G58" s="2">
        <f>+'s1'!AK59</f>
        <v>0</v>
      </c>
      <c r="H58" s="2">
        <f>+'s1'!AL59</f>
        <v>0</v>
      </c>
      <c r="I58" s="2">
        <f>+'s1'!AM59</f>
        <v>2.4700000000000002</v>
      </c>
      <c r="J58" s="2">
        <f>+'s1'!AN59</f>
        <v>0</v>
      </c>
      <c r="K58" s="2">
        <f>+'s1'!AO59</f>
        <v>0</v>
      </c>
      <c r="L58" s="2">
        <f>+'s1'!AP59</f>
        <v>1205.52</v>
      </c>
      <c r="M58" s="2">
        <f>+'s1'!AQ59</f>
        <v>0</v>
      </c>
      <c r="N58" s="2">
        <f>+'s1'!AR59</f>
        <v>0</v>
      </c>
      <c r="O58" s="2">
        <f>+'s1'!AS59</f>
        <v>0</v>
      </c>
      <c r="P58" s="2">
        <f>+'s1'!AT59</f>
        <v>91.73</v>
      </c>
      <c r="Q58" s="2">
        <f>+'s1'!AU59</f>
        <v>11383</v>
      </c>
      <c r="R58" s="2">
        <f>+'s1'!AV59</f>
        <v>0</v>
      </c>
      <c r="S58" s="2">
        <f t="shared" si="0"/>
        <v>19684.349999999999</v>
      </c>
      <c r="T58" s="78"/>
    </row>
    <row r="59" spans="1:20" x14ac:dyDescent="0.2">
      <c r="A59" s="1" t="s">
        <v>50</v>
      </c>
      <c r="B59" s="2">
        <f>+'s1'!AF60</f>
        <v>1800.07</v>
      </c>
      <c r="C59" s="2">
        <f>+'s1'!AG60</f>
        <v>0</v>
      </c>
      <c r="D59" s="2">
        <f>+'s1'!AH60</f>
        <v>13841.31</v>
      </c>
      <c r="E59" s="2">
        <f>+'s1'!AI60</f>
        <v>0</v>
      </c>
      <c r="F59" s="2">
        <f>+'s1'!AJ60</f>
        <v>8567.1200000000008</v>
      </c>
      <c r="G59" s="2">
        <f>+'s1'!AK60</f>
        <v>0</v>
      </c>
      <c r="H59" s="2">
        <f>+'s1'!AL60</f>
        <v>0</v>
      </c>
      <c r="I59" s="2">
        <f>+'s1'!AM60</f>
        <v>1146.95</v>
      </c>
      <c r="J59" s="2">
        <f>+'s1'!AN60</f>
        <v>0</v>
      </c>
      <c r="K59" s="2">
        <f>+'s1'!AO60</f>
        <v>0</v>
      </c>
      <c r="L59" s="2">
        <f>+'s1'!AP60</f>
        <v>9120.14</v>
      </c>
      <c r="M59" s="2">
        <f>+'s1'!AQ60</f>
        <v>3449.5</v>
      </c>
      <c r="N59" s="2">
        <f>+'s1'!AR60</f>
        <v>2510.7600000000002</v>
      </c>
      <c r="O59" s="2">
        <f>+'s1'!AS60</f>
        <v>0</v>
      </c>
      <c r="P59" s="2">
        <f>+'s1'!AT60</f>
        <v>0</v>
      </c>
      <c r="Q59" s="2">
        <f>+'s1'!AU60</f>
        <v>87713.93</v>
      </c>
      <c r="R59" s="2">
        <f>+'s1'!AV60</f>
        <v>0</v>
      </c>
      <c r="S59" s="2">
        <f t="shared" si="0"/>
        <v>128149.78</v>
      </c>
      <c r="T59" s="2"/>
    </row>
    <row r="60" spans="1:20" x14ac:dyDescent="0.2">
      <c r="A60" s="1" t="s">
        <v>51</v>
      </c>
      <c r="B60" s="2">
        <f>+'s1'!AF61</f>
        <v>0</v>
      </c>
      <c r="C60" s="2">
        <f>+'s1'!AG61</f>
        <v>0</v>
      </c>
      <c r="D60" s="2">
        <f>+'s1'!AH61</f>
        <v>20523.88</v>
      </c>
      <c r="E60" s="2">
        <f>+'s1'!AI61</f>
        <v>0</v>
      </c>
      <c r="F60" s="2">
        <f>+'s1'!AJ61</f>
        <v>0</v>
      </c>
      <c r="G60" s="2">
        <f>+'s1'!AK61</f>
        <v>0</v>
      </c>
      <c r="H60" s="2">
        <f>+'s1'!AL61</f>
        <v>0</v>
      </c>
      <c r="I60" s="2">
        <f>+'s1'!AM61</f>
        <v>0</v>
      </c>
      <c r="J60" s="2">
        <f>+'s1'!AN61</f>
        <v>0</v>
      </c>
      <c r="K60" s="2">
        <f>+'s1'!AO61</f>
        <v>1198.58</v>
      </c>
      <c r="L60" s="2">
        <f>+'s1'!AP61</f>
        <v>0</v>
      </c>
      <c r="M60" s="2">
        <f>+'s1'!AQ61</f>
        <v>0</v>
      </c>
      <c r="N60" s="2">
        <f>+'s1'!AR61</f>
        <v>0</v>
      </c>
      <c r="O60" s="2">
        <f>+'s1'!AS61</f>
        <v>0</v>
      </c>
      <c r="P60" s="2">
        <f>+'s1'!AT61</f>
        <v>0</v>
      </c>
      <c r="Q60" s="2">
        <f>+'s1'!AU61</f>
        <v>0</v>
      </c>
      <c r="R60" s="2">
        <f>+'s1'!AV61</f>
        <v>1524.36</v>
      </c>
      <c r="S60" s="2">
        <f t="shared" si="0"/>
        <v>23246.82</v>
      </c>
      <c r="T60" s="1"/>
    </row>
    <row r="61" spans="1:20" x14ac:dyDescent="0.2">
      <c r="A61" s="1" t="s">
        <v>477</v>
      </c>
      <c r="B61" s="2">
        <f>+'s1'!AF62</f>
        <v>0</v>
      </c>
      <c r="C61" s="2">
        <f>+'s1'!AG62</f>
        <v>0</v>
      </c>
      <c r="D61" s="2">
        <f>+'s1'!AH62</f>
        <v>0</v>
      </c>
      <c r="E61" s="2">
        <f>+'s1'!AI62</f>
        <v>0</v>
      </c>
      <c r="F61" s="2">
        <f>+'s1'!AJ62</f>
        <v>0</v>
      </c>
      <c r="G61" s="2">
        <f>+'s1'!AK62</f>
        <v>0</v>
      </c>
      <c r="H61" s="2">
        <f>+'s1'!AL62</f>
        <v>0</v>
      </c>
      <c r="I61" s="2">
        <f>+'s1'!AM62</f>
        <v>0</v>
      </c>
      <c r="J61" s="2">
        <f>+'s1'!AN62</f>
        <v>0</v>
      </c>
      <c r="K61" s="2">
        <f>+'s1'!AO62</f>
        <v>0</v>
      </c>
      <c r="L61" s="2">
        <f>+'s1'!AP62</f>
        <v>0</v>
      </c>
      <c r="M61" s="2">
        <f>+'s1'!AQ62</f>
        <v>0</v>
      </c>
      <c r="N61" s="2">
        <f>+'s1'!AR62</f>
        <v>0</v>
      </c>
      <c r="O61" s="2">
        <f>+'s1'!AS62</f>
        <v>0</v>
      </c>
      <c r="P61" s="2">
        <f>+'s1'!AT62</f>
        <v>0</v>
      </c>
      <c r="Q61" s="2">
        <f>+'s1'!AU62</f>
        <v>0</v>
      </c>
      <c r="R61" s="2">
        <f>+'s1'!AV62</f>
        <v>527.97</v>
      </c>
      <c r="S61" s="2">
        <f t="shared" si="0"/>
        <v>527.97</v>
      </c>
      <c r="T61" s="2"/>
    </row>
    <row r="62" spans="1:20" x14ac:dyDescent="0.2">
      <c r="A62" s="1" t="s">
        <v>437</v>
      </c>
      <c r="B62" s="2">
        <f>+'s1'!AF63</f>
        <v>0</v>
      </c>
      <c r="C62" s="2">
        <f>+'s1'!AG63</f>
        <v>0</v>
      </c>
      <c r="D62" s="2">
        <f>+'s1'!AH63</f>
        <v>5901.99</v>
      </c>
      <c r="E62" s="2">
        <f>+'s1'!AI63</f>
        <v>0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0</v>
      </c>
      <c r="M62" s="2">
        <f>+'s1'!AQ63</f>
        <v>0</v>
      </c>
      <c r="N62" s="2">
        <f>+'s1'!AR63</f>
        <v>0</v>
      </c>
      <c r="O62" s="2">
        <f>+'s1'!AS63</f>
        <v>0</v>
      </c>
      <c r="P62" s="2">
        <f>+'s1'!AT63</f>
        <v>0</v>
      </c>
      <c r="Q62" s="2">
        <f>+'s1'!AU63</f>
        <v>754.2</v>
      </c>
      <c r="R62" s="2">
        <f>+'s1'!AV63</f>
        <v>0</v>
      </c>
      <c r="S62" s="2">
        <f t="shared" si="0"/>
        <v>6656.19</v>
      </c>
      <c r="T62" s="2"/>
    </row>
    <row r="63" spans="1:20" s="20" customFormat="1" x14ac:dyDescent="0.2">
      <c r="A63" s="1" t="s">
        <v>52</v>
      </c>
      <c r="B63" s="2">
        <f>+'s1'!AF64</f>
        <v>0</v>
      </c>
      <c r="C63" s="2">
        <f>+'s1'!AG64</f>
        <v>0</v>
      </c>
      <c r="D63" s="2">
        <f>+'s1'!AH64</f>
        <v>28145.24</v>
      </c>
      <c r="E63" s="2">
        <f>+'s1'!AI64</f>
        <v>0</v>
      </c>
      <c r="F63" s="2">
        <f>+'s1'!AJ64</f>
        <v>11033.55</v>
      </c>
      <c r="G63" s="2">
        <f>+'s1'!AK64</f>
        <v>0</v>
      </c>
      <c r="H63" s="2">
        <f>+'s1'!AL64</f>
        <v>0</v>
      </c>
      <c r="I63" s="2">
        <f>+'s1'!AM64</f>
        <v>18206.689999999999</v>
      </c>
      <c r="J63" s="2">
        <f>+'s1'!AN64</f>
        <v>0</v>
      </c>
      <c r="K63" s="2">
        <f>+'s1'!AO64</f>
        <v>0</v>
      </c>
      <c r="L63" s="2">
        <f>+'s1'!AP64</f>
        <v>0</v>
      </c>
      <c r="M63" s="2">
        <f>+'s1'!AQ64</f>
        <v>0</v>
      </c>
      <c r="N63" s="2">
        <f>+'s1'!AR64</f>
        <v>0</v>
      </c>
      <c r="O63" s="2">
        <f>+'s1'!AS64</f>
        <v>0</v>
      </c>
      <c r="P63" s="2">
        <f>+'s1'!AT64</f>
        <v>0</v>
      </c>
      <c r="Q63" s="2">
        <f>+'s1'!AU64</f>
        <v>0</v>
      </c>
      <c r="R63" s="2">
        <f>+'s1'!AV64</f>
        <v>0</v>
      </c>
      <c r="S63" s="2">
        <f t="shared" si="0"/>
        <v>57385.48</v>
      </c>
      <c r="T63" s="78"/>
    </row>
    <row r="64" spans="1:20" s="20" customFormat="1" x14ac:dyDescent="0.2">
      <c r="A64" s="1" t="s">
        <v>460</v>
      </c>
      <c r="B64" s="2">
        <f>+'s1'!AF65</f>
        <v>0</v>
      </c>
      <c r="C64" s="2">
        <f>+'s1'!AG65</f>
        <v>70.209999999999994</v>
      </c>
      <c r="D64" s="2">
        <f>+'s1'!AH65</f>
        <v>0</v>
      </c>
      <c r="E64" s="2">
        <f>+'s1'!AI65</f>
        <v>0</v>
      </c>
      <c r="F64" s="2">
        <f>+'s1'!AJ65</f>
        <v>0</v>
      </c>
      <c r="G64" s="2">
        <f>+'s1'!AK65</f>
        <v>0</v>
      </c>
      <c r="H64" s="2">
        <f>+'s1'!AL65</f>
        <v>0</v>
      </c>
      <c r="I64" s="2">
        <f>+'s1'!AM65</f>
        <v>0</v>
      </c>
      <c r="J64" s="2">
        <f>+'s1'!AN65</f>
        <v>0</v>
      </c>
      <c r="K64" s="2">
        <f>+'s1'!AO65</f>
        <v>0</v>
      </c>
      <c r="L64" s="2">
        <f>+'s1'!AP65</f>
        <v>3861.4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0</v>
      </c>
      <c r="S64" s="2">
        <f t="shared" si="0"/>
        <v>3931.61</v>
      </c>
      <c r="T64" s="78"/>
    </row>
    <row r="65" spans="1:20" s="20" customFormat="1" x14ac:dyDescent="0.2">
      <c r="A65" s="1" t="s">
        <v>731</v>
      </c>
      <c r="B65" s="2">
        <f>+'s1'!AF66</f>
        <v>0</v>
      </c>
      <c r="C65" s="2">
        <f>+'s1'!AG66</f>
        <v>0</v>
      </c>
      <c r="D65" s="2">
        <f>+'s1'!AH66</f>
        <v>7274.22</v>
      </c>
      <c r="E65" s="2">
        <f>+'s1'!AI66</f>
        <v>0</v>
      </c>
      <c r="F65" s="2">
        <f>+'s1'!AJ66</f>
        <v>0</v>
      </c>
      <c r="G65" s="2">
        <f>+'s1'!AK66</f>
        <v>0</v>
      </c>
      <c r="H65" s="2">
        <f>+'s1'!AL66</f>
        <v>0</v>
      </c>
      <c r="I65" s="2">
        <f>+'s1'!AM66</f>
        <v>0</v>
      </c>
      <c r="J65" s="2">
        <f>+'s1'!AN66</f>
        <v>0</v>
      </c>
      <c r="K65" s="2">
        <f>+'s1'!AO66</f>
        <v>0</v>
      </c>
      <c r="L65" s="2">
        <f>+'s1'!AP66</f>
        <v>0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0</v>
      </c>
      <c r="Q65" s="2">
        <f>+'s1'!AU66</f>
        <v>0</v>
      </c>
      <c r="R65" s="2">
        <f>+'s1'!AV66</f>
        <v>0</v>
      </c>
      <c r="S65" s="2">
        <f>SUM(B65:R65)</f>
        <v>7274.22</v>
      </c>
      <c r="T65" s="18"/>
    </row>
    <row r="66" spans="1:20" s="20" customFormat="1" x14ac:dyDescent="0.2">
      <c r="A66" s="1" t="s">
        <v>732</v>
      </c>
      <c r="B66" s="2">
        <f>+'s1'!AF67</f>
        <v>0</v>
      </c>
      <c r="C66" s="2">
        <f>+'s1'!AG67</f>
        <v>0</v>
      </c>
      <c r="D66" s="2">
        <f>+'s1'!AH67</f>
        <v>0</v>
      </c>
      <c r="E66" s="2">
        <f>+'s1'!AI67</f>
        <v>0</v>
      </c>
      <c r="F66" s="2">
        <f>+'s1'!AJ67</f>
        <v>0</v>
      </c>
      <c r="G66" s="2">
        <f>+'s1'!AK67</f>
        <v>0</v>
      </c>
      <c r="H66" s="2">
        <f>+'s1'!AL67</f>
        <v>0</v>
      </c>
      <c r="I66" s="2">
        <f>+'s1'!AM67</f>
        <v>0</v>
      </c>
      <c r="J66" s="2">
        <f>+'s1'!AN67</f>
        <v>0</v>
      </c>
      <c r="K66" s="2">
        <f>+'s1'!AO67</f>
        <v>0</v>
      </c>
      <c r="L66" s="2">
        <f>+'s1'!AP67</f>
        <v>13036.84</v>
      </c>
      <c r="M66" s="2">
        <f>+'s1'!AQ67</f>
        <v>0</v>
      </c>
      <c r="N66" s="2">
        <f>+'s1'!AR67</f>
        <v>0</v>
      </c>
      <c r="O66" s="2">
        <f>+'s1'!AS67</f>
        <v>0</v>
      </c>
      <c r="P66" s="2">
        <f>+'s1'!AT67</f>
        <v>0</v>
      </c>
      <c r="Q66" s="2">
        <f>+'s1'!AU67</f>
        <v>0</v>
      </c>
      <c r="R66" s="2">
        <f>+'s1'!AV67</f>
        <v>0</v>
      </c>
      <c r="S66" s="2">
        <f>SUM(B66:R66)</f>
        <v>13036.84</v>
      </c>
      <c r="T66" s="18"/>
    </row>
    <row r="67" spans="1:20" s="20" customFormat="1" x14ac:dyDescent="0.2">
      <c r="A67" s="1" t="s">
        <v>53</v>
      </c>
      <c r="B67" s="2">
        <f>+'s1'!AF68</f>
        <v>0</v>
      </c>
      <c r="C67" s="2">
        <f>+'s1'!AG68</f>
        <v>0</v>
      </c>
      <c r="D67" s="2">
        <f>+'s1'!AH68</f>
        <v>0</v>
      </c>
      <c r="E67" s="2">
        <f>+'s1'!AI68</f>
        <v>180.79</v>
      </c>
      <c r="F67" s="2">
        <f>+'s1'!AJ68</f>
        <v>0</v>
      </c>
      <c r="G67" s="2">
        <f>+'s1'!AK68</f>
        <v>0</v>
      </c>
      <c r="H67" s="2">
        <f>+'s1'!AL68</f>
        <v>0</v>
      </c>
      <c r="I67" s="2">
        <f>+'s1'!AM68</f>
        <v>0</v>
      </c>
      <c r="J67" s="2">
        <f>+'s1'!AN68</f>
        <v>0</v>
      </c>
      <c r="K67" s="2">
        <f>+'s1'!AO68</f>
        <v>0</v>
      </c>
      <c r="L67" s="2">
        <f>+'s1'!AP68</f>
        <v>45.69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0</v>
      </c>
      <c r="R67" s="2">
        <f>+'s1'!AV68</f>
        <v>0</v>
      </c>
      <c r="S67" s="2">
        <f t="shared" si="0"/>
        <v>226.48</v>
      </c>
      <c r="T67" s="18"/>
    </row>
    <row r="68" spans="1:20" x14ac:dyDescent="0.2">
      <c r="A68" s="1" t="s">
        <v>54</v>
      </c>
      <c r="B68" s="2">
        <f>+'s1'!AF69</f>
        <v>0</v>
      </c>
      <c r="C68" s="2">
        <f>+'s1'!AG69</f>
        <v>0</v>
      </c>
      <c r="D68" s="2">
        <f>+'s1'!AH69</f>
        <v>0</v>
      </c>
      <c r="E68" s="2">
        <f>+'s1'!AI69</f>
        <v>1812.26</v>
      </c>
      <c r="F68" s="2">
        <f>+'s1'!AJ69</f>
        <v>0</v>
      </c>
      <c r="G68" s="2">
        <f>+'s1'!AK69</f>
        <v>0</v>
      </c>
      <c r="H68" s="2">
        <f>+'s1'!AL69</f>
        <v>0</v>
      </c>
      <c r="I68" s="2">
        <f>+'s1'!AM69</f>
        <v>0</v>
      </c>
      <c r="J68" s="2">
        <f>+'s1'!AN69</f>
        <v>0</v>
      </c>
      <c r="K68" s="2">
        <f>+'s1'!AO69</f>
        <v>0</v>
      </c>
      <c r="L68" s="2">
        <f>+'s1'!AP69</f>
        <v>0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3779.02</v>
      </c>
      <c r="R68" s="2">
        <f>+'s1'!AV69</f>
        <v>0</v>
      </c>
      <c r="S68" s="2">
        <f t="shared" si="0"/>
        <v>5591.28</v>
      </c>
      <c r="T68" s="1"/>
    </row>
    <row r="69" spans="1:20" s="20" customFormat="1" x14ac:dyDescent="0.2">
      <c r="A69" s="1" t="s">
        <v>55</v>
      </c>
      <c r="B69" s="2">
        <f>+'s1'!AF70</f>
        <v>0</v>
      </c>
      <c r="C69" s="2">
        <f>+'s1'!AG70</f>
        <v>0</v>
      </c>
      <c r="D69" s="2">
        <f>+'s1'!AH70</f>
        <v>0</v>
      </c>
      <c r="E69" s="2">
        <f>+'s1'!AI70</f>
        <v>0</v>
      </c>
      <c r="F69" s="2">
        <f>+'s1'!AJ70</f>
        <v>0</v>
      </c>
      <c r="G69" s="2">
        <f>+'s1'!AK70</f>
        <v>0</v>
      </c>
      <c r="H69" s="2">
        <f>+'s1'!AL70</f>
        <v>0</v>
      </c>
      <c r="I69" s="2">
        <f>+'s1'!AM70</f>
        <v>0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0</v>
      </c>
      <c r="R69" s="2">
        <f>+'s1'!AV70</f>
        <v>4158.63</v>
      </c>
      <c r="S69" s="2">
        <f t="shared" si="0"/>
        <v>4158.63</v>
      </c>
      <c r="T69" s="18"/>
    </row>
    <row r="70" spans="1:20" s="20" customFormat="1" x14ac:dyDescent="0.2">
      <c r="A70" s="18" t="s">
        <v>221</v>
      </c>
      <c r="B70" s="2">
        <f>+'s1'!AF71</f>
        <v>0</v>
      </c>
      <c r="C70" s="2">
        <f>+'s1'!AG71</f>
        <v>0</v>
      </c>
      <c r="D70" s="2">
        <f>+'s1'!AH71</f>
        <v>8.91</v>
      </c>
      <c r="E70" s="2">
        <f>+'s1'!AI71</f>
        <v>0</v>
      </c>
      <c r="F70" s="2">
        <f>+'s1'!AJ71</f>
        <v>0</v>
      </c>
      <c r="G70" s="2">
        <f>+'s1'!AK71</f>
        <v>0</v>
      </c>
      <c r="H70" s="2">
        <f>+'s1'!AL71</f>
        <v>0</v>
      </c>
      <c r="I70" s="2">
        <f>+'s1'!AM71</f>
        <v>0</v>
      </c>
      <c r="J70" s="2">
        <f>+'s1'!AN71</f>
        <v>0</v>
      </c>
      <c r="K70" s="2">
        <f>+'s1'!AO71</f>
        <v>0</v>
      </c>
      <c r="L70" s="2">
        <f>+'s1'!AP71</f>
        <v>0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0</v>
      </c>
      <c r="R70" s="2">
        <f>+'s1'!AV71</f>
        <v>0</v>
      </c>
      <c r="S70" s="2">
        <f>SUM(B70:R70)</f>
        <v>8.91</v>
      </c>
      <c r="T70" s="78"/>
    </row>
    <row r="71" spans="1:20" s="20" customFormat="1" x14ac:dyDescent="0.2">
      <c r="A71" s="18" t="s">
        <v>736</v>
      </c>
      <c r="B71" s="2">
        <f>+'s1'!AF72</f>
        <v>0</v>
      </c>
      <c r="C71" s="2">
        <f>+'s1'!AG72</f>
        <v>0</v>
      </c>
      <c r="D71" s="2">
        <f>+'s1'!AH72</f>
        <v>42718.080000000002</v>
      </c>
      <c r="E71" s="2">
        <f>+'s1'!AI72</f>
        <v>0</v>
      </c>
      <c r="F71" s="2">
        <f>+'s1'!AJ72</f>
        <v>0</v>
      </c>
      <c r="G71" s="2">
        <f>+'s1'!AK72</f>
        <v>0</v>
      </c>
      <c r="H71" s="2">
        <f>+'s1'!AL72</f>
        <v>0</v>
      </c>
      <c r="I71" s="2">
        <f>+'s1'!AM72</f>
        <v>0</v>
      </c>
      <c r="J71" s="2">
        <f>+'s1'!AN72</f>
        <v>0</v>
      </c>
      <c r="K71" s="2">
        <f>+'s1'!AO72</f>
        <v>0</v>
      </c>
      <c r="L71" s="2">
        <f>+'s1'!AP72</f>
        <v>0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0</v>
      </c>
      <c r="R71" s="2">
        <f>+'s1'!AV72</f>
        <v>0</v>
      </c>
      <c r="S71" s="2">
        <f>SUM(B71:R71)</f>
        <v>42718.080000000002</v>
      </c>
      <c r="T71" s="78"/>
    </row>
    <row r="72" spans="1:20" s="20" customFormat="1" x14ac:dyDescent="0.2">
      <c r="A72" s="18" t="s">
        <v>56</v>
      </c>
      <c r="B72" s="2">
        <f>+'s1'!AF73</f>
        <v>0</v>
      </c>
      <c r="C72" s="2">
        <f>+'s1'!AG73</f>
        <v>0</v>
      </c>
      <c r="D72" s="2">
        <f>+'s1'!AH73</f>
        <v>0</v>
      </c>
      <c r="E72" s="2">
        <f>+'s1'!AI73</f>
        <v>0</v>
      </c>
      <c r="F72" s="2">
        <f>+'s1'!AJ73</f>
        <v>0</v>
      </c>
      <c r="G72" s="2">
        <f>+'s1'!AK73</f>
        <v>0</v>
      </c>
      <c r="H72" s="2">
        <f>+'s1'!AL73</f>
        <v>0</v>
      </c>
      <c r="I72" s="2">
        <f>+'s1'!AM73</f>
        <v>0</v>
      </c>
      <c r="J72" s="2">
        <f>+'s1'!AN73</f>
        <v>0</v>
      </c>
      <c r="K72" s="2">
        <f>+'s1'!AO73</f>
        <v>0</v>
      </c>
      <c r="L72" s="2">
        <f>+'s1'!AP73</f>
        <v>0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51.16</v>
      </c>
      <c r="Q72" s="2">
        <f>+'s1'!AU73</f>
        <v>1819.92</v>
      </c>
      <c r="R72" s="2">
        <f>+'s1'!AV73</f>
        <v>0</v>
      </c>
      <c r="S72" s="2">
        <f t="shared" si="0"/>
        <v>1871.08</v>
      </c>
      <c r="T72" s="78"/>
    </row>
    <row r="73" spans="1:20" x14ac:dyDescent="0.2">
      <c r="A73" s="1" t="s">
        <v>737</v>
      </c>
      <c r="B73" s="2">
        <f>+'s1'!AF74</f>
        <v>0</v>
      </c>
      <c r="C73" s="2">
        <f>+'s1'!AG74</f>
        <v>0</v>
      </c>
      <c r="D73" s="2">
        <f>+'s1'!AH74</f>
        <v>166554.59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0</v>
      </c>
      <c r="J73" s="2">
        <f>+'s1'!AN74</f>
        <v>0</v>
      </c>
      <c r="K73" s="2">
        <f>+'s1'!AO74</f>
        <v>2195.16</v>
      </c>
      <c r="L73" s="2">
        <f>+'s1'!AP74</f>
        <v>0</v>
      </c>
      <c r="M73" s="2">
        <f>+'s1'!AQ74</f>
        <v>0</v>
      </c>
      <c r="N73" s="2">
        <f>+'s1'!AR74</f>
        <v>4814.8999999999996</v>
      </c>
      <c r="O73" s="2">
        <f>+'s1'!AS74</f>
        <v>0</v>
      </c>
      <c r="P73" s="2">
        <f>+'s1'!AT74</f>
        <v>0</v>
      </c>
      <c r="Q73" s="2">
        <f>+'s1'!AU74</f>
        <v>0</v>
      </c>
      <c r="R73" s="2">
        <f>+'s1'!AV74</f>
        <v>0</v>
      </c>
      <c r="S73" s="2">
        <f>SUM(B73:R73)</f>
        <v>173564.65</v>
      </c>
      <c r="T73" s="2"/>
    </row>
    <row r="74" spans="1:20" x14ac:dyDescent="0.2">
      <c r="A74" s="1" t="s">
        <v>438</v>
      </c>
      <c r="B74" s="2">
        <f>+'s1'!AF75</f>
        <v>0</v>
      </c>
      <c r="C74" s="2">
        <f>+'s1'!AG75</f>
        <v>0</v>
      </c>
      <c r="D74" s="2">
        <f>+'s1'!AH75</f>
        <v>11705.64</v>
      </c>
      <c r="E74" s="2">
        <f>+'s1'!AI75</f>
        <v>0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0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0</v>
      </c>
      <c r="Q74" s="2">
        <f>+'s1'!AU75</f>
        <v>12261.12</v>
      </c>
      <c r="R74" s="2">
        <f>+'s1'!AV75</f>
        <v>0</v>
      </c>
      <c r="S74" s="2">
        <f t="shared" si="0"/>
        <v>23966.76</v>
      </c>
      <c r="T74" s="2"/>
    </row>
    <row r="75" spans="1:20" s="20" customFormat="1" x14ac:dyDescent="0.2">
      <c r="A75" s="1" t="s">
        <v>57</v>
      </c>
      <c r="B75" s="2">
        <f>+'s1'!AF76</f>
        <v>0</v>
      </c>
      <c r="C75" s="2">
        <f>+'s1'!AG76</f>
        <v>0</v>
      </c>
      <c r="D75" s="2">
        <f>+'s1'!AH76</f>
        <v>116788.35</v>
      </c>
      <c r="E75" s="2">
        <f>+'s1'!AI76</f>
        <v>0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0</v>
      </c>
      <c r="L75" s="2">
        <f>+'s1'!AP76</f>
        <v>0</v>
      </c>
      <c r="M75" s="2">
        <f>+'s1'!AQ76</f>
        <v>0</v>
      </c>
      <c r="N75" s="2">
        <f>+'s1'!AR76</f>
        <v>0</v>
      </c>
      <c r="O75" s="2">
        <f>+'s1'!AS76</f>
        <v>0</v>
      </c>
      <c r="P75" s="2">
        <f>+'s1'!AT76</f>
        <v>0</v>
      </c>
      <c r="Q75" s="2">
        <f>+'s1'!AU76</f>
        <v>0</v>
      </c>
      <c r="R75" s="2">
        <f>+'s1'!AV76</f>
        <v>0</v>
      </c>
      <c r="S75" s="2">
        <f t="shared" si="0"/>
        <v>116788.35</v>
      </c>
      <c r="T75" s="78"/>
    </row>
    <row r="76" spans="1:20" s="20" customFormat="1" x14ac:dyDescent="0.2">
      <c r="A76" s="1" t="s">
        <v>439</v>
      </c>
      <c r="B76" s="2">
        <f>+'s1'!AF77</f>
        <v>0</v>
      </c>
      <c r="C76" s="2">
        <f>+'s1'!AG77</f>
        <v>0</v>
      </c>
      <c r="D76" s="2">
        <f>+'s1'!AH77</f>
        <v>14009.07</v>
      </c>
      <c r="E76" s="2">
        <f>+'s1'!AI77</f>
        <v>0</v>
      </c>
      <c r="F76" s="2">
        <f>+'s1'!AJ77</f>
        <v>8890.68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15253.13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0</v>
      </c>
      <c r="Q76" s="2">
        <f>+'s1'!AU77</f>
        <v>0</v>
      </c>
      <c r="R76" s="2">
        <f>+'s1'!AV77</f>
        <v>0</v>
      </c>
      <c r="S76" s="2">
        <f t="shared" si="0"/>
        <v>38152.879999999997</v>
      </c>
      <c r="T76" s="78"/>
    </row>
    <row r="77" spans="1:20" x14ac:dyDescent="0.2">
      <c r="A77" s="1" t="s">
        <v>440</v>
      </c>
      <c r="B77" s="2">
        <f>+'s1'!AF78</f>
        <v>0</v>
      </c>
      <c r="C77" s="2">
        <f>+'s1'!AG78</f>
        <v>0</v>
      </c>
      <c r="D77" s="2">
        <f>+'s1'!AH78</f>
        <v>2698.74</v>
      </c>
      <c r="E77" s="2">
        <f>+'s1'!AI78</f>
        <v>0</v>
      </c>
      <c r="F77" s="2">
        <f>+'s1'!AJ78</f>
        <v>0</v>
      </c>
      <c r="G77" s="2">
        <f>+'s1'!AK78</f>
        <v>0</v>
      </c>
      <c r="H77" s="2">
        <f>+'s1'!AL78</f>
        <v>0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0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0</v>
      </c>
      <c r="Q77" s="2">
        <f>+'s1'!AU78</f>
        <v>326.33999999999997</v>
      </c>
      <c r="R77" s="2">
        <f>+'s1'!AV78</f>
        <v>0</v>
      </c>
      <c r="S77" s="2">
        <f t="shared" si="0"/>
        <v>3025.08</v>
      </c>
      <c r="T77" s="2"/>
    </row>
    <row r="78" spans="1:20" x14ac:dyDescent="0.2">
      <c r="A78" s="1" t="s">
        <v>355</v>
      </c>
      <c r="B78" s="2">
        <f>+'s1'!AF79</f>
        <v>0</v>
      </c>
      <c r="C78" s="2">
        <f>+'s1'!AG79</f>
        <v>0</v>
      </c>
      <c r="D78" s="2">
        <f>+'s1'!AH79</f>
        <v>7968.61</v>
      </c>
      <c r="E78" s="2">
        <f>+'s1'!AI79</f>
        <v>0</v>
      </c>
      <c r="F78" s="2">
        <f>+'s1'!AJ79</f>
        <v>0</v>
      </c>
      <c r="G78" s="2">
        <f>+'s1'!AK79</f>
        <v>0</v>
      </c>
      <c r="H78" s="2">
        <f>+'s1'!AL79</f>
        <v>0</v>
      </c>
      <c r="I78" s="2">
        <f>+'s1'!AM79</f>
        <v>0</v>
      </c>
      <c r="J78" s="2">
        <f>+'s1'!AN79</f>
        <v>0</v>
      </c>
      <c r="K78" s="2">
        <f>+'s1'!AO79</f>
        <v>0</v>
      </c>
      <c r="L78" s="2">
        <f>+'s1'!AP79</f>
        <v>0</v>
      </c>
      <c r="M78" s="2">
        <f>+'s1'!AQ79</f>
        <v>0</v>
      </c>
      <c r="N78" s="2">
        <f>+'s1'!AR79</f>
        <v>3388.41</v>
      </c>
      <c r="O78" s="2">
        <f>+'s1'!AS79</f>
        <v>0</v>
      </c>
      <c r="P78" s="2">
        <f>+'s1'!AT79</f>
        <v>0</v>
      </c>
      <c r="Q78" s="2">
        <f>+'s1'!AU79</f>
        <v>0</v>
      </c>
      <c r="R78" s="2">
        <f>+'s1'!AV79</f>
        <v>0</v>
      </c>
      <c r="S78" s="2">
        <f t="shared" si="0"/>
        <v>11357.02</v>
      </c>
      <c r="T78" s="1"/>
    </row>
    <row r="79" spans="1:20" s="20" customFormat="1" x14ac:dyDescent="0.2">
      <c r="A79" s="1" t="s">
        <v>611</v>
      </c>
      <c r="B79" s="2">
        <f>+'s1'!AF80</f>
        <v>0</v>
      </c>
      <c r="C79" s="2">
        <f>+'s1'!AG80</f>
        <v>0</v>
      </c>
      <c r="D79" s="2">
        <f>+'s1'!AH80</f>
        <v>0</v>
      </c>
      <c r="E79" s="2">
        <f>+'s1'!AI80</f>
        <v>0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0</v>
      </c>
      <c r="Q79" s="2">
        <f>+'s1'!AU80</f>
        <v>1035.95</v>
      </c>
      <c r="R79" s="2">
        <f>+'s1'!AV80</f>
        <v>0</v>
      </c>
      <c r="S79" s="2">
        <f t="shared" si="0"/>
        <v>1035.95</v>
      </c>
      <c r="T79" s="18"/>
    </row>
    <row r="80" spans="1:20" x14ac:dyDescent="0.2">
      <c r="A80" s="18" t="s">
        <v>441</v>
      </c>
      <c r="B80" s="2">
        <f>+'s1'!AF81</f>
        <v>20278.5</v>
      </c>
      <c r="C80" s="2">
        <f>+'s1'!AG81</f>
        <v>0</v>
      </c>
      <c r="D80" s="2">
        <f>+'s1'!AH81</f>
        <v>0</v>
      </c>
      <c r="E80" s="2">
        <f>+'s1'!AI81</f>
        <v>0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0</v>
      </c>
      <c r="L80" s="2">
        <f>+'s1'!AP81</f>
        <v>0</v>
      </c>
      <c r="M80" s="2">
        <f>+'s1'!AQ81</f>
        <v>0</v>
      </c>
      <c r="N80" s="2">
        <f>+'s1'!AR81</f>
        <v>0</v>
      </c>
      <c r="O80" s="2">
        <f>+'s1'!AS81</f>
        <v>0</v>
      </c>
      <c r="P80" s="2">
        <f>+'s1'!AT81</f>
        <v>0</v>
      </c>
      <c r="Q80" s="2">
        <f>+'s1'!AU81</f>
        <v>84347.69</v>
      </c>
      <c r="R80" s="2">
        <f>+'s1'!AV81</f>
        <v>0</v>
      </c>
      <c r="S80" s="2">
        <f t="shared" si="0"/>
        <v>104626.19</v>
      </c>
      <c r="T80" s="1"/>
    </row>
    <row r="81" spans="1:20" s="20" customFormat="1" x14ac:dyDescent="0.2">
      <c r="A81" s="1" t="s">
        <v>768</v>
      </c>
      <c r="B81" s="2">
        <f>+'s1'!AF82</f>
        <v>0</v>
      </c>
      <c r="C81" s="2">
        <f>+'s1'!AG82</f>
        <v>0</v>
      </c>
      <c r="D81" s="2">
        <f>+'s1'!AH82</f>
        <v>0</v>
      </c>
      <c r="E81" s="2">
        <f>+'s1'!AI82</f>
        <v>0</v>
      </c>
      <c r="F81" s="2">
        <f>+'s1'!AJ82</f>
        <v>0</v>
      </c>
      <c r="G81" s="2">
        <f>+'s1'!AK82</f>
        <v>0</v>
      </c>
      <c r="H81" s="2">
        <f>+'s1'!AL82</f>
        <v>0</v>
      </c>
      <c r="I81" s="2">
        <f>+'s1'!AM82</f>
        <v>0</v>
      </c>
      <c r="J81" s="2">
        <f>+'s1'!AN82</f>
        <v>0</v>
      </c>
      <c r="K81" s="2">
        <f>+'s1'!AO82</f>
        <v>0</v>
      </c>
      <c r="L81" s="2">
        <f>+'s1'!AP82</f>
        <v>0</v>
      </c>
      <c r="M81" s="2">
        <f>+'s1'!AQ82</f>
        <v>0</v>
      </c>
      <c r="N81" s="2">
        <f>+'s1'!AR82</f>
        <v>0</v>
      </c>
      <c r="O81" s="2">
        <f>+'s1'!AS82</f>
        <v>0</v>
      </c>
      <c r="P81" s="2">
        <f>+'s1'!AT82</f>
        <v>0</v>
      </c>
      <c r="Q81" s="2">
        <f>+'s1'!AU82</f>
        <v>0</v>
      </c>
      <c r="R81" s="2">
        <f>+'s1'!AV82</f>
        <v>0</v>
      </c>
      <c r="S81" s="2">
        <f t="shared" si="0"/>
        <v>0</v>
      </c>
      <c r="T81" s="78"/>
    </row>
    <row r="82" spans="1:20" s="20" customFormat="1" x14ac:dyDescent="0.2">
      <c r="A82" s="18" t="s">
        <v>58</v>
      </c>
      <c r="B82" s="2">
        <f>+'s1'!AF83</f>
        <v>0</v>
      </c>
      <c r="C82" s="2">
        <f>+'s1'!AG83</f>
        <v>0</v>
      </c>
      <c r="D82" s="2">
        <f>+'s1'!AH83</f>
        <v>638645.53</v>
      </c>
      <c r="E82" s="2">
        <f>+'s1'!AI83</f>
        <v>0</v>
      </c>
      <c r="F82" s="2">
        <f>+'s1'!AJ83</f>
        <v>0</v>
      </c>
      <c r="G82" s="2">
        <f>+'s1'!AK83</f>
        <v>223.4</v>
      </c>
      <c r="H82" s="2">
        <f>+'s1'!AL83</f>
        <v>0</v>
      </c>
      <c r="I82" s="2">
        <f>+'s1'!AM83</f>
        <v>0</v>
      </c>
      <c r="J82" s="2">
        <f>+'s1'!AN83</f>
        <v>111.93</v>
      </c>
      <c r="K82" s="2">
        <f>+'s1'!AO83</f>
        <v>78.400000000000006</v>
      </c>
      <c r="L82" s="2">
        <f>+'s1'!AP83</f>
        <v>0</v>
      </c>
      <c r="M82" s="2">
        <f>+'s1'!AQ83</f>
        <v>0</v>
      </c>
      <c r="N82" s="2">
        <f>+'s1'!AR83</f>
        <v>15751.11</v>
      </c>
      <c r="O82" s="2">
        <f>+'s1'!AS83</f>
        <v>0</v>
      </c>
      <c r="P82" s="2">
        <f>+'s1'!AT83</f>
        <v>0</v>
      </c>
      <c r="Q82" s="2">
        <f>+'s1'!AU83</f>
        <v>0</v>
      </c>
      <c r="R82" s="2">
        <f>+'s1'!AV83</f>
        <v>0</v>
      </c>
      <c r="S82" s="2">
        <f t="shared" si="0"/>
        <v>654810.37</v>
      </c>
      <c r="T82" s="78"/>
    </row>
    <row r="83" spans="1:20" x14ac:dyDescent="0.2">
      <c r="A83" s="1" t="s">
        <v>59</v>
      </c>
      <c r="B83" s="2">
        <f>+'s1'!AF84</f>
        <v>0</v>
      </c>
      <c r="C83" s="2">
        <f>+'s1'!AG84</f>
        <v>0</v>
      </c>
      <c r="D83" s="2">
        <f>+'s1'!AH84</f>
        <v>0</v>
      </c>
      <c r="E83" s="2">
        <f>+'s1'!AI84</f>
        <v>0</v>
      </c>
      <c r="F83" s="2">
        <f>+'s1'!AJ84</f>
        <v>3021.89</v>
      </c>
      <c r="G83" s="2">
        <f>+'s1'!AK84</f>
        <v>0</v>
      </c>
      <c r="H83" s="2">
        <f>+'s1'!AL84</f>
        <v>0</v>
      </c>
      <c r="I83" s="2">
        <f>+'s1'!AM84</f>
        <v>354.92</v>
      </c>
      <c r="J83" s="2">
        <f>+'s1'!AN84</f>
        <v>0</v>
      </c>
      <c r="K83" s="2">
        <f>+'s1'!AO84</f>
        <v>2097.91</v>
      </c>
      <c r="L83" s="2">
        <f>+'s1'!AP84</f>
        <v>0</v>
      </c>
      <c r="M83" s="2">
        <f>+'s1'!AQ84</f>
        <v>0</v>
      </c>
      <c r="N83" s="2">
        <f>+'s1'!AR84</f>
        <v>0</v>
      </c>
      <c r="O83" s="2">
        <f>+'s1'!AS84</f>
        <v>0</v>
      </c>
      <c r="P83" s="2">
        <f>+'s1'!AT84</f>
        <v>0</v>
      </c>
      <c r="Q83" s="2">
        <f>+'s1'!AU84</f>
        <v>0</v>
      </c>
      <c r="R83" s="2">
        <f>+'s1'!AV84</f>
        <v>15626.92</v>
      </c>
      <c r="S83" s="2">
        <f t="shared" si="0"/>
        <v>21101.64</v>
      </c>
      <c r="T83" s="2"/>
    </row>
    <row r="84" spans="1:20" x14ac:dyDescent="0.2">
      <c r="A84" s="1" t="s">
        <v>462</v>
      </c>
      <c r="B84" s="2">
        <f>+'s1'!AF85</f>
        <v>0</v>
      </c>
      <c r="C84" s="2">
        <f>+'s1'!AG85</f>
        <v>0</v>
      </c>
      <c r="D84" s="2">
        <f>+'s1'!AH85</f>
        <v>0</v>
      </c>
      <c r="E84" s="2">
        <f>+'s1'!AI85</f>
        <v>0</v>
      </c>
      <c r="F84" s="2">
        <f>+'s1'!AJ85</f>
        <v>0</v>
      </c>
      <c r="G84" s="2">
        <f>+'s1'!AK85</f>
        <v>0</v>
      </c>
      <c r="H84" s="2">
        <f>+'s1'!AL85</f>
        <v>0</v>
      </c>
      <c r="I84" s="2">
        <f>+'s1'!AM85</f>
        <v>0</v>
      </c>
      <c r="J84" s="2">
        <f>+'s1'!AN85</f>
        <v>0</v>
      </c>
      <c r="K84" s="2">
        <f>+'s1'!AO85</f>
        <v>0</v>
      </c>
      <c r="L84" s="2">
        <f>+'s1'!AP85</f>
        <v>0</v>
      </c>
      <c r="M84" s="2">
        <f>+'s1'!AQ85</f>
        <v>0</v>
      </c>
      <c r="N84" s="2">
        <f>+'s1'!AR85</f>
        <v>0</v>
      </c>
      <c r="O84" s="2">
        <f>+'s1'!AS85</f>
        <v>0</v>
      </c>
      <c r="P84" s="2">
        <f>+'s1'!AT85</f>
        <v>0</v>
      </c>
      <c r="Q84" s="2">
        <f>+'s1'!AU85</f>
        <v>696.07</v>
      </c>
      <c r="R84" s="2">
        <f>+'s1'!AV85</f>
        <v>0</v>
      </c>
      <c r="S84" s="2">
        <f t="shared" ref="S84:S103" si="1">SUM(B84:R84)</f>
        <v>696.07</v>
      </c>
      <c r="T84" s="2"/>
    </row>
    <row r="85" spans="1:20" s="20" customFormat="1" x14ac:dyDescent="0.2">
      <c r="A85" s="18" t="s">
        <v>60</v>
      </c>
      <c r="B85" s="2">
        <f>+'s1'!AF86</f>
        <v>25423.03</v>
      </c>
      <c r="C85" s="2">
        <f>+'s1'!AG86</f>
        <v>0</v>
      </c>
      <c r="D85" s="2">
        <f>+'s1'!AH86</f>
        <v>180852.87</v>
      </c>
      <c r="E85" s="2">
        <f>+'s1'!AI86</f>
        <v>3909.57</v>
      </c>
      <c r="F85" s="2">
        <f>+'s1'!AJ86</f>
        <v>0</v>
      </c>
      <c r="G85" s="2">
        <f>+'s1'!AK86</f>
        <v>157.51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13009.94</v>
      </c>
      <c r="M85" s="2">
        <f>+'s1'!AQ86</f>
        <v>177.28</v>
      </c>
      <c r="N85" s="2">
        <f>+'s1'!AR86</f>
        <v>1755.92</v>
      </c>
      <c r="O85" s="2">
        <f>+'s1'!AS86</f>
        <v>3199.63</v>
      </c>
      <c r="P85" s="2">
        <f>+'s1'!AT86</f>
        <v>0</v>
      </c>
      <c r="Q85" s="2">
        <f>+'s1'!AU86</f>
        <v>47184.27</v>
      </c>
      <c r="R85" s="2">
        <f>+'s1'!AV86</f>
        <v>0</v>
      </c>
      <c r="S85" s="2">
        <f t="shared" si="1"/>
        <v>275670.02</v>
      </c>
      <c r="T85" s="78"/>
    </row>
    <row r="86" spans="1:20" s="20" customFormat="1" x14ac:dyDescent="0.2">
      <c r="A86" s="1" t="s">
        <v>463</v>
      </c>
      <c r="B86" s="2">
        <f>+'s1'!AF87</f>
        <v>0</v>
      </c>
      <c r="C86" s="2">
        <f>+'s1'!AG87</f>
        <v>23.55</v>
      </c>
      <c r="D86" s="2">
        <f>+'s1'!AH87</f>
        <v>0</v>
      </c>
      <c r="E86" s="2">
        <f>+'s1'!AI87</f>
        <v>20.54</v>
      </c>
      <c r="F86" s="2">
        <f>+'s1'!AJ87</f>
        <v>0</v>
      </c>
      <c r="G86" s="2">
        <f>+'s1'!AK87</f>
        <v>0</v>
      </c>
      <c r="H86" s="2">
        <f>+'s1'!AL87</f>
        <v>0</v>
      </c>
      <c r="I86" s="2">
        <f>+'s1'!AM87</f>
        <v>0</v>
      </c>
      <c r="J86" s="2">
        <f>+'s1'!AN87</f>
        <v>0</v>
      </c>
      <c r="K86" s="2">
        <f>+'s1'!AO87</f>
        <v>0</v>
      </c>
      <c r="L86" s="2">
        <f>+'s1'!AP87</f>
        <v>4951.99</v>
      </c>
      <c r="M86" s="2">
        <f>+'s1'!AQ87</f>
        <v>20.73</v>
      </c>
      <c r="N86" s="2">
        <f>+'s1'!AR87</f>
        <v>0</v>
      </c>
      <c r="O86" s="2">
        <f>+'s1'!AS87</f>
        <v>0</v>
      </c>
      <c r="P86" s="2">
        <f>+'s1'!AT87</f>
        <v>0</v>
      </c>
      <c r="Q86" s="2">
        <f>+'s1'!AU87</f>
        <v>0</v>
      </c>
      <c r="R86" s="2">
        <f>+'s1'!AV87</f>
        <v>0</v>
      </c>
      <c r="S86" s="2">
        <f t="shared" si="1"/>
        <v>5016.8100000000004</v>
      </c>
      <c r="T86" s="18"/>
    </row>
    <row r="87" spans="1:20" s="20" customFormat="1" x14ac:dyDescent="0.2">
      <c r="A87" s="18" t="s">
        <v>61</v>
      </c>
      <c r="B87" s="2">
        <f>+'s1'!AF88</f>
        <v>0</v>
      </c>
      <c r="C87" s="2">
        <f>+'s1'!AG88</f>
        <v>0</v>
      </c>
      <c r="D87" s="2">
        <f>+'s1'!AH88</f>
        <v>0</v>
      </c>
      <c r="E87" s="2">
        <f>+'s1'!AI88</f>
        <v>0</v>
      </c>
      <c r="F87" s="2">
        <f>+'s1'!AJ88</f>
        <v>0</v>
      </c>
      <c r="G87" s="2">
        <f>+'s1'!AK88</f>
        <v>0</v>
      </c>
      <c r="H87" s="2">
        <f>+'s1'!AL88</f>
        <v>0</v>
      </c>
      <c r="I87" s="2">
        <f>+'s1'!AM88</f>
        <v>3415.28</v>
      </c>
      <c r="J87" s="2">
        <f>+'s1'!AN88</f>
        <v>0</v>
      </c>
      <c r="K87" s="2">
        <f>+'s1'!AO88</f>
        <v>0</v>
      </c>
      <c r="L87" s="2">
        <f>+'s1'!AP88</f>
        <v>0</v>
      </c>
      <c r="M87" s="2">
        <f>+'s1'!AQ88</f>
        <v>0</v>
      </c>
      <c r="N87" s="2">
        <f>+'s1'!AR88</f>
        <v>0</v>
      </c>
      <c r="O87" s="2">
        <f>+'s1'!AS88</f>
        <v>72.150000000000006</v>
      </c>
      <c r="P87" s="2">
        <f>+'s1'!AT88</f>
        <v>0</v>
      </c>
      <c r="Q87" s="2">
        <f>+'s1'!AU88</f>
        <v>0</v>
      </c>
      <c r="R87" s="2">
        <f>+'s1'!AV88</f>
        <v>0</v>
      </c>
      <c r="S87" s="2">
        <f t="shared" si="1"/>
        <v>3487.43</v>
      </c>
      <c r="T87" s="18"/>
    </row>
    <row r="88" spans="1:20" s="20" customFormat="1" x14ac:dyDescent="0.2">
      <c r="A88" s="1" t="s">
        <v>63</v>
      </c>
      <c r="B88" s="2">
        <f>+'s1'!AF89</f>
        <v>0</v>
      </c>
      <c r="C88" s="2">
        <f>+'s1'!AG89</f>
        <v>0</v>
      </c>
      <c r="D88" s="2">
        <f>+'s1'!AH89</f>
        <v>0</v>
      </c>
      <c r="E88" s="2">
        <f>+'s1'!AI89</f>
        <v>0</v>
      </c>
      <c r="F88" s="2">
        <f>+'s1'!AJ89</f>
        <v>0</v>
      </c>
      <c r="G88" s="2">
        <f>+'s1'!AK89</f>
        <v>0</v>
      </c>
      <c r="H88" s="2">
        <f>+'s1'!AL89</f>
        <v>0</v>
      </c>
      <c r="I88" s="2">
        <f>+'s1'!AM89</f>
        <v>1501.69</v>
      </c>
      <c r="J88" s="2">
        <f>+'s1'!AN89</f>
        <v>0</v>
      </c>
      <c r="K88" s="2">
        <f>+'s1'!AO89</f>
        <v>0</v>
      </c>
      <c r="L88" s="2">
        <f>+'s1'!AP89</f>
        <v>0</v>
      </c>
      <c r="M88" s="2">
        <f>+'s1'!AQ89</f>
        <v>0</v>
      </c>
      <c r="N88" s="2">
        <f>+'s1'!AR89</f>
        <v>0</v>
      </c>
      <c r="O88" s="2">
        <f>+'s1'!AS89</f>
        <v>201.98</v>
      </c>
      <c r="P88" s="2">
        <f>+'s1'!AT89</f>
        <v>0</v>
      </c>
      <c r="Q88" s="2">
        <f>+'s1'!AU89</f>
        <v>0</v>
      </c>
      <c r="R88" s="2">
        <f>+'s1'!AV89</f>
        <v>0</v>
      </c>
      <c r="S88" s="2">
        <f t="shared" si="1"/>
        <v>1703.67</v>
      </c>
      <c r="T88" s="78"/>
    </row>
    <row r="89" spans="1:20" s="20" customFormat="1" x14ac:dyDescent="0.2">
      <c r="A89" s="18" t="s">
        <v>64</v>
      </c>
      <c r="B89" s="2">
        <f>+'s1'!AF90</f>
        <v>0</v>
      </c>
      <c r="C89" s="2">
        <f>+'s1'!AG90</f>
        <v>0</v>
      </c>
      <c r="D89" s="2">
        <f>+'s1'!AH90</f>
        <v>149.85</v>
      </c>
      <c r="E89" s="2">
        <f>+'s1'!AI90</f>
        <v>0</v>
      </c>
      <c r="F89" s="2">
        <f>+'s1'!AJ90</f>
        <v>0</v>
      </c>
      <c r="G89" s="2">
        <f>+'s1'!AK90</f>
        <v>0</v>
      </c>
      <c r="H89" s="2">
        <f>+'s1'!AL90</f>
        <v>0</v>
      </c>
      <c r="I89" s="2">
        <f>+'s1'!AM90</f>
        <v>0</v>
      </c>
      <c r="J89" s="2">
        <f>+'s1'!AN90</f>
        <v>0</v>
      </c>
      <c r="K89" s="2">
        <f>+'s1'!AO90</f>
        <v>0</v>
      </c>
      <c r="L89" s="2">
        <f>+'s1'!AP90</f>
        <v>0</v>
      </c>
      <c r="M89" s="2">
        <f>+'s1'!AQ90</f>
        <v>0</v>
      </c>
      <c r="N89" s="2">
        <f>+'s1'!AR90</f>
        <v>0</v>
      </c>
      <c r="O89" s="2">
        <f>+'s1'!AS90</f>
        <v>0</v>
      </c>
      <c r="P89" s="2">
        <f>+'s1'!AT90</f>
        <v>0</v>
      </c>
      <c r="Q89" s="2">
        <f>+'s1'!AU90</f>
        <v>0</v>
      </c>
      <c r="R89" s="2">
        <f>+'s1'!AV90</f>
        <v>0</v>
      </c>
      <c r="S89" s="2">
        <f t="shared" si="1"/>
        <v>149.85</v>
      </c>
      <c r="T89" s="78"/>
    </row>
    <row r="90" spans="1:20" s="20" customFormat="1" x14ac:dyDescent="0.2">
      <c r="A90" s="18" t="s">
        <v>576</v>
      </c>
      <c r="B90" s="2">
        <f>+'s1'!AF91</f>
        <v>0</v>
      </c>
      <c r="C90" s="2">
        <f>+'s1'!AG91</f>
        <v>0</v>
      </c>
      <c r="D90" s="2">
        <f>+'s1'!AH91</f>
        <v>0</v>
      </c>
      <c r="E90" s="2">
        <f>+'s1'!AI91</f>
        <v>0</v>
      </c>
      <c r="F90" s="2">
        <f>+'s1'!AJ91</f>
        <v>0</v>
      </c>
      <c r="G90" s="2">
        <f>+'s1'!AK91</f>
        <v>0</v>
      </c>
      <c r="H90" s="2">
        <f>+'s1'!AL91</f>
        <v>1466.32</v>
      </c>
      <c r="I90" s="2">
        <f>+'s1'!AM91</f>
        <v>0</v>
      </c>
      <c r="J90" s="2">
        <f>+'s1'!AN91</f>
        <v>0</v>
      </c>
      <c r="K90" s="2">
        <f>+'s1'!AO91</f>
        <v>0</v>
      </c>
      <c r="L90" s="2">
        <f>+'s1'!AP91</f>
        <v>0</v>
      </c>
      <c r="M90" s="2">
        <f>+'s1'!AQ91</f>
        <v>0</v>
      </c>
      <c r="N90" s="2">
        <f>+'s1'!AR91</f>
        <v>0</v>
      </c>
      <c r="O90" s="2">
        <f>+'s1'!AS91</f>
        <v>0</v>
      </c>
      <c r="P90" s="2">
        <f>+'s1'!AT91</f>
        <v>0</v>
      </c>
      <c r="Q90" s="2">
        <f>+'s1'!AU91</f>
        <v>0</v>
      </c>
      <c r="R90" s="2">
        <f>+'s1'!AV91</f>
        <v>0</v>
      </c>
      <c r="S90" s="2">
        <f t="shared" si="1"/>
        <v>1466.32</v>
      </c>
      <c r="T90" s="78"/>
    </row>
    <row r="91" spans="1:20" s="20" customFormat="1" x14ac:dyDescent="0.2">
      <c r="A91" s="18" t="s">
        <v>442</v>
      </c>
      <c r="B91" s="2">
        <f>+'s1'!AF92</f>
        <v>0</v>
      </c>
      <c r="C91" s="2">
        <f>+'s1'!AG92</f>
        <v>0</v>
      </c>
      <c r="D91" s="2">
        <f>+'s1'!AH92</f>
        <v>68664.41</v>
      </c>
      <c r="E91" s="2">
        <f>+'s1'!AI92</f>
        <v>0</v>
      </c>
      <c r="F91" s="2">
        <f>+'s1'!AJ92</f>
        <v>7087.16</v>
      </c>
      <c r="G91" s="2">
        <f>+'s1'!AK92</f>
        <v>0</v>
      </c>
      <c r="H91" s="2">
        <f>+'s1'!AL92</f>
        <v>0</v>
      </c>
      <c r="I91" s="2">
        <f>+'s1'!AM92</f>
        <v>0</v>
      </c>
      <c r="J91" s="2">
        <f>+'s1'!AN92</f>
        <v>0</v>
      </c>
      <c r="K91" s="2">
        <f>+'s1'!AO92</f>
        <v>0</v>
      </c>
      <c r="L91" s="2">
        <f>+'s1'!AP92</f>
        <v>18926.66</v>
      </c>
      <c r="M91" s="2">
        <f>+'s1'!AQ92</f>
        <v>0</v>
      </c>
      <c r="N91" s="2">
        <f>+'s1'!AR92</f>
        <v>8638.5</v>
      </c>
      <c r="O91" s="2">
        <f>+'s1'!AS92</f>
        <v>0</v>
      </c>
      <c r="P91" s="2">
        <f>+'s1'!AT92</f>
        <v>0</v>
      </c>
      <c r="Q91" s="2">
        <f>+'s1'!AU92</f>
        <v>0</v>
      </c>
      <c r="R91" s="2">
        <f>+'s1'!AV92</f>
        <v>0</v>
      </c>
      <c r="S91" s="2">
        <f t="shared" si="1"/>
        <v>103316.73</v>
      </c>
      <c r="T91" s="78"/>
    </row>
    <row r="92" spans="1:20" x14ac:dyDescent="0.2">
      <c r="A92" s="18" t="s">
        <v>65</v>
      </c>
      <c r="B92" s="2">
        <f>+'s1'!AF93</f>
        <v>0</v>
      </c>
      <c r="C92" s="2">
        <f>+'s1'!AG93</f>
        <v>10437.68</v>
      </c>
      <c r="D92" s="2">
        <f>+'s1'!AH93</f>
        <v>0</v>
      </c>
      <c r="E92" s="2">
        <f>+'s1'!AI93</f>
        <v>0</v>
      </c>
      <c r="F92" s="2">
        <f>+'s1'!AJ93</f>
        <v>0</v>
      </c>
      <c r="G92" s="2">
        <f>+'s1'!AK93</f>
        <v>0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0</v>
      </c>
      <c r="M92" s="2">
        <f>+'s1'!AQ93</f>
        <v>0</v>
      </c>
      <c r="N92" s="2">
        <f>+'s1'!AR93</f>
        <v>0</v>
      </c>
      <c r="O92" s="2">
        <f>+'s1'!AS93</f>
        <v>0</v>
      </c>
      <c r="P92" s="2">
        <f>+'s1'!AT93</f>
        <v>0</v>
      </c>
      <c r="Q92" s="2">
        <f>+'s1'!AU93</f>
        <v>0</v>
      </c>
      <c r="R92" s="2">
        <f>+'s1'!AV93</f>
        <v>0</v>
      </c>
      <c r="S92" s="2">
        <f t="shared" si="1"/>
        <v>10437.68</v>
      </c>
      <c r="T92" s="2"/>
    </row>
    <row r="93" spans="1:20" x14ac:dyDescent="0.2">
      <c r="A93" s="18" t="s">
        <v>478</v>
      </c>
      <c r="B93" s="2">
        <f>+'s1'!AF94</f>
        <v>776.78</v>
      </c>
      <c r="C93" s="2">
        <f>+'s1'!AG94</f>
        <v>0</v>
      </c>
      <c r="D93" s="2">
        <f>+'s1'!AH94</f>
        <v>119037.72</v>
      </c>
      <c r="E93" s="2">
        <f>+'s1'!AI94</f>
        <v>2840</v>
      </c>
      <c r="F93" s="2">
        <f>+'s1'!AJ94</f>
        <v>0</v>
      </c>
      <c r="G93" s="2">
        <f>+'s1'!AK94</f>
        <v>0</v>
      </c>
      <c r="H93" s="2">
        <f>+'s1'!AL94</f>
        <v>0</v>
      </c>
      <c r="I93" s="2">
        <f>+'s1'!AM94</f>
        <v>0</v>
      </c>
      <c r="J93" s="2">
        <f>+'s1'!AN94</f>
        <v>0</v>
      </c>
      <c r="K93" s="2">
        <f>+'s1'!AO94</f>
        <v>0</v>
      </c>
      <c r="L93" s="2">
        <f>+'s1'!AP94</f>
        <v>0</v>
      </c>
      <c r="M93" s="2">
        <f>+'s1'!AQ94</f>
        <v>1790.72</v>
      </c>
      <c r="N93" s="2">
        <f>+'s1'!AR94</f>
        <v>187.26</v>
      </c>
      <c r="O93" s="2">
        <f>+'s1'!AS94</f>
        <v>0</v>
      </c>
      <c r="P93" s="2">
        <f>+'s1'!AT94</f>
        <v>0</v>
      </c>
      <c r="Q93" s="2">
        <f>+'s1'!AU94</f>
        <v>74356.75</v>
      </c>
      <c r="R93" s="2">
        <f>+'s1'!AV94</f>
        <v>0</v>
      </c>
      <c r="S93" s="2">
        <f t="shared" si="1"/>
        <v>198989.23</v>
      </c>
      <c r="T93" s="2"/>
    </row>
    <row r="94" spans="1:20" s="20" customFormat="1" x14ac:dyDescent="0.2">
      <c r="A94" s="18" t="s">
        <v>66</v>
      </c>
      <c r="B94" s="2">
        <f>+'s1'!AF95</f>
        <v>0</v>
      </c>
      <c r="C94" s="2">
        <f>+'s1'!AG95</f>
        <v>0</v>
      </c>
      <c r="D94" s="2">
        <f>+'s1'!AH95</f>
        <v>0</v>
      </c>
      <c r="E94" s="2">
        <f>+'s1'!AI95</f>
        <v>0</v>
      </c>
      <c r="F94" s="2">
        <f>+'s1'!AJ95</f>
        <v>319.68</v>
      </c>
      <c r="G94" s="2">
        <f>+'s1'!AK95</f>
        <v>0</v>
      </c>
      <c r="H94" s="2">
        <f>+'s1'!AL95</f>
        <v>0</v>
      </c>
      <c r="I94" s="2">
        <f>+'s1'!AM95</f>
        <v>0</v>
      </c>
      <c r="J94" s="2">
        <f>+'s1'!AN95</f>
        <v>0</v>
      </c>
      <c r="K94" s="2">
        <f>+'s1'!AO95</f>
        <v>0</v>
      </c>
      <c r="L94" s="2">
        <f>+'s1'!AP95</f>
        <v>0</v>
      </c>
      <c r="M94" s="2">
        <f>+'s1'!AQ95</f>
        <v>0</v>
      </c>
      <c r="N94" s="2">
        <f>+'s1'!AR95</f>
        <v>0</v>
      </c>
      <c r="O94" s="2">
        <f>+'s1'!AS95</f>
        <v>0</v>
      </c>
      <c r="P94" s="2">
        <f>+'s1'!AT95</f>
        <v>0</v>
      </c>
      <c r="Q94" s="2">
        <f>+'s1'!AU95</f>
        <v>0</v>
      </c>
      <c r="R94" s="2">
        <f>+'s1'!AV95</f>
        <v>0</v>
      </c>
      <c r="S94" s="2">
        <f t="shared" si="1"/>
        <v>319.68</v>
      </c>
      <c r="T94" s="18"/>
    </row>
    <row r="95" spans="1:20" x14ac:dyDescent="0.2">
      <c r="A95" s="1" t="s">
        <v>770</v>
      </c>
      <c r="B95" s="2">
        <f>+'s1'!AF96</f>
        <v>0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0</v>
      </c>
      <c r="G95" s="2">
        <f>+'s1'!AK96</f>
        <v>0</v>
      </c>
      <c r="H95" s="2">
        <f>+'s1'!AL96</f>
        <v>0</v>
      </c>
      <c r="I95" s="2">
        <f>+'s1'!AM96</f>
        <v>0</v>
      </c>
      <c r="J95" s="2">
        <f>+'s1'!AN96</f>
        <v>0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0</v>
      </c>
      <c r="P95" s="2">
        <f>+'s1'!AT96</f>
        <v>0</v>
      </c>
      <c r="Q95" s="2">
        <f>+'s1'!AU96</f>
        <v>0</v>
      </c>
      <c r="R95" s="2">
        <f>+'s1'!AV96</f>
        <v>0</v>
      </c>
      <c r="S95" s="2">
        <f>SUM(B95:R95)</f>
        <v>0</v>
      </c>
      <c r="T95" s="1"/>
    </row>
    <row r="96" spans="1:20" s="20" customFormat="1" x14ac:dyDescent="0.2">
      <c r="A96" s="18" t="s">
        <v>82</v>
      </c>
      <c r="B96" s="2">
        <f>+'s1'!AF97</f>
        <v>0</v>
      </c>
      <c r="C96" s="2">
        <f>+'s1'!AG97</f>
        <v>0</v>
      </c>
      <c r="D96" s="2">
        <f>+'s1'!AH97</f>
        <v>18438.560000000001</v>
      </c>
      <c r="E96" s="2">
        <f>+'s1'!AI97</f>
        <v>0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0</v>
      </c>
      <c r="J96" s="2">
        <f>+'s1'!AN97</f>
        <v>0</v>
      </c>
      <c r="K96" s="2">
        <f>+'s1'!AO97</f>
        <v>0</v>
      </c>
      <c r="L96" s="2">
        <f>+'s1'!AP97</f>
        <v>-4.8499999999999996</v>
      </c>
      <c r="M96" s="2">
        <f>+'s1'!AQ97</f>
        <v>0</v>
      </c>
      <c r="N96" s="2">
        <f>+'s1'!AR97</f>
        <v>0</v>
      </c>
      <c r="O96" s="2">
        <f>+'s1'!AS97</f>
        <v>0</v>
      </c>
      <c r="P96" s="2">
        <f>+'s1'!AT97</f>
        <v>0</v>
      </c>
      <c r="Q96" s="2">
        <f>+'s1'!AU97</f>
        <v>0</v>
      </c>
      <c r="R96" s="2">
        <f>+'s1'!AV97</f>
        <v>0</v>
      </c>
      <c r="S96" s="2">
        <f t="shared" si="1"/>
        <v>18433.71</v>
      </c>
      <c r="T96" s="78"/>
    </row>
    <row r="97" spans="1:20" x14ac:dyDescent="0.2">
      <c r="A97" s="18" t="s">
        <v>356</v>
      </c>
      <c r="B97" s="2">
        <f>+'s1'!AF98</f>
        <v>0</v>
      </c>
      <c r="C97" s="2">
        <f>+'s1'!AG98</f>
        <v>0</v>
      </c>
      <c r="D97" s="2">
        <f>+'s1'!AH98</f>
        <v>11047.58</v>
      </c>
      <c r="E97" s="2">
        <f>+'s1'!AI98</f>
        <v>0</v>
      </c>
      <c r="F97" s="2">
        <f>+'s1'!AJ98</f>
        <v>0</v>
      </c>
      <c r="G97" s="2">
        <f>+'s1'!AK98</f>
        <v>0</v>
      </c>
      <c r="H97" s="2">
        <f>+'s1'!AL98</f>
        <v>0</v>
      </c>
      <c r="I97" s="2">
        <f>+'s1'!AM98</f>
        <v>0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5978.99</v>
      </c>
      <c r="P97" s="2">
        <f>+'s1'!AT98</f>
        <v>0</v>
      </c>
      <c r="Q97" s="2">
        <f>+'s1'!AU98</f>
        <v>16602.939999999999</v>
      </c>
      <c r="R97" s="2">
        <f>+'s1'!AV98</f>
        <v>0</v>
      </c>
      <c r="S97" s="2">
        <f t="shared" si="1"/>
        <v>33629.51</v>
      </c>
      <c r="T97" s="1"/>
    </row>
    <row r="98" spans="1:20" x14ac:dyDescent="0.2">
      <c r="A98" s="18" t="s">
        <v>369</v>
      </c>
      <c r="B98" s="2">
        <f>+'s1'!AF99</f>
        <v>0</v>
      </c>
      <c r="C98" s="2">
        <f>+'s1'!AG99</f>
        <v>0</v>
      </c>
      <c r="D98" s="2">
        <f>+'s1'!AH99</f>
        <v>5232.7299999999996</v>
      </c>
      <c r="E98" s="2">
        <f>+'s1'!AI99</f>
        <v>5689.88</v>
      </c>
      <c r="F98" s="2">
        <f>+'s1'!AJ99</f>
        <v>0</v>
      </c>
      <c r="G98" s="2">
        <f>+'s1'!AK99</f>
        <v>0</v>
      </c>
      <c r="H98" s="2">
        <f>+'s1'!AL99</f>
        <v>0</v>
      </c>
      <c r="I98" s="2">
        <f>+'s1'!AM99</f>
        <v>10626.25</v>
      </c>
      <c r="J98" s="2">
        <f>+'s1'!AN99</f>
        <v>0</v>
      </c>
      <c r="K98" s="2">
        <f>+'s1'!AO99</f>
        <v>0</v>
      </c>
      <c r="L98" s="2">
        <f>+'s1'!AP99</f>
        <v>0</v>
      </c>
      <c r="M98" s="2">
        <f>+'s1'!AQ99</f>
        <v>0</v>
      </c>
      <c r="N98" s="2">
        <f>+'s1'!AR99</f>
        <v>0</v>
      </c>
      <c r="O98" s="2">
        <f>+'s1'!AS99</f>
        <v>0</v>
      </c>
      <c r="P98" s="2">
        <f>+'s1'!AT99</f>
        <v>0</v>
      </c>
      <c r="Q98" s="2">
        <f>+'s1'!AU99</f>
        <v>30380.75</v>
      </c>
      <c r="R98" s="2">
        <f>+'s1'!AV99</f>
        <v>0</v>
      </c>
      <c r="S98" s="2">
        <f t="shared" si="1"/>
        <v>51929.61</v>
      </c>
      <c r="T98" s="2"/>
    </row>
    <row r="99" spans="1:20" x14ac:dyDescent="0.2">
      <c r="A99" s="1" t="s">
        <v>67</v>
      </c>
      <c r="B99" s="2">
        <f>+'s1'!AF100</f>
        <v>0</v>
      </c>
      <c r="C99" s="2">
        <f>+'s1'!AG100</f>
        <v>3934.95</v>
      </c>
      <c r="D99" s="2">
        <f>+'s1'!AH100</f>
        <v>0</v>
      </c>
      <c r="E99" s="2">
        <f>+'s1'!AI100</f>
        <v>0</v>
      </c>
      <c r="F99" s="2">
        <f>+'s1'!AJ100</f>
        <v>0</v>
      </c>
      <c r="G99" s="2">
        <f>+'s1'!AK100</f>
        <v>0</v>
      </c>
      <c r="H99" s="2">
        <f>+'s1'!AL100</f>
        <v>0</v>
      </c>
      <c r="I99" s="2">
        <f>+'s1'!AM100</f>
        <v>0</v>
      </c>
      <c r="J99" s="2">
        <f>+'s1'!AN100</f>
        <v>0</v>
      </c>
      <c r="K99" s="2">
        <f>+'s1'!AO100</f>
        <v>0</v>
      </c>
      <c r="L99" s="2">
        <f>+'s1'!AP100</f>
        <v>4832.04</v>
      </c>
      <c r="M99" s="2">
        <f>+'s1'!AQ100</f>
        <v>5445.38</v>
      </c>
      <c r="N99" s="2">
        <f>+'s1'!AR100</f>
        <v>0</v>
      </c>
      <c r="O99" s="2">
        <f>+'s1'!AS100</f>
        <v>0</v>
      </c>
      <c r="P99" s="2">
        <f>+'s1'!AT100</f>
        <v>0</v>
      </c>
      <c r="Q99" s="2">
        <f>+'s1'!AU100</f>
        <v>3980.64</v>
      </c>
      <c r="R99" s="2">
        <f>+'s1'!AV100</f>
        <v>0</v>
      </c>
      <c r="S99" s="2">
        <f t="shared" si="1"/>
        <v>18193.009999999998</v>
      </c>
      <c r="T99" s="1"/>
    </row>
    <row r="100" spans="1:20" x14ac:dyDescent="0.2">
      <c r="A100" s="18" t="s">
        <v>68</v>
      </c>
      <c r="B100" s="2">
        <f>+'s1'!AF101</f>
        <v>0</v>
      </c>
      <c r="C100" s="2">
        <f>+'s1'!AG101</f>
        <v>0</v>
      </c>
      <c r="D100" s="2">
        <f>+'s1'!AH101</f>
        <v>0</v>
      </c>
      <c r="E100" s="2">
        <f>+'s1'!AI101</f>
        <v>10.54</v>
      </c>
      <c r="F100" s="2">
        <f>+'s1'!AJ101</f>
        <v>0</v>
      </c>
      <c r="G100" s="2">
        <f>+'s1'!AK101</f>
        <v>0</v>
      </c>
      <c r="H100" s="2">
        <f>+'s1'!AL101</f>
        <v>0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0</v>
      </c>
      <c r="M100" s="2">
        <f>+'s1'!AQ101</f>
        <v>0</v>
      </c>
      <c r="N100" s="2">
        <f>+'s1'!AR101</f>
        <v>0</v>
      </c>
      <c r="O100" s="2">
        <f>+'s1'!AS101</f>
        <v>0</v>
      </c>
      <c r="P100" s="2">
        <f>+'s1'!AT101</f>
        <v>0</v>
      </c>
      <c r="Q100" s="2">
        <f>+'s1'!AU101</f>
        <v>17750.509999999998</v>
      </c>
      <c r="R100" s="2">
        <f>+'s1'!AV101</f>
        <v>0</v>
      </c>
      <c r="S100" s="2">
        <f t="shared" si="1"/>
        <v>17761.05</v>
      </c>
      <c r="T100" s="1"/>
    </row>
    <row r="101" spans="1:20" x14ac:dyDescent="0.2">
      <c r="A101" s="1" t="s">
        <v>577</v>
      </c>
      <c r="B101" s="2">
        <f>+'s1'!AF102</f>
        <v>16867.63</v>
      </c>
      <c r="C101" s="2">
        <f>+'s1'!AG102</f>
        <v>0</v>
      </c>
      <c r="D101" s="2">
        <f>+'s1'!AH102</f>
        <v>421951.98</v>
      </c>
      <c r="E101" s="2">
        <f>+'s1'!AI102</f>
        <v>5601.84</v>
      </c>
      <c r="F101" s="2">
        <f>+'s1'!AJ102</f>
        <v>0</v>
      </c>
      <c r="G101" s="2">
        <f>+'s1'!AK102</f>
        <v>0</v>
      </c>
      <c r="H101" s="2">
        <f>+'s1'!AL102</f>
        <v>0</v>
      </c>
      <c r="I101" s="2">
        <f>+'s1'!AM102</f>
        <v>0</v>
      </c>
      <c r="J101" s="2">
        <f>+'s1'!AN102</f>
        <v>0</v>
      </c>
      <c r="K101" s="2">
        <f>+'s1'!AO102</f>
        <v>0</v>
      </c>
      <c r="L101" s="2">
        <f>+'s1'!AP102</f>
        <v>4035.33</v>
      </c>
      <c r="M101" s="2">
        <f>+'s1'!AQ102</f>
        <v>0</v>
      </c>
      <c r="N101" s="2">
        <f>+'s1'!AR102</f>
        <v>0</v>
      </c>
      <c r="O101" s="2">
        <f>+'s1'!AS102</f>
        <v>0</v>
      </c>
      <c r="P101" s="2">
        <f>+'s1'!AT102</f>
        <v>0</v>
      </c>
      <c r="Q101" s="2">
        <f>+'s1'!AU102</f>
        <v>139262.85999999999</v>
      </c>
      <c r="R101" s="2">
        <f>+'s1'!AV102</f>
        <v>0</v>
      </c>
      <c r="S101" s="2">
        <f t="shared" si="1"/>
        <v>587719.64</v>
      </c>
      <c r="T101" s="1"/>
    </row>
    <row r="102" spans="1:20" x14ac:dyDescent="0.2">
      <c r="A102" s="1" t="s">
        <v>725</v>
      </c>
      <c r="B102" s="2">
        <f>+'s1'!AF103</f>
        <v>0</v>
      </c>
      <c r="C102" s="2">
        <f>+'s1'!AG103</f>
        <v>0</v>
      </c>
      <c r="D102" s="2">
        <f>+'s1'!AH103</f>
        <v>1313.47</v>
      </c>
      <c r="E102" s="2">
        <f>+'s1'!AI103</f>
        <v>0</v>
      </c>
      <c r="F102" s="2">
        <f>+'s1'!AJ103</f>
        <v>0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0</v>
      </c>
      <c r="M102" s="2">
        <f>+'s1'!AQ103</f>
        <v>0</v>
      </c>
      <c r="N102" s="2">
        <f>+'s1'!AR103</f>
        <v>0</v>
      </c>
      <c r="O102" s="2">
        <f>+'s1'!AS103</f>
        <v>0</v>
      </c>
      <c r="P102" s="2">
        <f>+'s1'!AT103</f>
        <v>0</v>
      </c>
      <c r="Q102" s="2">
        <f>+'s1'!AU103</f>
        <v>0</v>
      </c>
      <c r="R102" s="2">
        <f>+'s1'!AV103</f>
        <v>0</v>
      </c>
      <c r="S102" s="2">
        <f>SUM(B102:R102)</f>
        <v>1313.47</v>
      </c>
      <c r="T102" s="1"/>
    </row>
    <row r="103" spans="1:20" x14ac:dyDescent="0.2">
      <c r="A103" s="1" t="s">
        <v>444</v>
      </c>
      <c r="B103" s="2">
        <f>+'s1'!AF104</f>
        <v>0</v>
      </c>
      <c r="C103" s="2">
        <f>+'s1'!AG104</f>
        <v>0</v>
      </c>
      <c r="D103" s="2">
        <f>+'s1'!AH104</f>
        <v>6697.03</v>
      </c>
      <c r="E103" s="2">
        <f>+'s1'!AI104</f>
        <v>0</v>
      </c>
      <c r="F103" s="2">
        <f>+'s1'!AJ104</f>
        <v>0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0</v>
      </c>
      <c r="M103" s="2">
        <f>+'s1'!AQ104</f>
        <v>0</v>
      </c>
      <c r="N103" s="2">
        <f>+'s1'!AR104</f>
        <v>0</v>
      </c>
      <c r="O103" s="2">
        <f>+'s1'!AS104</f>
        <v>0</v>
      </c>
      <c r="P103" s="2">
        <f>+'s1'!AT104</f>
        <v>0</v>
      </c>
      <c r="Q103" s="2">
        <f>+'s1'!AU104</f>
        <v>843.72</v>
      </c>
      <c r="R103" s="2">
        <f>+'s1'!AV104</f>
        <v>0</v>
      </c>
      <c r="S103" s="2">
        <f t="shared" si="1"/>
        <v>7540.75</v>
      </c>
      <c r="T103" s="1"/>
    </row>
    <row r="104" spans="1:20" x14ac:dyDescent="0.2">
      <c r="A104" s="1" t="s">
        <v>494</v>
      </c>
      <c r="B104" s="2">
        <f>+'s1'!AF105</f>
        <v>0</v>
      </c>
      <c r="C104" s="2">
        <f>+'s1'!AG105</f>
        <v>0</v>
      </c>
      <c r="D104" s="2">
        <f>+'s1'!AH105</f>
        <v>18.87</v>
      </c>
      <c r="E104" s="2">
        <f>+'s1'!AI105</f>
        <v>0</v>
      </c>
      <c r="F104" s="2">
        <f>+'s1'!AJ105</f>
        <v>0</v>
      </c>
      <c r="G104" s="2">
        <f>+'s1'!AK105</f>
        <v>0</v>
      </c>
      <c r="H104" s="2">
        <f>+'s1'!AL105</f>
        <v>0</v>
      </c>
      <c r="I104" s="2">
        <f>+'s1'!AM105</f>
        <v>0</v>
      </c>
      <c r="J104" s="2">
        <f>+'s1'!AN105</f>
        <v>0</v>
      </c>
      <c r="K104" s="2">
        <f>+'s1'!AO105</f>
        <v>0</v>
      </c>
      <c r="L104" s="2">
        <f>+'s1'!AP105</f>
        <v>0</v>
      </c>
      <c r="M104" s="2">
        <f>+'s1'!AQ105</f>
        <v>0</v>
      </c>
      <c r="N104" s="2">
        <f>+'s1'!AR105</f>
        <v>0</v>
      </c>
      <c r="O104" s="2">
        <f>+'s1'!AS105</f>
        <v>0</v>
      </c>
      <c r="P104" s="2">
        <f>+'s1'!AT105</f>
        <v>0</v>
      </c>
      <c r="Q104" s="2">
        <f>+'s1'!AU105</f>
        <v>0</v>
      </c>
      <c r="R104" s="2">
        <f>+'s1'!AV105</f>
        <v>0</v>
      </c>
      <c r="S104" s="2">
        <f t="shared" ref="S104:S110" si="2">SUM(B104:R104)</f>
        <v>18.87</v>
      </c>
      <c r="T104" s="1"/>
    </row>
    <row r="105" spans="1:20" x14ac:dyDescent="0.2">
      <c r="A105" s="1" t="s">
        <v>83</v>
      </c>
      <c r="B105" s="2">
        <f>+'s1'!AF106</f>
        <v>0</v>
      </c>
      <c r="C105" s="2">
        <f>+'s1'!AG106</f>
        <v>0</v>
      </c>
      <c r="D105" s="2">
        <f>+'s1'!AH106</f>
        <v>0</v>
      </c>
      <c r="E105" s="2">
        <f>+'s1'!AI106</f>
        <v>0</v>
      </c>
      <c r="F105" s="2">
        <f>+'s1'!AJ106</f>
        <v>37.24</v>
      </c>
      <c r="G105" s="2">
        <f>+'s1'!AK106</f>
        <v>0</v>
      </c>
      <c r="H105" s="2">
        <f>+'s1'!AL106</f>
        <v>0</v>
      </c>
      <c r="I105" s="2">
        <f>+'s1'!AM106</f>
        <v>1640.52</v>
      </c>
      <c r="J105" s="2">
        <f>+'s1'!AN106</f>
        <v>0</v>
      </c>
      <c r="K105" s="2">
        <f>+'s1'!AO106</f>
        <v>0</v>
      </c>
      <c r="L105" s="2">
        <f>+'s1'!AP106</f>
        <v>0</v>
      </c>
      <c r="M105" s="2">
        <f>+'s1'!AQ106</f>
        <v>0</v>
      </c>
      <c r="N105" s="2">
        <f>+'s1'!AR106</f>
        <v>0</v>
      </c>
      <c r="O105" s="2">
        <f>+'s1'!AS106</f>
        <v>0</v>
      </c>
      <c r="P105" s="2">
        <f>+'s1'!AT106</f>
        <v>0</v>
      </c>
      <c r="Q105" s="2">
        <f>+'s1'!AU106</f>
        <v>0</v>
      </c>
      <c r="R105" s="2">
        <f>+'s1'!AV106</f>
        <v>0</v>
      </c>
      <c r="S105" s="2">
        <f t="shared" si="2"/>
        <v>1677.76</v>
      </c>
      <c r="T105" s="1"/>
    </row>
    <row r="106" spans="1:20" x14ac:dyDescent="0.2">
      <c r="A106" s="18" t="s">
        <v>578</v>
      </c>
      <c r="B106" s="2">
        <f>+'s1'!AF107</f>
        <v>0</v>
      </c>
      <c r="C106" s="2">
        <f>+'s1'!AG107</f>
        <v>0</v>
      </c>
      <c r="D106" s="2">
        <f>+'s1'!AH107</f>
        <v>1012.01</v>
      </c>
      <c r="E106" s="2">
        <f>+'s1'!AI107</f>
        <v>0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0</v>
      </c>
      <c r="J106" s="2">
        <f>+'s1'!AN107</f>
        <v>0</v>
      </c>
      <c r="K106" s="2">
        <f>+'s1'!AO107</f>
        <v>0</v>
      </c>
      <c r="L106" s="2">
        <f>+'s1'!AP107</f>
        <v>0</v>
      </c>
      <c r="M106" s="2">
        <f>+'s1'!AQ107</f>
        <v>0</v>
      </c>
      <c r="N106" s="2">
        <f>+'s1'!AR107</f>
        <v>0</v>
      </c>
      <c r="O106" s="2">
        <f>+'s1'!AS107</f>
        <v>0</v>
      </c>
      <c r="P106" s="2">
        <f>+'s1'!AT107</f>
        <v>0</v>
      </c>
      <c r="Q106" s="2">
        <f>+'s1'!AU107</f>
        <v>6511.37</v>
      </c>
      <c r="R106" s="2">
        <f>+'s1'!AV107</f>
        <v>0</v>
      </c>
      <c r="S106" s="2">
        <f t="shared" si="2"/>
        <v>7523.38</v>
      </c>
      <c r="T106" s="1"/>
    </row>
    <row r="107" spans="1:20" x14ac:dyDescent="0.2">
      <c r="A107" s="1" t="s">
        <v>771</v>
      </c>
      <c r="B107" s="2">
        <f>+'s1'!AF108</f>
        <v>0</v>
      </c>
      <c r="C107" s="2">
        <f>+'s1'!AG108</f>
        <v>0</v>
      </c>
      <c r="D107" s="2">
        <f>+'s1'!AH108</f>
        <v>0</v>
      </c>
      <c r="E107" s="2">
        <f>+'s1'!AI108</f>
        <v>0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0</v>
      </c>
      <c r="J107" s="2">
        <f>+'s1'!AN108</f>
        <v>0</v>
      </c>
      <c r="K107" s="2">
        <f>+'s1'!AO108</f>
        <v>0</v>
      </c>
      <c r="L107" s="2">
        <f>+'s1'!AP108</f>
        <v>0</v>
      </c>
      <c r="M107" s="2">
        <f>+'s1'!AQ108</f>
        <v>0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0</v>
      </c>
      <c r="R107" s="2">
        <f>+'s1'!AV108</f>
        <v>0</v>
      </c>
      <c r="S107" s="2">
        <f>SUM(B107:R107)</f>
        <v>0</v>
      </c>
      <c r="T107" s="1"/>
    </row>
    <row r="108" spans="1:20" x14ac:dyDescent="0.2">
      <c r="A108" s="18" t="s">
        <v>69</v>
      </c>
      <c r="B108" s="2">
        <f>+'s1'!AF109</f>
        <v>0</v>
      </c>
      <c r="C108" s="2">
        <f>+'s1'!AG109</f>
        <v>0</v>
      </c>
      <c r="D108" s="2">
        <f>+'s1'!AH109</f>
        <v>0</v>
      </c>
      <c r="E108" s="2">
        <f>+'s1'!AI109</f>
        <v>0</v>
      </c>
      <c r="F108" s="2">
        <f>+'s1'!AJ109</f>
        <v>0</v>
      </c>
      <c r="G108" s="2">
        <f>+'s1'!AK109</f>
        <v>0</v>
      </c>
      <c r="H108" s="2">
        <f>+'s1'!AL109</f>
        <v>0</v>
      </c>
      <c r="I108" s="2">
        <f>+'s1'!AM109</f>
        <v>0</v>
      </c>
      <c r="J108" s="2">
        <f>+'s1'!AN109</f>
        <v>0</v>
      </c>
      <c r="K108" s="2">
        <f>+'s1'!AO109</f>
        <v>0</v>
      </c>
      <c r="L108" s="2">
        <f>+'s1'!AP109</f>
        <v>0</v>
      </c>
      <c r="M108" s="2">
        <f>+'s1'!AQ109</f>
        <v>0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18868.63</v>
      </c>
      <c r="R108" s="2">
        <f>+'s1'!AV109</f>
        <v>0</v>
      </c>
      <c r="S108" s="2">
        <f t="shared" si="2"/>
        <v>18868.63</v>
      </c>
      <c r="T108" s="1"/>
    </row>
    <row r="109" spans="1:20" x14ac:dyDescent="0.2">
      <c r="A109" s="1" t="s">
        <v>70</v>
      </c>
      <c r="B109" s="2">
        <f>+'s1'!AF110</f>
        <v>0</v>
      </c>
      <c r="C109" s="2">
        <f>+'s1'!AG110</f>
        <v>0</v>
      </c>
      <c r="D109" s="2">
        <f>+'s1'!AH110</f>
        <v>0</v>
      </c>
      <c r="E109" s="2">
        <f>+'s1'!AI110</f>
        <v>0</v>
      </c>
      <c r="F109" s="2">
        <f>+'s1'!AJ110</f>
        <v>0</v>
      </c>
      <c r="G109" s="2">
        <f>+'s1'!AK110</f>
        <v>39.4</v>
      </c>
      <c r="H109" s="2">
        <f>+'s1'!AL110</f>
        <v>0</v>
      </c>
      <c r="I109" s="2">
        <f>+'s1'!AM110</f>
        <v>0</v>
      </c>
      <c r="J109" s="2">
        <f>+'s1'!AN110</f>
        <v>0</v>
      </c>
      <c r="K109" s="2">
        <f>+'s1'!AO110</f>
        <v>0</v>
      </c>
      <c r="L109" s="2">
        <f>+'s1'!AP110</f>
        <v>0</v>
      </c>
      <c r="M109" s="2">
        <f>+'s1'!AQ110</f>
        <v>6220.39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0</v>
      </c>
      <c r="R109" s="2">
        <f>+'s1'!AV110</f>
        <v>0</v>
      </c>
      <c r="S109" s="2">
        <f t="shared" si="2"/>
        <v>6259.79</v>
      </c>
      <c r="T109" s="1"/>
    </row>
    <row r="110" spans="1:20" x14ac:dyDescent="0.2">
      <c r="A110" s="1" t="s">
        <v>367</v>
      </c>
      <c r="B110" s="2">
        <f>+'s1'!AF111</f>
        <v>0</v>
      </c>
      <c r="C110" s="2">
        <f>+'s1'!AG111</f>
        <v>0</v>
      </c>
      <c r="D110" s="2">
        <f>+'s1'!AH111</f>
        <v>8449.2999999999993</v>
      </c>
      <c r="E110" s="2">
        <f>+'s1'!AI111</f>
        <v>0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0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0</v>
      </c>
      <c r="R110" s="2">
        <f>+'s1'!AV111</f>
        <v>0</v>
      </c>
      <c r="S110" s="2">
        <f t="shared" si="2"/>
        <v>8449.2999999999993</v>
      </c>
      <c r="T110" s="1"/>
    </row>
    <row r="111" spans="1:20" ht="27.75" customHeight="1" thickBot="1" x14ac:dyDescent="0.25">
      <c r="A111" s="21" t="s">
        <v>12</v>
      </c>
      <c r="B111" s="36">
        <f t="shared" ref="B111:S111" si="3">SUM(B11:B110)</f>
        <v>265586.33</v>
      </c>
      <c r="C111" s="36">
        <f t="shared" si="3"/>
        <v>54992.09</v>
      </c>
      <c r="D111" s="36">
        <f t="shared" si="3"/>
        <v>5274423.96</v>
      </c>
      <c r="E111" s="36">
        <f t="shared" si="3"/>
        <v>74562.509999999995</v>
      </c>
      <c r="F111" s="36">
        <f t="shared" si="3"/>
        <v>81880.14</v>
      </c>
      <c r="G111" s="36">
        <f t="shared" si="3"/>
        <v>1209.5999999999999</v>
      </c>
      <c r="H111" s="36">
        <f t="shared" si="3"/>
        <v>4160.1499999999996</v>
      </c>
      <c r="I111" s="36">
        <f t="shared" si="3"/>
        <v>90766.89</v>
      </c>
      <c r="J111" s="36">
        <f t="shared" si="3"/>
        <v>20385.32</v>
      </c>
      <c r="K111" s="36">
        <f t="shared" si="3"/>
        <v>8936.9</v>
      </c>
      <c r="L111" s="36">
        <f t="shared" si="3"/>
        <v>131418.1</v>
      </c>
      <c r="M111" s="36">
        <f t="shared" si="3"/>
        <v>21989.75</v>
      </c>
      <c r="N111" s="36">
        <f t="shared" si="3"/>
        <v>74961.23</v>
      </c>
      <c r="O111" s="36">
        <f t="shared" si="3"/>
        <v>18571.57</v>
      </c>
      <c r="P111" s="36">
        <f t="shared" si="3"/>
        <v>1001.64</v>
      </c>
      <c r="Q111" s="36">
        <f t="shared" si="3"/>
        <v>1333101.68</v>
      </c>
      <c r="R111" s="36">
        <f t="shared" si="3"/>
        <v>34364.75</v>
      </c>
      <c r="S111" s="36">
        <f t="shared" si="3"/>
        <v>7492312.6100000003</v>
      </c>
      <c r="T111" s="9">
        <f>SUM(B111:R111)</f>
        <v>7492312.6100000003</v>
      </c>
    </row>
    <row r="112" spans="1:20" hidden="1" x14ac:dyDescent="0.2">
      <c r="D112" t="s">
        <v>81</v>
      </c>
    </row>
    <row r="113" spans="1:19" hidden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7"/>
    </row>
    <row r="114" spans="1:19" hidden="1" x14ac:dyDescent="0.2">
      <c r="A114" s="1" t="s">
        <v>497</v>
      </c>
      <c r="B114" s="2">
        <f>CAG+_CAG1</f>
        <v>295095.93</v>
      </c>
      <c r="C114" s="2">
        <f>CHG+_CHG1</f>
        <v>61102.33</v>
      </c>
      <c r="D114" s="2">
        <f>CLG+_CLG1</f>
        <v>5860090.7000000002</v>
      </c>
      <c r="E114" s="2">
        <f>DOG+_DOG1</f>
        <v>93203.16</v>
      </c>
      <c r="F114" s="2">
        <f>ELG+_ELG1</f>
        <v>102350.18</v>
      </c>
      <c r="G114" s="2">
        <f>ESG+_ESG1</f>
        <v>1512</v>
      </c>
      <c r="H114" s="2">
        <f>EUG+_EUG1</f>
        <v>5200.18</v>
      </c>
      <c r="I114" s="2">
        <f>HUG+_HUG1</f>
        <v>100852.1</v>
      </c>
      <c r="J114" s="2">
        <f>LAG+_LAG1</f>
        <v>22650.36</v>
      </c>
      <c r="K114" s="2">
        <f>LIG+_LIG1</f>
        <v>11171.12</v>
      </c>
      <c r="L114" s="2">
        <f>LYG+_LYG1</f>
        <v>146020.1</v>
      </c>
      <c r="M114" s="2">
        <f>MIG+_MIG1</f>
        <v>24433.05</v>
      </c>
      <c r="N114" s="2">
        <f>NYG+_NYG1</f>
        <v>93701.54</v>
      </c>
      <c r="O114" s="2">
        <f>PEG+_PEG1</f>
        <v>20635.07</v>
      </c>
      <c r="P114" s="2">
        <f>STG+_STG1</f>
        <v>1252.05</v>
      </c>
      <c r="Q114" s="2">
        <f>WAG+_WAG1+'s1'!I115</f>
        <v>1608917.33</v>
      </c>
      <c r="R114" s="2">
        <f>WHG+_WHG1</f>
        <v>38183.040000000001</v>
      </c>
      <c r="S114" s="2">
        <f>COUNTYOPTION+COUNTY1+'s1'!I115</f>
        <v>8486370.2400000002</v>
      </c>
    </row>
    <row r="115" spans="1:19" hidden="1" x14ac:dyDescent="0.2"/>
    <row r="116" spans="1:19" hidden="1" x14ac:dyDescent="0.2">
      <c r="A116" s="1"/>
      <c r="B116" s="2">
        <v>295095.93</v>
      </c>
      <c r="C116" s="2">
        <v>61102.33</v>
      </c>
      <c r="D116" s="2">
        <v>5860090.7000000002</v>
      </c>
      <c r="E116" s="2">
        <v>93203.16</v>
      </c>
      <c r="F116" s="2">
        <v>102350.18</v>
      </c>
      <c r="G116" s="2">
        <v>1512</v>
      </c>
      <c r="H116" s="2">
        <v>5200.18</v>
      </c>
      <c r="I116" s="2">
        <v>100852.1</v>
      </c>
      <c r="J116" s="2">
        <v>22650.36</v>
      </c>
      <c r="K116" s="2">
        <v>11171.12</v>
      </c>
      <c r="L116" s="2">
        <v>146020.1</v>
      </c>
      <c r="M116" s="2">
        <v>24433.05</v>
      </c>
      <c r="N116" s="2">
        <v>93701.54</v>
      </c>
      <c r="O116" s="2">
        <v>20635.07</v>
      </c>
      <c r="P116" s="2">
        <v>1252.05</v>
      </c>
      <c r="Q116" s="2">
        <f>1481224.08+127693.25</f>
        <v>1608917.33</v>
      </c>
      <c r="R116" s="2">
        <v>38183.040000000001</v>
      </c>
      <c r="S116" s="2">
        <v>8486370.2400000002</v>
      </c>
    </row>
    <row r="117" spans="1:19" hidden="1" x14ac:dyDescent="0.2"/>
    <row r="118" spans="1:19" hidden="1" x14ac:dyDescent="0.2">
      <c r="B118" s="11">
        <f>B114-B116</f>
        <v>0</v>
      </c>
      <c r="C118" s="11">
        <f t="shared" ref="C118:S118" si="4">C114-C116</f>
        <v>0</v>
      </c>
      <c r="D118" s="11">
        <f t="shared" si="4"/>
        <v>0</v>
      </c>
      <c r="E118" s="11">
        <f t="shared" si="4"/>
        <v>0</v>
      </c>
      <c r="F118" s="11">
        <f t="shared" si="4"/>
        <v>0</v>
      </c>
      <c r="G118" s="11">
        <f t="shared" si="4"/>
        <v>0</v>
      </c>
      <c r="H118" s="11">
        <f t="shared" si="4"/>
        <v>0</v>
      </c>
      <c r="I118" s="11">
        <f t="shared" si="4"/>
        <v>0</v>
      </c>
      <c r="J118" s="11">
        <f t="shared" si="4"/>
        <v>0</v>
      </c>
      <c r="K118" s="11">
        <f t="shared" si="4"/>
        <v>0</v>
      </c>
      <c r="L118" s="11">
        <f t="shared" si="4"/>
        <v>0</v>
      </c>
      <c r="M118" s="11">
        <f t="shared" si="4"/>
        <v>0</v>
      </c>
      <c r="N118" s="11">
        <f t="shared" si="4"/>
        <v>0</v>
      </c>
      <c r="O118" s="11">
        <f t="shared" si="4"/>
        <v>0</v>
      </c>
      <c r="P118" s="11">
        <f t="shared" si="4"/>
        <v>0</v>
      </c>
      <c r="Q118" s="11">
        <f t="shared" si="4"/>
        <v>0</v>
      </c>
      <c r="R118" s="11">
        <f t="shared" si="4"/>
        <v>0</v>
      </c>
      <c r="S118" s="11">
        <f t="shared" si="4"/>
        <v>0</v>
      </c>
    </row>
    <row r="119" spans="1:19" hidden="1" x14ac:dyDescent="0.2"/>
    <row r="120" spans="1:19" hidden="1" x14ac:dyDescent="0.2"/>
    <row r="121" spans="1:19" hidden="1" x14ac:dyDescent="0.2"/>
    <row r="122" spans="1:19" hidden="1" x14ac:dyDescent="0.2"/>
    <row r="123" spans="1:19" hidden="1" x14ac:dyDescent="0.2"/>
    <row r="124" spans="1:19" hidden="1" x14ac:dyDescent="0.2"/>
    <row r="125" spans="1:19" hidden="1" x14ac:dyDescent="0.2"/>
    <row r="126" spans="1:19" hidden="1" x14ac:dyDescent="0.2"/>
    <row r="127" spans="1:19" hidden="1" x14ac:dyDescent="0.2"/>
    <row r="128" spans="1:19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17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customWidth="1"/>
  </cols>
  <sheetData>
    <row r="1" spans="1:20" ht="15.75" x14ac:dyDescent="0.25">
      <c r="A1" s="63" t="s">
        <v>98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7" t="str">
        <f>ReportMonth</f>
        <v>NOVEMBER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43"/>
      <c r="H3" s="87"/>
      <c r="I3" s="87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446</v>
      </c>
      <c r="B4" s="42"/>
      <c r="C4" s="42"/>
      <c r="D4" s="42"/>
      <c r="E4" s="42"/>
      <c r="F4" s="87"/>
      <c r="G4" s="43"/>
      <c r="H4" s="87"/>
      <c r="I4" s="87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86</v>
      </c>
      <c r="B5" s="42"/>
      <c r="C5" s="42"/>
      <c r="D5" s="42"/>
      <c r="E5" s="42"/>
      <c r="F5" s="43"/>
      <c r="G5" s="87"/>
      <c r="H5" s="87"/>
      <c r="I5" s="87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8" t="s">
        <v>99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2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2" t="s">
        <v>37</v>
      </c>
      <c r="S10" s="109" t="s">
        <v>12</v>
      </c>
      <c r="T10" s="1"/>
    </row>
    <row r="11" spans="1:20" x14ac:dyDescent="0.2">
      <c r="A11" s="110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8" t="s">
        <v>100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719</v>
      </c>
      <c r="B13" s="2">
        <f>+'s1'!M13*0.0098</f>
        <v>0</v>
      </c>
      <c r="C13" s="2">
        <f>+'s1'!N13*0.0098</f>
        <v>0</v>
      </c>
      <c r="D13" s="2">
        <f>+'s1'!O13*0.0098</f>
        <v>31.61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>SUM(B13:R13)</f>
        <v>31.61</v>
      </c>
      <c r="T13" s="2"/>
    </row>
    <row r="14" spans="1:20" x14ac:dyDescent="0.2">
      <c r="A14" s="1" t="s">
        <v>38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1954.53</v>
      </c>
      <c r="G14" s="2">
        <f>+'s1'!R14*0.0098</f>
        <v>0</v>
      </c>
      <c r="H14" s="2">
        <f>+'s1'!S14*0.0098</f>
        <v>104.73</v>
      </c>
      <c r="I14" s="2">
        <f>+'s1'!T14*0.0098</f>
        <v>73.510000000000005</v>
      </c>
      <c r="J14" s="2">
        <f>+'s1'!U14*0.0098</f>
        <v>712.77</v>
      </c>
      <c r="K14" s="2">
        <f>+'s1'!V14*0.0098</f>
        <v>0</v>
      </c>
      <c r="L14" s="2">
        <f>+'s1'!W14*0.0098</f>
        <v>0</v>
      </c>
      <c r="M14" s="2">
        <f>+'s1'!X14*0.0098</f>
        <v>0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81.34</v>
      </c>
      <c r="S14" s="2">
        <f>SUM(B14:R14)</f>
        <v>2926.88</v>
      </c>
      <c r="T14" s="2"/>
    </row>
    <row r="15" spans="1:20" x14ac:dyDescent="0.2">
      <c r="A15" s="1" t="s">
        <v>349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</f>
        <v>0</v>
      </c>
      <c r="G15" s="2">
        <f>+'s1'!R15*0.0098</f>
        <v>0</v>
      </c>
      <c r="H15" s="2">
        <f>+'s1'!S15*0.0098</f>
        <v>0</v>
      </c>
      <c r="I15" s="2">
        <f>+'s1'!T15*0.0098</f>
        <v>0</v>
      </c>
      <c r="J15" s="2">
        <f>+'s1'!U15*0.0098</f>
        <v>227.93</v>
      </c>
      <c r="K15" s="2">
        <f>+'s1'!V15*0.0098</f>
        <v>0</v>
      </c>
      <c r="L15" s="2">
        <f>+'s1'!W15*0.0098</f>
        <v>0</v>
      </c>
      <c r="M15" s="2">
        <f>+'s1'!X15*0.0098</f>
        <v>0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0</v>
      </c>
      <c r="S15" s="2">
        <f>SUM(B15:R15)</f>
        <v>227.93</v>
      </c>
      <c r="T15" s="2"/>
    </row>
    <row r="16" spans="1:20" x14ac:dyDescent="0.2">
      <c r="A16" s="7" t="s">
        <v>39</v>
      </c>
      <c r="B16" s="2">
        <f>+'s1'!M16*0.0098</f>
        <v>0</v>
      </c>
      <c r="C16" s="2">
        <f>+'s1'!N16*0.0098</f>
        <v>0</v>
      </c>
      <c r="D16" s="2">
        <f>+'s1'!O16*0.0098</f>
        <v>1.72</v>
      </c>
      <c r="E16" s="2">
        <f>+'s1'!P16*0.0098</f>
        <v>0</v>
      </c>
      <c r="F16" s="2">
        <f>+'s1'!Q16*0.0098</f>
        <v>0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</f>
        <v>0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</f>
        <v>0</v>
      </c>
      <c r="S16" s="2">
        <f>SUM(B16:R16)</f>
        <v>1.72</v>
      </c>
      <c r="T16" s="2"/>
    </row>
    <row r="17" spans="1:20" s="89" customFormat="1" x14ac:dyDescent="0.2">
      <c r="A17" s="18" t="s">
        <v>612</v>
      </c>
      <c r="B17" s="2">
        <f>+'s1'!M17*0.0098</f>
        <v>0</v>
      </c>
      <c r="C17" s="2">
        <f>+'s1'!N17*0.0098</f>
        <v>0</v>
      </c>
      <c r="D17" s="2">
        <f>+'s1'!O17*0.0098</f>
        <v>48.71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0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2.11</v>
      </c>
      <c r="R17" s="2">
        <f>+'s1'!AC17*0.0098</f>
        <v>0</v>
      </c>
      <c r="S17" s="78">
        <f>SUM(B17:R17)</f>
        <v>50.82</v>
      </c>
      <c r="T17" s="10"/>
    </row>
    <row r="18" spans="1:20" s="20" customFormat="1" x14ac:dyDescent="0.2">
      <c r="A18" s="1" t="s">
        <v>492</v>
      </c>
      <c r="B18" s="2">
        <f>+'s1'!M18*0.0098</f>
        <v>0</v>
      </c>
      <c r="C18" s="2">
        <f>+'s1'!N18*0.0098</f>
        <v>0</v>
      </c>
      <c r="D18" s="2">
        <f>+'s1'!O18*0.0098</f>
        <v>1857.42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0</v>
      </c>
      <c r="R18" s="2">
        <f>+'s1'!AC18*0.0098</f>
        <v>0</v>
      </c>
      <c r="S18" s="78">
        <f t="shared" ref="S18:S30" si="0">SUM(B18:R18)</f>
        <v>1857.42</v>
      </c>
      <c r="T18" s="18"/>
    </row>
    <row r="19" spans="1:20" x14ac:dyDescent="0.2">
      <c r="A19" s="1" t="s">
        <v>726</v>
      </c>
      <c r="B19" s="2">
        <f>+'s1'!M19*0.0098</f>
        <v>0</v>
      </c>
      <c r="C19" s="2">
        <f>+'s1'!N19*0.0098</f>
        <v>0</v>
      </c>
      <c r="D19" s="2">
        <f>+'s1'!O19*0.0098</f>
        <v>0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266.88</v>
      </c>
      <c r="J19" s="2">
        <f>+'s1'!U19*0.0098</f>
        <v>0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972.42</v>
      </c>
      <c r="R19" s="2">
        <f>+'s1'!AC19*0.0098</f>
        <v>0</v>
      </c>
      <c r="S19" s="2">
        <f>SUM(B19:R19)</f>
        <v>1239.3</v>
      </c>
      <c r="T19" s="1"/>
    </row>
    <row r="20" spans="1:20" x14ac:dyDescent="0.2">
      <c r="A20" s="1" t="s">
        <v>40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0</v>
      </c>
      <c r="J20" s="2">
        <f>+'s1'!U20*0.0098</f>
        <v>32.340000000000003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0</v>
      </c>
      <c r="R20" s="2">
        <f>+'s1'!AC20*0.0098</f>
        <v>0</v>
      </c>
      <c r="S20" s="2">
        <f t="shared" si="0"/>
        <v>32.340000000000003</v>
      </c>
      <c r="T20" s="1"/>
    </row>
    <row r="21" spans="1:20" x14ac:dyDescent="0.2">
      <c r="A21" s="1" t="s">
        <v>433</v>
      </c>
      <c r="B21" s="2">
        <f>+'s1'!M21*0.0098</f>
        <v>0</v>
      </c>
      <c r="C21" s="2">
        <f>+'s1'!N21*0.0098</f>
        <v>0</v>
      </c>
      <c r="D21" s="2">
        <f>+'s1'!O21*0.0098</f>
        <v>9084.76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0</v>
      </c>
      <c r="J21" s="2">
        <f>+'s1'!U21*0.0098</f>
        <v>0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3017.71</v>
      </c>
      <c r="R21" s="2">
        <f>+'s1'!AC21*0.0098</f>
        <v>0</v>
      </c>
      <c r="S21" s="2">
        <f t="shared" si="0"/>
        <v>12102.47</v>
      </c>
      <c r="T21" s="1"/>
    </row>
    <row r="22" spans="1:20" x14ac:dyDescent="0.2">
      <c r="A22" s="1" t="s">
        <v>621</v>
      </c>
      <c r="B22" s="2">
        <f>+'s1'!M22*0.0098</f>
        <v>239.34</v>
      </c>
      <c r="C22" s="2">
        <f>+'s1'!N22*0.0098</f>
        <v>0</v>
      </c>
      <c r="D22" s="2">
        <f>+'s1'!O22*0.0098</f>
        <v>0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</f>
        <v>0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0</v>
      </c>
      <c r="R22" s="2">
        <f>+'s1'!AC22*0.0098</f>
        <v>0</v>
      </c>
      <c r="S22" s="2">
        <f>SUM(B22:R22)</f>
        <v>239.34</v>
      </c>
      <c r="T22" s="2"/>
    </row>
    <row r="23" spans="1:20" x14ac:dyDescent="0.2">
      <c r="A23" s="1" t="s">
        <v>447</v>
      </c>
      <c r="B23" s="2">
        <f>+'s1'!M23*0.0098</f>
        <v>0</v>
      </c>
      <c r="C23" s="2">
        <f>+'s1'!N23*0.0098</f>
        <v>2765.58</v>
      </c>
      <c r="D23" s="2">
        <f>+'s1'!O23*0.0098</f>
        <v>0</v>
      </c>
      <c r="E23" s="2">
        <f>+'s1'!P23*0.0098</f>
        <v>465.73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0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0</v>
      </c>
      <c r="R23" s="2">
        <f>+'s1'!AC23*0.0098</f>
        <v>0</v>
      </c>
      <c r="S23" s="2">
        <f t="shared" si="0"/>
        <v>3231.31</v>
      </c>
      <c r="T23" s="2"/>
    </row>
    <row r="24" spans="1:20" x14ac:dyDescent="0.2">
      <c r="A24" s="1" t="s">
        <v>767</v>
      </c>
      <c r="B24" s="2">
        <f>+'s1'!M24*0.0098</f>
        <v>0</v>
      </c>
      <c r="C24" s="2">
        <f>+'s1'!N24*0.0098</f>
        <v>0</v>
      </c>
      <c r="D24" s="2">
        <f>+'s1'!O24*0.0098</f>
        <v>0</v>
      </c>
      <c r="E24" s="2">
        <f>+'s1'!P24*0.0098</f>
        <v>0</v>
      </c>
      <c r="F24" s="2">
        <f>+'s1'!Q24*0.0098</f>
        <v>0</v>
      </c>
      <c r="G24" s="2">
        <f>+'s1'!R24*0.0098</f>
        <v>0</v>
      </c>
      <c r="H24" s="2">
        <f>+'s1'!S24*0.0098</f>
        <v>0</v>
      </c>
      <c r="I24" s="2">
        <f>+'s1'!T24*0.0098</f>
        <v>0</v>
      </c>
      <c r="J24" s="2">
        <f>+'s1'!U24*0.0098</f>
        <v>0</v>
      </c>
      <c r="K24" s="2">
        <f>+'s1'!V24*0.0098</f>
        <v>0</v>
      </c>
      <c r="L24" s="2">
        <f>+'s1'!W24*0.0098</f>
        <v>0</v>
      </c>
      <c r="M24" s="2">
        <f>+'s1'!X24*0.0098</f>
        <v>0</v>
      </c>
      <c r="N24" s="2">
        <f>+'s1'!Y24*0.0098</f>
        <v>0</v>
      </c>
      <c r="O24" s="2">
        <f>+'s1'!Z24*0.0098</f>
        <v>0</v>
      </c>
      <c r="P24" s="2">
        <f>+'s1'!AA24*0.0098</f>
        <v>0</v>
      </c>
      <c r="Q24" s="2">
        <f>+'s1'!AB24*0.0098</f>
        <v>0</v>
      </c>
      <c r="R24" s="2">
        <f>+'s1'!AC24*0.0098</f>
        <v>0</v>
      </c>
      <c r="S24" s="2">
        <f t="shared" si="0"/>
        <v>0</v>
      </c>
      <c r="T24" s="2"/>
    </row>
    <row r="25" spans="1:20" x14ac:dyDescent="0.2">
      <c r="A25" s="1" t="s">
        <v>448</v>
      </c>
      <c r="B25" s="2">
        <f>+'s1'!M25*0.0098</f>
        <v>8973.6</v>
      </c>
      <c r="C25" s="2">
        <f>+'s1'!N25*0.0098</f>
        <v>977.57</v>
      </c>
      <c r="D25" s="2">
        <f>+'s1'!O25*0.0098</f>
        <v>47.77</v>
      </c>
      <c r="E25" s="2">
        <f>+'s1'!P25*0.0098</f>
        <v>4942.8599999999997</v>
      </c>
      <c r="F25" s="2">
        <f>+'s1'!Q25*0.0098</f>
        <v>2596.46</v>
      </c>
      <c r="G25" s="2">
        <f>+'s1'!R25*0.0098</f>
        <v>0</v>
      </c>
      <c r="H25" s="2">
        <f>+'s1'!S25*0.0098</f>
        <v>234.09</v>
      </c>
      <c r="I25" s="2">
        <f>+'s1'!T25*0.0098</f>
        <v>1810.62</v>
      </c>
      <c r="J25" s="2">
        <f>+'s1'!U25*0.0098</f>
        <v>1201.17</v>
      </c>
      <c r="K25" s="2">
        <f>+'s1'!V25*0.0098</f>
        <v>0</v>
      </c>
      <c r="L25" s="2">
        <f>+'s1'!W25*0.0098</f>
        <v>2497.85</v>
      </c>
      <c r="M25" s="2">
        <f>+'s1'!X25*0.0098</f>
        <v>336.59</v>
      </c>
      <c r="N25" s="2">
        <f>+'s1'!Y25*0.0098</f>
        <v>191.15</v>
      </c>
      <c r="O25" s="2">
        <f>+'s1'!Z25*0.0098</f>
        <v>707.85</v>
      </c>
      <c r="P25" s="2">
        <f>+'s1'!AA25*0.0098</f>
        <v>0</v>
      </c>
      <c r="Q25" s="2">
        <f>+'s1'!AB25*0.0098</f>
        <v>54494.36</v>
      </c>
      <c r="R25" s="2">
        <f>+'s1'!AC25*0.0098</f>
        <v>549.20000000000005</v>
      </c>
      <c r="S25" s="2">
        <f t="shared" si="0"/>
        <v>79561.14</v>
      </c>
      <c r="T25" s="1"/>
    </row>
    <row r="26" spans="1:20" x14ac:dyDescent="0.2">
      <c r="A26" s="1" t="s">
        <v>368</v>
      </c>
      <c r="B26" s="2">
        <f>+'s1'!M26*0.0098</f>
        <v>0</v>
      </c>
      <c r="C26" s="2">
        <f>+'s1'!N26*0.0098</f>
        <v>0</v>
      </c>
      <c r="D26" s="2">
        <f>+'s1'!O26*0.0098</f>
        <v>0</v>
      </c>
      <c r="E26" s="2">
        <f>+'s1'!P26*0.0098</f>
        <v>0</v>
      </c>
      <c r="F26" s="2">
        <f>+'s1'!Q26*0.0098</f>
        <v>0</v>
      </c>
      <c r="G26" s="2">
        <f>+'s1'!R26*0.0098</f>
        <v>0</v>
      </c>
      <c r="H26" s="2">
        <f>+'s1'!S26*0.0098</f>
        <v>0</v>
      </c>
      <c r="I26" s="2">
        <f>+'s1'!T26*0.0098</f>
        <v>0</v>
      </c>
      <c r="J26" s="2">
        <f>+'s1'!U26*0.0098</f>
        <v>0</v>
      </c>
      <c r="K26" s="2">
        <f>+'s1'!V26*0.0098</f>
        <v>0</v>
      </c>
      <c r="L26" s="2">
        <f>+'s1'!W26*0.0098</f>
        <v>1132.9000000000001</v>
      </c>
      <c r="M26" s="2">
        <f>+'s1'!X26*0.0098</f>
        <v>0</v>
      </c>
      <c r="N26" s="2">
        <f>+'s1'!Y26*0.0098</f>
        <v>0</v>
      </c>
      <c r="O26" s="2">
        <f>+'s1'!Z26*0.0098</f>
        <v>0</v>
      </c>
      <c r="P26" s="2">
        <f>+'s1'!AA26*0.0098</f>
        <v>0</v>
      </c>
      <c r="Q26" s="2">
        <f>+'s1'!AB26*0.0098</f>
        <v>0</v>
      </c>
      <c r="R26" s="2">
        <f>+'s1'!AC26*0.0098</f>
        <v>0</v>
      </c>
      <c r="S26" s="2">
        <f t="shared" si="0"/>
        <v>1132.9000000000001</v>
      </c>
      <c r="T26" s="2"/>
    </row>
    <row r="27" spans="1:20" s="20" customFormat="1" x14ac:dyDescent="0.2">
      <c r="A27" s="1" t="s">
        <v>449</v>
      </c>
      <c r="B27" s="2">
        <f>+'s1'!M27*0.0098</f>
        <v>10873.93</v>
      </c>
      <c r="C27" s="2">
        <f>+'s1'!N27*0.0098</f>
        <v>0</v>
      </c>
      <c r="D27" s="2">
        <f>+'s1'!O27*0.0098</f>
        <v>88076.93</v>
      </c>
      <c r="E27" s="2">
        <f>+'s1'!P27*0.0098</f>
        <v>6820.95</v>
      </c>
      <c r="F27" s="2">
        <f>+'s1'!Q27*0.0098</f>
        <v>0</v>
      </c>
      <c r="G27" s="2">
        <f>+'s1'!R27*0.0098</f>
        <v>0</v>
      </c>
      <c r="H27" s="2">
        <f>+'s1'!S27*0.0098</f>
        <v>0</v>
      </c>
      <c r="I27" s="2">
        <f>+'s1'!T27*0.0098</f>
        <v>0</v>
      </c>
      <c r="J27" s="2">
        <f>+'s1'!U27*0.0098</f>
        <v>0</v>
      </c>
      <c r="K27" s="2">
        <f>+'s1'!V27*0.0098</f>
        <v>0</v>
      </c>
      <c r="L27" s="2">
        <f>+'s1'!W27*0.0098</f>
        <v>0</v>
      </c>
      <c r="M27" s="2">
        <f>+'s1'!X27*0.0098</f>
        <v>0</v>
      </c>
      <c r="N27" s="2">
        <f>+'s1'!Y27*0.0098</f>
        <v>0</v>
      </c>
      <c r="O27" s="2">
        <f>+'s1'!Z27*0.0098</f>
        <v>0</v>
      </c>
      <c r="P27" s="2">
        <f>+'s1'!AA27*0.0098</f>
        <v>0</v>
      </c>
      <c r="Q27" s="2">
        <f>+'s1'!AB27*0.0098</f>
        <v>22085.63</v>
      </c>
      <c r="R27" s="2">
        <f>+'s1'!AC27*0.0098</f>
        <v>0</v>
      </c>
      <c r="S27" s="78">
        <f t="shared" si="0"/>
        <v>127857.44</v>
      </c>
      <c r="T27" s="18"/>
    </row>
    <row r="28" spans="1:20" x14ac:dyDescent="0.2">
      <c r="A28" s="1" t="s">
        <v>353</v>
      </c>
      <c r="B28" s="2">
        <f>+'s1'!M28*0.0098</f>
        <v>0</v>
      </c>
      <c r="C28" s="2">
        <f>+'s1'!N28*0.0098</f>
        <v>0</v>
      </c>
      <c r="D28" s="2">
        <f>+'s1'!O28*0.0098</f>
        <v>10706.45</v>
      </c>
      <c r="E28" s="2">
        <f>+'s1'!P28*0.0098</f>
        <v>0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39.49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0</v>
      </c>
      <c r="R28" s="2">
        <f>+'s1'!AC28*0.0098</f>
        <v>0</v>
      </c>
      <c r="S28" s="2">
        <f>SUM(B28:R28)</f>
        <v>10745.94</v>
      </c>
      <c r="T28" s="1"/>
    </row>
    <row r="29" spans="1:20" x14ac:dyDescent="0.2">
      <c r="A29" s="18" t="s">
        <v>493</v>
      </c>
      <c r="B29" s="2">
        <f>+'s1'!M29*0.0098</f>
        <v>0</v>
      </c>
      <c r="C29" s="2">
        <f>+'s1'!N29*0.0098</f>
        <v>0</v>
      </c>
      <c r="D29" s="2">
        <f>+'s1'!O29*0.0098</f>
        <v>0</v>
      </c>
      <c r="E29" s="2">
        <f>+'s1'!P29*0.0098</f>
        <v>0</v>
      </c>
      <c r="F29" s="2">
        <f>+'s1'!Q29*0.0098</f>
        <v>531.77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0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0</v>
      </c>
      <c r="R29" s="2">
        <f>+'s1'!AC29*0.0098</f>
        <v>0</v>
      </c>
      <c r="S29" s="2">
        <f t="shared" si="0"/>
        <v>531.77</v>
      </c>
      <c r="T29" s="2"/>
    </row>
    <row r="30" spans="1:20" x14ac:dyDescent="0.2">
      <c r="A30" s="1" t="s">
        <v>301</v>
      </c>
      <c r="B30" s="2">
        <f>+'s1'!M30*0.0098</f>
        <v>0</v>
      </c>
      <c r="C30" s="2">
        <f>+'s1'!N30*0.0098</f>
        <v>0</v>
      </c>
      <c r="D30" s="2">
        <f>+'s1'!O30*0.0098</f>
        <v>1462.48</v>
      </c>
      <c r="E30" s="2">
        <f>+'s1'!P30*0.0098</f>
        <v>0</v>
      </c>
      <c r="F30" s="2">
        <f>+'s1'!Q30*0.0098</f>
        <v>0</v>
      </c>
      <c r="G30" s="2">
        <f>+'s1'!R30*0.0098</f>
        <v>0</v>
      </c>
      <c r="H30" s="2">
        <f>+'s1'!S30*0.0098</f>
        <v>0</v>
      </c>
      <c r="I30" s="2">
        <f>+'s1'!T30*0.0098</f>
        <v>0</v>
      </c>
      <c r="J30" s="2">
        <f>+'s1'!U30*0.0098</f>
        <v>0</v>
      </c>
      <c r="K30" s="2">
        <f>+'s1'!V30*0.0098</f>
        <v>0</v>
      </c>
      <c r="L30" s="2">
        <f>+'s1'!W30*0.0098</f>
        <v>0</v>
      </c>
      <c r="M30" s="2">
        <f>+'s1'!X30*0.0098</f>
        <v>0</v>
      </c>
      <c r="N30" s="2">
        <f>+'s1'!Y30*0.0098</f>
        <v>0</v>
      </c>
      <c r="O30" s="2">
        <f>+'s1'!Z30*0.0098</f>
        <v>0</v>
      </c>
      <c r="P30" s="2">
        <f>+'s1'!AA30*0.0098</f>
        <v>0</v>
      </c>
      <c r="Q30" s="2">
        <f>+'s1'!AB30*0.0098</f>
        <v>0</v>
      </c>
      <c r="R30" s="2">
        <f>+'s1'!AC30*0.0098</f>
        <v>0</v>
      </c>
      <c r="S30" s="2">
        <f t="shared" si="0"/>
        <v>1462.48</v>
      </c>
      <c r="T30" s="2"/>
    </row>
    <row r="31" spans="1:20" s="89" customFormat="1" x14ac:dyDescent="0.2">
      <c r="A31" s="18" t="s">
        <v>640</v>
      </c>
      <c r="B31" s="2">
        <f>+'s1'!M31*0.0098</f>
        <v>0</v>
      </c>
      <c r="C31" s="2">
        <f>+'s1'!N31*0.0098</f>
        <v>0</v>
      </c>
      <c r="D31" s="2">
        <f>+'s1'!O31*0.0098</f>
        <v>0</v>
      </c>
      <c r="E31" s="2">
        <f>+'s1'!P31*0.0098</f>
        <v>0</v>
      </c>
      <c r="F31" s="2">
        <f>+'s1'!Q31*0.0098</f>
        <v>8.51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78">
        <f>SUM(B31:R31)</f>
        <v>8.51</v>
      </c>
      <c r="T31" s="10"/>
    </row>
    <row r="32" spans="1:20" x14ac:dyDescent="0.2">
      <c r="A32" s="1" t="s">
        <v>41</v>
      </c>
      <c r="B32" s="2">
        <f>+'s1'!M32*0.0098</f>
        <v>1520.51</v>
      </c>
      <c r="C32" s="2">
        <f>+'s1'!N32*0.0098</f>
        <v>44.14</v>
      </c>
      <c r="D32" s="2">
        <f>+'s1'!O32*0.0098</f>
        <v>0</v>
      </c>
      <c r="E32" s="2">
        <f>+'s1'!P32*0.0098</f>
        <v>772.97</v>
      </c>
      <c r="F32" s="2">
        <f>+'s1'!Q32*0.0098</f>
        <v>0</v>
      </c>
      <c r="G32" s="2">
        <f>+'s1'!R32*0.0098</f>
        <v>0</v>
      </c>
      <c r="H32" s="2">
        <f>+'s1'!S32*0.0098</f>
        <v>0</v>
      </c>
      <c r="I32" s="2">
        <f>+'s1'!T32*0.0098</f>
        <v>98.03</v>
      </c>
      <c r="J32" s="2">
        <f>+'s1'!U32*0.0098</f>
        <v>68.59</v>
      </c>
      <c r="K32" s="2">
        <f>+'s1'!V32*0.0098</f>
        <v>0</v>
      </c>
      <c r="L32" s="2">
        <f>+'s1'!W32*0.0098</f>
        <v>1123.56</v>
      </c>
      <c r="M32" s="2">
        <f>+'s1'!X32*0.0098</f>
        <v>0</v>
      </c>
      <c r="N32" s="2">
        <f>+'s1'!Y32*0.0098</f>
        <v>0</v>
      </c>
      <c r="O32" s="2">
        <f>+'s1'!Z32*0.0098</f>
        <v>237.21</v>
      </c>
      <c r="P32" s="2">
        <f>+'s1'!AA32*0.0098</f>
        <v>214.69</v>
      </c>
      <c r="Q32" s="2">
        <f>+'s1'!AB32*0.0098</f>
        <v>739.72</v>
      </c>
      <c r="R32" s="2">
        <f>+'s1'!AC32*0.0098</f>
        <v>0</v>
      </c>
      <c r="S32" s="2">
        <f t="shared" ref="S32:S53" si="1">SUM(B32:R32)</f>
        <v>4819.42</v>
      </c>
      <c r="T32" s="2"/>
    </row>
    <row r="33" spans="1:20" x14ac:dyDescent="0.2">
      <c r="A33" s="1" t="s">
        <v>450</v>
      </c>
      <c r="B33" s="2">
        <f>+'s1'!M33*0.0098</f>
        <v>0</v>
      </c>
      <c r="C33" s="2">
        <f>+'s1'!N33*0.0098</f>
        <v>0</v>
      </c>
      <c r="D33" s="2">
        <f>+'s1'!O33*0.0098</f>
        <v>0</v>
      </c>
      <c r="E33" s="2">
        <f>+'s1'!P33*0.0098</f>
        <v>0</v>
      </c>
      <c r="F33" s="2">
        <f>+'s1'!Q33*0.0098</f>
        <v>1498.68</v>
      </c>
      <c r="G33" s="2">
        <f>+'s1'!R33*0.0098</f>
        <v>0</v>
      </c>
      <c r="H33" s="2">
        <f>+'s1'!S33*0.0098</f>
        <v>0</v>
      </c>
      <c r="I33" s="2">
        <f>+'s1'!T33*0.0098</f>
        <v>2675.17</v>
      </c>
      <c r="J33" s="2">
        <f>+'s1'!U33*0.0098</f>
        <v>0</v>
      </c>
      <c r="K33" s="2">
        <f>+'s1'!V33*0.0098</f>
        <v>0</v>
      </c>
      <c r="L33" s="2">
        <f>+'s1'!W33*0.0098</f>
        <v>0</v>
      </c>
      <c r="M33" s="2">
        <f>+'s1'!X33*0.0098</f>
        <v>0</v>
      </c>
      <c r="N33" s="2">
        <f>+'s1'!Y33*0.0098</f>
        <v>0</v>
      </c>
      <c r="O33" s="2">
        <f>+'s1'!Z33*0.0098</f>
        <v>0</v>
      </c>
      <c r="P33" s="2">
        <f>+'s1'!AA33*0.0098</f>
        <v>0</v>
      </c>
      <c r="Q33" s="2">
        <f>+'s1'!AB33*0.0098</f>
        <v>0</v>
      </c>
      <c r="R33" s="2">
        <f>+'s1'!AC33*0.0098</f>
        <v>0</v>
      </c>
      <c r="S33" s="2">
        <f>SUM(B33:R33)</f>
        <v>4173.8500000000004</v>
      </c>
      <c r="T33" s="2"/>
    </row>
    <row r="34" spans="1:20" x14ac:dyDescent="0.2">
      <c r="A34" s="1" t="s">
        <v>42</v>
      </c>
      <c r="B34" s="2">
        <f>+'s1'!M34*0.0098</f>
        <v>0</v>
      </c>
      <c r="C34" s="2">
        <f>+'s1'!N34*0.0098</f>
        <v>0</v>
      </c>
      <c r="D34" s="2">
        <f>+'s1'!O34*0.0098</f>
        <v>35834.28</v>
      </c>
      <c r="E34" s="2">
        <f>+'s1'!P34*0.0098</f>
        <v>0</v>
      </c>
      <c r="F34" s="2">
        <f>+'s1'!Q34*0.0098</f>
        <v>0</v>
      </c>
      <c r="G34" s="2">
        <f>+'s1'!R34*0.0098</f>
        <v>0</v>
      </c>
      <c r="H34" s="2">
        <f>+'s1'!S34*0.0098</f>
        <v>0</v>
      </c>
      <c r="I34" s="2">
        <f>+'s1'!T34*0.0098</f>
        <v>0</v>
      </c>
      <c r="J34" s="2">
        <f>+'s1'!U34*0.0098</f>
        <v>0</v>
      </c>
      <c r="K34" s="2">
        <f>+'s1'!V34*0.0098</f>
        <v>0</v>
      </c>
      <c r="L34" s="2">
        <f>+'s1'!W34*0.0098</f>
        <v>0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0</v>
      </c>
      <c r="Q34" s="2">
        <f>+'s1'!AB34*0.0098</f>
        <v>85.87</v>
      </c>
      <c r="R34" s="2">
        <f>+'s1'!AC34*0.0098</f>
        <v>0</v>
      </c>
      <c r="S34" s="2">
        <f t="shared" si="1"/>
        <v>35920.15</v>
      </c>
      <c r="T34" s="2"/>
    </row>
    <row r="35" spans="1:20" ht="13.5" customHeight="1" x14ac:dyDescent="0.2">
      <c r="A35" s="1" t="s">
        <v>43</v>
      </c>
      <c r="B35" s="2">
        <f>+'s1'!M35*0.0098</f>
        <v>0</v>
      </c>
      <c r="C35" s="2">
        <f>+'s1'!N35*0.0098</f>
        <v>0</v>
      </c>
      <c r="D35" s="2">
        <f>+'s1'!O35*0.0098</f>
        <v>0</v>
      </c>
      <c r="E35" s="2">
        <f>+'s1'!P35*0.0098</f>
        <v>0</v>
      </c>
      <c r="F35" s="2">
        <f>+'s1'!Q35*0.0098</f>
        <v>0</v>
      </c>
      <c r="G35" s="2">
        <f>+'s1'!R35*0.0098</f>
        <v>0</v>
      </c>
      <c r="H35" s="2">
        <f>+'s1'!S35*0.0098</f>
        <v>15.73</v>
      </c>
      <c r="I35" s="2">
        <f>+'s1'!T35*0.0098</f>
        <v>0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23.77</v>
      </c>
      <c r="O35" s="2">
        <f>+'s1'!Z35*0.0098</f>
        <v>0</v>
      </c>
      <c r="P35" s="2">
        <f>+'s1'!AA35*0.0098</f>
        <v>0</v>
      </c>
      <c r="Q35" s="2">
        <f>+'s1'!AB35*0.0098</f>
        <v>0</v>
      </c>
      <c r="R35" s="2">
        <f>+'s1'!AC35*0.0098</f>
        <v>254.09</v>
      </c>
      <c r="S35" s="2">
        <f t="shared" si="1"/>
        <v>293.58999999999997</v>
      </c>
      <c r="T35" s="2"/>
    </row>
    <row r="36" spans="1:20" x14ac:dyDescent="0.2">
      <c r="A36" s="18" t="s">
        <v>44</v>
      </c>
      <c r="B36" s="2">
        <f>+'s1'!M36*0.0098</f>
        <v>0</v>
      </c>
      <c r="C36" s="2">
        <f>+'s1'!N36*0.0098</f>
        <v>0</v>
      </c>
      <c r="D36" s="2">
        <f>+'s1'!O36*0.0098</f>
        <v>12056.4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0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0</v>
      </c>
      <c r="O36" s="2">
        <f>+'s1'!Z36*0.0098</f>
        <v>0</v>
      </c>
      <c r="P36" s="2">
        <f>+'s1'!AA36*0.0098</f>
        <v>0</v>
      </c>
      <c r="Q36" s="2">
        <f>+'s1'!AB36*0.0098</f>
        <v>0</v>
      </c>
      <c r="R36" s="2">
        <f>+'s1'!AC36*0.0098</f>
        <v>0</v>
      </c>
      <c r="S36" s="2">
        <f t="shared" si="1"/>
        <v>12056.4</v>
      </c>
      <c r="T36" s="2"/>
    </row>
    <row r="37" spans="1:20" s="89" customFormat="1" x14ac:dyDescent="0.2">
      <c r="A37" s="18" t="s">
        <v>617</v>
      </c>
      <c r="B37" s="2">
        <f>+'s1'!M37*0.0098</f>
        <v>0</v>
      </c>
      <c r="C37" s="2">
        <f>+'s1'!N37*0.0098</f>
        <v>0</v>
      </c>
      <c r="D37" s="2">
        <f>+'s1'!O37*0.0098</f>
        <v>4.2300000000000004</v>
      </c>
      <c r="E37" s="2">
        <f>+'s1'!P37*0.0098</f>
        <v>0</v>
      </c>
      <c r="F37" s="2">
        <f>+'s1'!Q37*0.0098</f>
        <v>0</v>
      </c>
      <c r="G37" s="2">
        <f>+'s1'!R37*0.0098</f>
        <v>0</v>
      </c>
      <c r="H37" s="2">
        <f>+'s1'!S37*0.0098</f>
        <v>0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0</v>
      </c>
      <c r="O37" s="2">
        <f>+'s1'!Z37*0.0098</f>
        <v>0</v>
      </c>
      <c r="P37" s="2">
        <f>+'s1'!AA37*0.0098</f>
        <v>0</v>
      </c>
      <c r="Q37" s="2">
        <f>+'s1'!AB37*0.0098</f>
        <v>4.53</v>
      </c>
      <c r="R37" s="2">
        <f>+'s1'!AC37*0.0098</f>
        <v>0</v>
      </c>
      <c r="S37" s="78">
        <f>SUM(B37:R37)</f>
        <v>8.76</v>
      </c>
      <c r="T37" s="10"/>
    </row>
    <row r="38" spans="1:20" x14ac:dyDescent="0.2">
      <c r="A38" s="18" t="s">
        <v>609</v>
      </c>
      <c r="B38" s="2">
        <f>+'s1'!M38*0.0098</f>
        <v>0</v>
      </c>
      <c r="C38" s="2">
        <f>+'s1'!N38*0.0098</f>
        <v>0</v>
      </c>
      <c r="D38" s="2">
        <f>+'s1'!O38*0.0098</f>
        <v>505.89</v>
      </c>
      <c r="E38" s="2">
        <f>+'s1'!P38*0.0098</f>
        <v>0</v>
      </c>
      <c r="F38" s="2">
        <f>+'s1'!Q38*0.0098</f>
        <v>0</v>
      </c>
      <c r="G38" s="2">
        <f>+'s1'!R38*0.0098</f>
        <v>0</v>
      </c>
      <c r="H38" s="2">
        <f>+'s1'!S38*0.0098</f>
        <v>0</v>
      </c>
      <c r="I38" s="2">
        <f>+'s1'!T38*0.0098</f>
        <v>0</v>
      </c>
      <c r="J38" s="2">
        <f>+'s1'!U38*0.0098</f>
        <v>0</v>
      </c>
      <c r="K38" s="2">
        <f>+'s1'!V38*0.0098</f>
        <v>0</v>
      </c>
      <c r="L38" s="2">
        <f>+'s1'!W38*0.0098</f>
        <v>0</v>
      </c>
      <c r="M38" s="2">
        <f>+'s1'!X38*0.0098</f>
        <v>0</v>
      </c>
      <c r="N38" s="2">
        <f>+'s1'!Y38*0.0098</f>
        <v>0</v>
      </c>
      <c r="O38" s="2">
        <f>+'s1'!Z38*0.0098</f>
        <v>0</v>
      </c>
      <c r="P38" s="2">
        <f>+'s1'!AA38*0.0098</f>
        <v>0</v>
      </c>
      <c r="Q38" s="2">
        <f>+'s1'!AB38*0.0098</f>
        <v>2521.38</v>
      </c>
      <c r="R38" s="2">
        <f>+'s1'!AC38*0.0098</f>
        <v>0</v>
      </c>
      <c r="S38" s="2">
        <f t="shared" si="1"/>
        <v>3027.27</v>
      </c>
      <c r="T38" s="2"/>
    </row>
    <row r="39" spans="1:20" x14ac:dyDescent="0.2">
      <c r="A39" s="1" t="s">
        <v>45</v>
      </c>
      <c r="B39" s="2">
        <f>+'s1'!M39*0.0098</f>
        <v>0</v>
      </c>
      <c r="C39" s="2">
        <f>+'s1'!N39*0.0098</f>
        <v>0</v>
      </c>
      <c r="D39" s="2">
        <f>+'s1'!O39*0.0098</f>
        <v>0</v>
      </c>
      <c r="E39" s="2">
        <f>+'s1'!P39*0.0098</f>
        <v>0</v>
      </c>
      <c r="F39" s="2">
        <f>+'s1'!Q39*0.0098</f>
        <v>1150.93</v>
      </c>
      <c r="G39" s="2">
        <f>+'s1'!R39*0.0098</f>
        <v>0</v>
      </c>
      <c r="H39" s="2">
        <f>+'s1'!S39*0.0098</f>
        <v>0</v>
      </c>
      <c r="I39" s="2">
        <f>+'s1'!T39*0.0098</f>
        <v>0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0</v>
      </c>
      <c r="R39" s="2">
        <f>+'s1'!AC39*0.0098</f>
        <v>0</v>
      </c>
      <c r="S39" s="2">
        <f>SUM(B39:R39)</f>
        <v>1150.93</v>
      </c>
      <c r="T39" s="1"/>
    </row>
    <row r="40" spans="1:20" x14ac:dyDescent="0.2">
      <c r="A40" s="1" t="s">
        <v>451</v>
      </c>
      <c r="B40" s="2">
        <f>+'s1'!M40*0.0098</f>
        <v>0</v>
      </c>
      <c r="C40" s="2">
        <f>+'s1'!N40*0.0098</f>
        <v>0</v>
      </c>
      <c r="D40" s="2">
        <f>+'s1'!O40*0.0098</f>
        <v>48.72</v>
      </c>
      <c r="E40" s="2">
        <f>+'s1'!P40*0.0098</f>
        <v>0</v>
      </c>
      <c r="F40" s="2">
        <f>+'s1'!Q40*0.0098</f>
        <v>0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0</v>
      </c>
      <c r="R40" s="2">
        <f>+'s1'!AC40*0.0098</f>
        <v>0</v>
      </c>
      <c r="S40" s="2">
        <f t="shared" si="1"/>
        <v>48.72</v>
      </c>
      <c r="T40" s="1"/>
    </row>
    <row r="41" spans="1:20" x14ac:dyDescent="0.2">
      <c r="A41" s="1" t="s">
        <v>434</v>
      </c>
      <c r="B41" s="2">
        <f>+'s1'!M41*0.0098</f>
        <v>0</v>
      </c>
      <c r="C41" s="2">
        <f>+'s1'!N41*0.0098</f>
        <v>0</v>
      </c>
      <c r="D41" s="2">
        <f>+'s1'!O41*0.0098</f>
        <v>44622.99</v>
      </c>
      <c r="E41" s="2">
        <f>+'s1'!P41*0.0098</f>
        <v>0</v>
      </c>
      <c r="F41" s="2">
        <f>+'s1'!Q41*0.0098</f>
        <v>0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1303.1600000000001</v>
      </c>
      <c r="O41" s="2">
        <f>+'s1'!Z41*0.0098</f>
        <v>0</v>
      </c>
      <c r="P41" s="2">
        <f>+'s1'!AA41*0.0098</f>
        <v>0</v>
      </c>
      <c r="Q41" s="2">
        <f>+'s1'!AB41*0.0098</f>
        <v>0</v>
      </c>
      <c r="R41" s="2">
        <f>+'s1'!AC41*0.0098</f>
        <v>0</v>
      </c>
      <c r="S41" s="2">
        <f>SUM(B41:R41)</f>
        <v>45926.15</v>
      </c>
      <c r="T41" s="1"/>
    </row>
    <row r="42" spans="1:20" x14ac:dyDescent="0.2">
      <c r="A42" s="1" t="s">
        <v>452</v>
      </c>
      <c r="B42" s="2">
        <f>+'s1'!M42*0.0098</f>
        <v>0</v>
      </c>
      <c r="C42" s="2">
        <f>+'s1'!N42*0.0098</f>
        <v>0</v>
      </c>
      <c r="D42" s="2">
        <f>+'s1'!O42*0.0098</f>
        <v>1759.72</v>
      </c>
      <c r="E42" s="2">
        <f>+'s1'!P42*0.0098</f>
        <v>0</v>
      </c>
      <c r="F42" s="2">
        <f>+'s1'!Q42*0.0098</f>
        <v>298.58999999999997</v>
      </c>
      <c r="G42" s="2">
        <f>+'s1'!R42*0.0098</f>
        <v>0</v>
      </c>
      <c r="H42" s="2">
        <f>+'s1'!S42*0.0098</f>
        <v>0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0</v>
      </c>
      <c r="O42" s="2">
        <f>+'s1'!Z42*0.0098</f>
        <v>0</v>
      </c>
      <c r="P42" s="2">
        <f>+'s1'!AA42*0.0098</f>
        <v>0</v>
      </c>
      <c r="Q42" s="2">
        <f>+'s1'!AB42*0.0098</f>
        <v>301.69</v>
      </c>
      <c r="R42" s="2">
        <f>+'s1'!AC42*0.0098</f>
        <v>0</v>
      </c>
      <c r="S42" s="2">
        <f t="shared" si="1"/>
        <v>2360</v>
      </c>
      <c r="T42" s="1"/>
    </row>
    <row r="43" spans="1:20" x14ac:dyDescent="0.2">
      <c r="A43" s="1" t="s">
        <v>720</v>
      </c>
      <c r="B43" s="2">
        <f>+'s1'!M43*0.0098</f>
        <v>0</v>
      </c>
      <c r="C43" s="2">
        <f>+'s1'!N43*0.0098</f>
        <v>0</v>
      </c>
      <c r="D43" s="2">
        <f>+'s1'!O43*0.0098</f>
        <v>0</v>
      </c>
      <c r="E43" s="2">
        <f>+'s1'!P43*0.0098</f>
        <v>0</v>
      </c>
      <c r="F43" s="2">
        <f>+'s1'!Q43*0.0098-1.9</f>
        <v>21.42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0</v>
      </c>
      <c r="L43" s="2">
        <f>+'s1'!W43*0.0098</f>
        <v>0</v>
      </c>
      <c r="M43" s="2">
        <f>+'s1'!X43*0.0098</f>
        <v>0</v>
      </c>
      <c r="N43" s="2">
        <f>+'s1'!Y43*0.0098</f>
        <v>0</v>
      </c>
      <c r="O43" s="2">
        <f>+'s1'!Z43*0.0098</f>
        <v>0</v>
      </c>
      <c r="P43" s="2">
        <f>+'s1'!AA43*0.0098</f>
        <v>0</v>
      </c>
      <c r="Q43" s="2">
        <f>+'s1'!AB43*0.0098</f>
        <v>0</v>
      </c>
      <c r="R43" s="2">
        <f>+'s1'!AC43*0.0098</f>
        <v>0</v>
      </c>
      <c r="S43" s="2">
        <f>SUM(B43:R43)</f>
        <v>21.42</v>
      </c>
      <c r="T43" s="1"/>
    </row>
    <row r="44" spans="1:20" x14ac:dyDescent="0.2">
      <c r="A44" s="1" t="s">
        <v>458</v>
      </c>
      <c r="B44" s="2">
        <f>+'s1'!M44*0.0098</f>
        <v>0</v>
      </c>
      <c r="C44" s="2">
        <f>+'s1'!N44*0.0098</f>
        <v>0</v>
      </c>
      <c r="D44" s="2">
        <f>+'s1'!O44*0.0098</f>
        <v>0</v>
      </c>
      <c r="E44" s="2">
        <f>+'s1'!P44*0.0098</f>
        <v>0</v>
      </c>
      <c r="F44" s="2">
        <f>+'s1'!Q44*0.0098</f>
        <v>0</v>
      </c>
      <c r="G44" s="2">
        <f>+'s1'!R44*0.0098</f>
        <v>0</v>
      </c>
      <c r="H44" s="2">
        <f>+'s1'!S44*0.0098</f>
        <v>0</v>
      </c>
      <c r="I44" s="2">
        <f>+'s1'!T44*0.0098</f>
        <v>5.19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0</v>
      </c>
      <c r="O44" s="2">
        <f>+'s1'!Z44*0.0098</f>
        <v>0</v>
      </c>
      <c r="P44" s="2">
        <f>+'s1'!AA44*0.0098</f>
        <v>0</v>
      </c>
      <c r="Q44" s="2">
        <f>+'s1'!AB44*0.0098</f>
        <v>14.17</v>
      </c>
      <c r="R44" s="2">
        <f>+'s1'!AC44*0.0098</f>
        <v>0</v>
      </c>
      <c r="S44" s="2">
        <f t="shared" si="1"/>
        <v>19.36</v>
      </c>
      <c r="T44" s="1"/>
    </row>
    <row r="45" spans="1:20" x14ac:dyDescent="0.2">
      <c r="A45" s="18" t="s">
        <v>499</v>
      </c>
      <c r="B45" s="2">
        <f>+'s1'!M45*0.0098</f>
        <v>0</v>
      </c>
      <c r="C45" s="2">
        <f>+'s1'!N45*0.0098</f>
        <v>520.09</v>
      </c>
      <c r="D45" s="2">
        <f>+'s1'!O45*0.0098</f>
        <v>82.73</v>
      </c>
      <c r="E45" s="2">
        <f>+'s1'!P45*0.0098</f>
        <v>0</v>
      </c>
      <c r="F45" s="2">
        <f>+'s1'!Q45*0.0098</f>
        <v>0</v>
      </c>
      <c r="G45" s="2">
        <f>+'s1'!R45*0.0098</f>
        <v>0</v>
      </c>
      <c r="H45" s="2">
        <f>+'s1'!S45*0.0098</f>
        <v>0</v>
      </c>
      <c r="I45" s="2">
        <f>+'s1'!T45*0.0098</f>
        <v>0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0</v>
      </c>
      <c r="O45" s="2">
        <f>+'s1'!Z45*0.0098</f>
        <v>0</v>
      </c>
      <c r="P45" s="2">
        <f>+'s1'!AA45*0.0098</f>
        <v>0</v>
      </c>
      <c r="Q45" s="2">
        <f>+'s1'!AB45*0.0098</f>
        <v>1539.62</v>
      </c>
      <c r="R45" s="2">
        <f>+'s1'!AC45*0.0098</f>
        <v>0</v>
      </c>
      <c r="S45" s="2">
        <f t="shared" si="1"/>
        <v>2142.44</v>
      </c>
      <c r="T45" s="2"/>
    </row>
    <row r="46" spans="1:20" s="89" customFormat="1" x14ac:dyDescent="0.2">
      <c r="A46" s="18" t="s">
        <v>142</v>
      </c>
      <c r="B46" s="2">
        <f>+'s1'!M46*0.0098</f>
        <v>0</v>
      </c>
      <c r="C46" s="2">
        <f>+'s1'!N46*0.0098</f>
        <v>0</v>
      </c>
      <c r="D46" s="2">
        <f>+'s1'!O46*0.0098</f>
        <v>0</v>
      </c>
      <c r="E46" s="2">
        <f>+'s1'!P46*0.0098</f>
        <v>0</v>
      </c>
      <c r="F46" s="2">
        <f>+'s1'!Q46*0.0098</f>
        <v>0</v>
      </c>
      <c r="G46" s="2">
        <f>+'s1'!R46*0.0098</f>
        <v>0</v>
      </c>
      <c r="H46" s="2">
        <f>+'s1'!S46*0.0098</f>
        <v>0</v>
      </c>
      <c r="I46" s="2">
        <f>+'s1'!T46*0.0098</f>
        <v>0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1283.76</v>
      </c>
      <c r="O46" s="2">
        <f>+'s1'!Z46*0.0098</f>
        <v>0</v>
      </c>
      <c r="P46" s="2">
        <f>+'s1'!AA46*0.0098</f>
        <v>0</v>
      </c>
      <c r="Q46" s="2">
        <f>+'s1'!AB46*0.0098</f>
        <v>0</v>
      </c>
      <c r="R46" s="2">
        <f>+'s1'!AC46*0.0098</f>
        <v>0</v>
      </c>
      <c r="S46" s="78">
        <f>SUM(B46:R46)</f>
        <v>1283.76</v>
      </c>
      <c r="T46" s="10"/>
    </row>
    <row r="47" spans="1:20" x14ac:dyDescent="0.2">
      <c r="A47" s="1" t="s">
        <v>435</v>
      </c>
      <c r="B47" s="2">
        <f>+'s1'!M47*0.0098</f>
        <v>0</v>
      </c>
      <c r="C47" s="2">
        <f>+'s1'!N47*0.0098</f>
        <v>0</v>
      </c>
      <c r="D47" s="2">
        <f>+'s1'!O47*0.0098</f>
        <v>23736.93</v>
      </c>
      <c r="E47" s="2">
        <f>+'s1'!P47*0.0098</f>
        <v>0</v>
      </c>
      <c r="F47" s="2">
        <f>+'s1'!Q47*0.0098</f>
        <v>0</v>
      </c>
      <c r="G47" s="2">
        <f>+'s1'!R47*0.0098</f>
        <v>0</v>
      </c>
      <c r="H47" s="2">
        <f>+'s1'!S47*0.0098</f>
        <v>0</v>
      </c>
      <c r="I47" s="2">
        <f>+'s1'!T47*0.0098</f>
        <v>0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721.97</v>
      </c>
      <c r="O47" s="2">
        <f>+'s1'!Z47*0.0098</f>
        <v>0</v>
      </c>
      <c r="P47" s="2">
        <f>+'s1'!AA47*0.0098</f>
        <v>0</v>
      </c>
      <c r="Q47" s="2">
        <f>+'s1'!AB47*0.0098</f>
        <v>0</v>
      </c>
      <c r="R47" s="2">
        <f>+'s1'!AC47*0.0098</f>
        <v>0</v>
      </c>
      <c r="S47" s="2">
        <f t="shared" si="1"/>
        <v>24458.9</v>
      </c>
      <c r="T47" s="2"/>
    </row>
    <row r="48" spans="1:20" x14ac:dyDescent="0.2">
      <c r="A48" s="18" t="s">
        <v>502</v>
      </c>
      <c r="B48" s="2">
        <f>+'s1'!M48*0.0098</f>
        <v>0</v>
      </c>
      <c r="C48" s="2">
        <f>+'s1'!N48*0.0098</f>
        <v>0</v>
      </c>
      <c r="D48" s="2">
        <f>+'s1'!O48*0.0098</f>
        <v>0</v>
      </c>
      <c r="E48" s="2">
        <f>+'s1'!P48*0.0098</f>
        <v>0</v>
      </c>
      <c r="F48" s="2">
        <f>+'s1'!Q48*0.0098</f>
        <v>0</v>
      </c>
      <c r="G48" s="2">
        <f>+'s1'!R48*0.0098</f>
        <v>0</v>
      </c>
      <c r="H48" s="2">
        <f>+'s1'!S48*0.0098</f>
        <v>0</v>
      </c>
      <c r="I48" s="2">
        <f>+'s1'!T48*0.0098</f>
        <v>0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1311.04</v>
      </c>
      <c r="O48" s="2">
        <f>+'s1'!Z48*0.0098</f>
        <v>0</v>
      </c>
      <c r="P48" s="2">
        <f>+'s1'!AA48*0.0098</f>
        <v>0</v>
      </c>
      <c r="Q48" s="2">
        <f>+'s1'!AB48*0.0098</f>
        <v>0</v>
      </c>
      <c r="R48" s="2">
        <f>+'s1'!AC48*0.0098</f>
        <v>0</v>
      </c>
      <c r="S48" s="2">
        <f t="shared" si="1"/>
        <v>1311.04</v>
      </c>
      <c r="T48" s="2"/>
    </row>
    <row r="49" spans="1:20" x14ac:dyDescent="0.2">
      <c r="A49" s="18" t="s">
        <v>610</v>
      </c>
      <c r="B49" s="2">
        <f>+'s1'!M49*0.0098</f>
        <v>0</v>
      </c>
      <c r="C49" s="2">
        <f>+'s1'!N49*0.0098</f>
        <v>0</v>
      </c>
      <c r="D49" s="2">
        <f>+'s1'!O49*0.0098</f>
        <v>4250.7299999999996</v>
      </c>
      <c r="E49" s="2">
        <f>+'s1'!P49*0.0098</f>
        <v>0</v>
      </c>
      <c r="F49" s="2">
        <f>+'s1'!Q49*0.0098</f>
        <v>1319.3</v>
      </c>
      <c r="G49" s="2">
        <f>+'s1'!R49*0.0098</f>
        <v>0</v>
      </c>
      <c r="H49" s="2">
        <f>+'s1'!S49*0.0098</f>
        <v>0</v>
      </c>
      <c r="I49" s="2">
        <f>+'s1'!T49*0.0098</f>
        <v>363.33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0</v>
      </c>
      <c r="O49" s="2">
        <f>+'s1'!Z49*0.0098</f>
        <v>0</v>
      </c>
      <c r="P49" s="2">
        <f>+'s1'!AA49*0.0098</f>
        <v>0</v>
      </c>
      <c r="Q49" s="2">
        <f>+'s1'!AB49*0.0098</f>
        <v>0</v>
      </c>
      <c r="R49" s="2">
        <f>+'s1'!AC49*0.0098</f>
        <v>0</v>
      </c>
      <c r="S49" s="2">
        <f>SUM(B49:R49)</f>
        <v>5933.36</v>
      </c>
      <c r="T49" s="2"/>
    </row>
    <row r="50" spans="1:20" x14ac:dyDescent="0.2">
      <c r="A50" s="7" t="s">
        <v>352</v>
      </c>
      <c r="B50" s="2">
        <f>+'s1'!M50*0.0098</f>
        <v>0</v>
      </c>
      <c r="C50" s="2">
        <f>+'s1'!N50*0.0098</f>
        <v>0</v>
      </c>
      <c r="D50" s="2">
        <f>+'s1'!O50*0.0098</f>
        <v>0</v>
      </c>
      <c r="E50" s="2">
        <f>+'s1'!P50*0.0098</f>
        <v>0</v>
      </c>
      <c r="F50" s="2">
        <f>+'s1'!Q50*0.0098</f>
        <v>0</v>
      </c>
      <c r="G50" s="2">
        <f>+'s1'!R50*0.0098</f>
        <v>197.32</v>
      </c>
      <c r="H50" s="2">
        <f>+'s1'!S50*0.0098</f>
        <v>0</v>
      </c>
      <c r="I50" s="2">
        <f>+'s1'!T50*0.0098</f>
        <v>0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206.27</v>
      </c>
      <c r="N50" s="2">
        <f>+'s1'!Y50*0.0098</f>
        <v>939.5</v>
      </c>
      <c r="O50" s="2">
        <f>+'s1'!Z50*0.0098</f>
        <v>0</v>
      </c>
      <c r="P50" s="2">
        <f>+'s1'!AA50*0.0098</f>
        <v>0</v>
      </c>
      <c r="Q50" s="2">
        <f>+'s1'!AB50*0.0098</f>
        <v>0</v>
      </c>
      <c r="R50" s="2">
        <f>+'s1'!AC50*0.0098</f>
        <v>369.03</v>
      </c>
      <c r="S50" s="2">
        <f>SUM(B50:R50)</f>
        <v>1712.12</v>
      </c>
      <c r="T50" s="2"/>
    </row>
    <row r="51" spans="1:20" x14ac:dyDescent="0.2">
      <c r="A51" s="243" t="s">
        <v>459</v>
      </c>
      <c r="B51" s="2">
        <f>+'s1'!M51*0.0098</f>
        <v>0</v>
      </c>
      <c r="C51" s="2">
        <f>+'s1'!N51*0.0098</f>
        <v>0</v>
      </c>
      <c r="D51" s="2">
        <f>+'s1'!O51*0.0098</f>
        <v>5191.42</v>
      </c>
      <c r="E51" s="2">
        <f>+'s1'!P51*0.0098</f>
        <v>0</v>
      </c>
      <c r="F51" s="2">
        <f>+'s1'!Q51*0.0098</f>
        <v>0</v>
      </c>
      <c r="G51" s="2">
        <f>+'s1'!R51*0.0098</f>
        <v>0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0</v>
      </c>
      <c r="N51" s="2">
        <f>+'s1'!Y51*0.0098</f>
        <v>0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0</v>
      </c>
      <c r="S51" s="2">
        <f>SUM(B51:R51)</f>
        <v>5191.42</v>
      </c>
      <c r="T51" s="2"/>
    </row>
    <row r="52" spans="1:20" x14ac:dyDescent="0.2">
      <c r="A52" s="7" t="s">
        <v>436</v>
      </c>
      <c r="B52" s="2">
        <f>+'s1'!M52*0.0098</f>
        <v>0</v>
      </c>
      <c r="C52" s="2">
        <f>+'s1'!N52*0.0098</f>
        <v>0</v>
      </c>
      <c r="D52" s="2">
        <f>+'s1'!O52*0.0098</f>
        <v>0</v>
      </c>
      <c r="E52" s="2">
        <f>+'s1'!P52*0.0098</f>
        <v>0</v>
      </c>
      <c r="F52" s="2">
        <f>+'s1'!Q52*0.0098</f>
        <v>0</v>
      </c>
      <c r="G52" s="2">
        <f>+'s1'!R52*0.0098</f>
        <v>0</v>
      </c>
      <c r="H52" s="2">
        <f>+'s1'!S52*0.0098</f>
        <v>0</v>
      </c>
      <c r="I52" s="2">
        <f>+'s1'!T52*0.0098</f>
        <v>236.77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</f>
        <v>0</v>
      </c>
      <c r="O52" s="2">
        <f>+'s1'!Z52*0.0098</f>
        <v>0</v>
      </c>
      <c r="P52" s="2">
        <f>+'s1'!AA52*0.0098</f>
        <v>0</v>
      </c>
      <c r="Q52" s="2">
        <f>+'s1'!AB52*0.0098</f>
        <v>0</v>
      </c>
      <c r="R52" s="2">
        <f>+'s1'!AC52*0.0098</f>
        <v>0</v>
      </c>
      <c r="S52" s="2">
        <f t="shared" si="1"/>
        <v>236.77</v>
      </c>
      <c r="T52" s="2"/>
    </row>
    <row r="53" spans="1:20" x14ac:dyDescent="0.2">
      <c r="A53" s="1" t="s">
        <v>46</v>
      </c>
      <c r="B53" s="2">
        <f>+'s1'!M53*0.0098</f>
        <v>0</v>
      </c>
      <c r="C53" s="2">
        <f>+'s1'!N53*0.0098</f>
        <v>0</v>
      </c>
      <c r="D53" s="2">
        <f>+'s1'!O53*0.0098</f>
        <v>0</v>
      </c>
      <c r="E53" s="2">
        <f>+'s1'!P53*0.0098</f>
        <v>0</v>
      </c>
      <c r="F53" s="2">
        <f>+'s1'!Q53*0.0098</f>
        <v>741.87</v>
      </c>
      <c r="G53" s="2">
        <f>+'s1'!R53*0.0098</f>
        <v>0</v>
      </c>
      <c r="H53" s="2">
        <f>+'s1'!S53*0.0098</f>
        <v>0</v>
      </c>
      <c r="I53" s="2">
        <f>+'s1'!T53*0.0098</f>
        <v>108.5</v>
      </c>
      <c r="J53" s="2">
        <f>+'s1'!U53*0.0098</f>
        <v>0</v>
      </c>
      <c r="K53" s="2">
        <f>+'s1'!V53*0.0098</f>
        <v>0</v>
      </c>
      <c r="L53" s="2">
        <f>+'s1'!W53*0.0098</f>
        <v>0</v>
      </c>
      <c r="M53" s="2">
        <f>+'s1'!X53*0.0098</f>
        <v>0</v>
      </c>
      <c r="N53" s="2">
        <f>+'s1'!Y53*0.0098</f>
        <v>0</v>
      </c>
      <c r="O53" s="2">
        <f>+'s1'!Z53*0.0098</f>
        <v>0</v>
      </c>
      <c r="P53" s="2">
        <f>+'s1'!AA53*0.0098</f>
        <v>0</v>
      </c>
      <c r="Q53" s="2">
        <f>+'s1'!AB53*0.0098</f>
        <v>0</v>
      </c>
      <c r="R53" s="2">
        <f>+'s1'!AC53*0.0098</f>
        <v>0</v>
      </c>
      <c r="S53" s="2">
        <f t="shared" si="1"/>
        <v>850.37</v>
      </c>
      <c r="T53" s="2"/>
    </row>
    <row r="54" spans="1:20" x14ac:dyDescent="0.2">
      <c r="A54" s="18" t="s">
        <v>47</v>
      </c>
      <c r="B54" s="2">
        <f>+'s1'!M54*0.0098</f>
        <v>0</v>
      </c>
      <c r="C54" s="2">
        <f>+'s1'!N54*0.0098</f>
        <v>0</v>
      </c>
      <c r="D54" s="2">
        <f>+'s1'!O54*0.0098</f>
        <v>15598.72</v>
      </c>
      <c r="E54" s="2">
        <f>+'s1'!P54*0.0098</f>
        <v>0</v>
      </c>
      <c r="F54" s="2">
        <f>+'s1'!Q54*0.0098</f>
        <v>483.21</v>
      </c>
      <c r="G54" s="2">
        <f>+'s1'!R54*0.0098</f>
        <v>0</v>
      </c>
      <c r="H54" s="2">
        <f>+'s1'!S54*0.0098</f>
        <v>318.89999999999998</v>
      </c>
      <c r="I54" s="2">
        <f>+'s1'!T54*0.0098</f>
        <v>347.79</v>
      </c>
      <c r="J54" s="2">
        <f>+'s1'!U54*0.0098</f>
        <v>9.8000000000000007</v>
      </c>
      <c r="K54" s="2">
        <f>+'s1'!V54*0.0098</f>
        <v>841.71</v>
      </c>
      <c r="L54" s="2">
        <f>+'s1'!W54*0.0098</f>
        <v>0</v>
      </c>
      <c r="M54" s="2">
        <f>+'s1'!X54*0.0098</f>
        <v>0</v>
      </c>
      <c r="N54" s="2">
        <f>+'s1'!Y54*0.0098</f>
        <v>9.85</v>
      </c>
      <c r="O54" s="2">
        <f>+'s1'!Z54*0.0098</f>
        <v>68.14</v>
      </c>
      <c r="P54" s="2">
        <f>+'s1'!AA54*0.0098</f>
        <v>0</v>
      </c>
      <c r="Q54" s="2">
        <f>+'s1'!AB54*0.0098</f>
        <v>136.55000000000001</v>
      </c>
      <c r="R54" s="2">
        <f>+'s1'!AC54*0.0098</f>
        <v>138.21</v>
      </c>
      <c r="S54" s="2">
        <f t="shared" ref="S54:S69" si="2">SUM(B54:R54)</f>
        <v>17952.88</v>
      </c>
      <c r="T54" s="2"/>
    </row>
    <row r="55" spans="1:20" s="20" customFormat="1" x14ac:dyDescent="0.2">
      <c r="A55" s="1" t="s">
        <v>783</v>
      </c>
      <c r="B55" s="2">
        <f>+'s1'!M55*0.0098</f>
        <v>0</v>
      </c>
      <c r="C55" s="2">
        <f>+'s1'!N55*0.0098</f>
        <v>0</v>
      </c>
      <c r="D55" s="2">
        <f>+'s1'!O55*0.0098</f>
        <v>0</v>
      </c>
      <c r="E55" s="2">
        <f>+'s1'!P55*0.0098</f>
        <v>0</v>
      </c>
      <c r="F55" s="2">
        <f>+'s1'!Q55*0.0098</f>
        <v>0</v>
      </c>
      <c r="G55" s="2">
        <f>+'s1'!R55*0.0098</f>
        <v>0</v>
      </c>
      <c r="H55" s="2">
        <f>+'s1'!S55*0.0098</f>
        <v>0</v>
      </c>
      <c r="I55" s="2">
        <f>+'s1'!T55*0.0098</f>
        <v>0</v>
      </c>
      <c r="J55" s="2">
        <f>+'s1'!U55*0.0098</f>
        <v>0</v>
      </c>
      <c r="K55" s="2">
        <f>+'s1'!V55*0.0098</f>
        <v>0</v>
      </c>
      <c r="L55" s="2">
        <f>+'s1'!W55*0.0098</f>
        <v>0</v>
      </c>
      <c r="M55" s="2">
        <f>+'s1'!X55*0.0098</f>
        <v>0</v>
      </c>
      <c r="N55" s="2">
        <f>+'s1'!Y55*0.0098</f>
        <v>0</v>
      </c>
      <c r="O55" s="2">
        <f>+'s1'!Z55*0.0098</f>
        <v>0</v>
      </c>
      <c r="P55" s="2">
        <f>+'s1'!AA55*0.0098</f>
        <v>0</v>
      </c>
      <c r="Q55" s="2">
        <f>+'s1'!AB55*0.0098</f>
        <v>0</v>
      </c>
      <c r="R55" s="2">
        <f>+'s1'!AC55*0.0098</f>
        <v>0</v>
      </c>
      <c r="S55" s="78">
        <f>SUM(B55:R55)</f>
        <v>0</v>
      </c>
      <c r="T55" s="78"/>
    </row>
    <row r="56" spans="1:20" x14ac:dyDescent="0.2">
      <c r="A56" s="1" t="s">
        <v>48</v>
      </c>
      <c r="B56" s="2">
        <f>+'s1'!M56*0.0098</f>
        <v>0</v>
      </c>
      <c r="C56" s="2">
        <f>+'s1'!N56*0.0098</f>
        <v>0</v>
      </c>
      <c r="D56" s="2">
        <f>+'s1'!O56*0.0098</f>
        <v>117493.02</v>
      </c>
      <c r="E56" s="2">
        <f>+'s1'!P56*0.0098</f>
        <v>0</v>
      </c>
      <c r="F56" s="2">
        <f>+'s1'!Q56*0.0098</f>
        <v>0</v>
      </c>
      <c r="G56" s="2">
        <f>+'s1'!R56*0.0098</f>
        <v>0</v>
      </c>
      <c r="H56" s="2">
        <f>+'s1'!S56*0.0098</f>
        <v>0</v>
      </c>
      <c r="I56" s="2">
        <f>+'s1'!T56*0.0098</f>
        <v>0</v>
      </c>
      <c r="J56" s="2">
        <f>+'s1'!U56*0.0098</f>
        <v>0</v>
      </c>
      <c r="K56" s="2">
        <f>+'s1'!V56*0.0098</f>
        <v>0</v>
      </c>
      <c r="L56" s="2">
        <f>+'s1'!W56*0.0098</f>
        <v>0</v>
      </c>
      <c r="M56" s="2">
        <f>+'s1'!X56*0.0098</f>
        <v>0</v>
      </c>
      <c r="N56" s="2">
        <f>+'s1'!Y56*0.0098</f>
        <v>3694.4</v>
      </c>
      <c r="O56" s="2">
        <f>+'s1'!Z56*0.0098</f>
        <v>0</v>
      </c>
      <c r="P56" s="2">
        <f>+'s1'!AA56*0.0098</f>
        <v>0</v>
      </c>
      <c r="Q56" s="2">
        <f>+'s1'!AB56*0.0098</f>
        <v>0</v>
      </c>
      <c r="R56" s="2">
        <f>+'s1'!AC56*0.0098</f>
        <v>0</v>
      </c>
      <c r="S56" s="2">
        <f t="shared" si="2"/>
        <v>121187.42</v>
      </c>
      <c r="T56" s="2"/>
    </row>
    <row r="57" spans="1:20" x14ac:dyDescent="0.2">
      <c r="A57" s="1" t="s">
        <v>362</v>
      </c>
      <c r="B57" s="2">
        <f>+'s1'!M57*0.0098</f>
        <v>413.39</v>
      </c>
      <c r="C57" s="2">
        <f>+'s1'!N57*0.0098</f>
        <v>0</v>
      </c>
      <c r="D57" s="2">
        <f>+'s1'!O57*0.0098</f>
        <v>147.08000000000001</v>
      </c>
      <c r="E57" s="2">
        <f>+'s1'!P57*0.0098</f>
        <v>0</v>
      </c>
      <c r="F57" s="2">
        <f>+'s1'!Q57*0.0098</f>
        <v>0</v>
      </c>
      <c r="G57" s="2">
        <f>+'s1'!R57*0.0098</f>
        <v>0</v>
      </c>
      <c r="H57" s="2">
        <f>+'s1'!S57*0.0098</f>
        <v>0</v>
      </c>
      <c r="I57" s="2">
        <f>+'s1'!T57*0.0098</f>
        <v>0</v>
      </c>
      <c r="J57" s="2">
        <f>+'s1'!U57*0.0098</f>
        <v>0</v>
      </c>
      <c r="K57" s="2">
        <f>+'s1'!V57*0.0098</f>
        <v>0</v>
      </c>
      <c r="L57" s="2">
        <f>+'s1'!W57*0.0098</f>
        <v>0</v>
      </c>
      <c r="M57" s="2">
        <f>+'s1'!X57*0.0098</f>
        <v>0</v>
      </c>
      <c r="N57" s="2">
        <f>+'s1'!Y57*0.0098</f>
        <v>0</v>
      </c>
      <c r="O57" s="2">
        <f>+'s1'!Z57*0.0098</f>
        <v>0</v>
      </c>
      <c r="P57" s="2">
        <f>+'s1'!AA57*0.0098</f>
        <v>0</v>
      </c>
      <c r="Q57" s="2">
        <f>+'s1'!AB57*0.0098</f>
        <v>0</v>
      </c>
      <c r="R57" s="2">
        <f>+'s1'!AC57*0.0098</f>
        <v>0</v>
      </c>
      <c r="S57" s="2">
        <f t="shared" si="2"/>
        <v>560.47</v>
      </c>
      <c r="T57" s="1"/>
    </row>
    <row r="58" spans="1:20" s="20" customFormat="1" x14ac:dyDescent="0.2">
      <c r="A58" s="1" t="s">
        <v>49</v>
      </c>
      <c r="B58" s="2">
        <f>+'s1'!M58*0.0098</f>
        <v>0</v>
      </c>
      <c r="C58" s="2">
        <f>+'s1'!N58*0.0098</f>
        <v>0</v>
      </c>
      <c r="D58" s="2">
        <f>+'s1'!O58*0.0098</f>
        <v>101.89</v>
      </c>
      <c r="E58" s="2">
        <f>+'s1'!P58*0.0098</f>
        <v>0</v>
      </c>
      <c r="F58" s="2">
        <f>+'s1'!Q58*0.0098</f>
        <v>0</v>
      </c>
      <c r="G58" s="2">
        <f>+'s1'!R58*0.0098</f>
        <v>0</v>
      </c>
      <c r="H58" s="2">
        <f>+'s1'!S58*0.0098</f>
        <v>0</v>
      </c>
      <c r="I58" s="2">
        <f>+'s1'!T58*0.0098</f>
        <v>0</v>
      </c>
      <c r="J58" s="2">
        <f>+'s1'!U58*0.0098</f>
        <v>0</v>
      </c>
      <c r="K58" s="2">
        <f>+'s1'!V58*0.0098</f>
        <v>0</v>
      </c>
      <c r="L58" s="2">
        <f>+'s1'!W58*0.0098</f>
        <v>0</v>
      </c>
      <c r="M58" s="2">
        <f>+'s1'!X58*0.0098</f>
        <v>0</v>
      </c>
      <c r="N58" s="2">
        <f>+'s1'!Y58*0.0098</f>
        <v>0</v>
      </c>
      <c r="O58" s="2">
        <f>+'s1'!Z58*0.0098</f>
        <v>0</v>
      </c>
      <c r="P58" s="2">
        <f>+'s1'!AA58*0.0098</f>
        <v>0</v>
      </c>
      <c r="Q58" s="2">
        <f>+'s1'!AB58*0.0098</f>
        <v>0</v>
      </c>
      <c r="R58" s="2">
        <f>+'s1'!AC58*0.0098</f>
        <v>0</v>
      </c>
      <c r="S58" s="78">
        <f t="shared" si="2"/>
        <v>101.89</v>
      </c>
      <c r="T58" s="78"/>
    </row>
    <row r="59" spans="1:20" x14ac:dyDescent="0.2">
      <c r="A59" s="1" t="s">
        <v>354</v>
      </c>
      <c r="B59" s="2">
        <f>+'s1'!M59*0.0098</f>
        <v>250.38</v>
      </c>
      <c r="C59" s="2">
        <f>+'s1'!N59*0.0098</f>
        <v>195.48</v>
      </c>
      <c r="D59" s="2">
        <f>+'s1'!O59*0.0098</f>
        <v>0</v>
      </c>
      <c r="E59" s="2">
        <f>+'s1'!P59*0.0098</f>
        <v>621.78</v>
      </c>
      <c r="F59" s="2">
        <f>+'s1'!Q59*0.0098</f>
        <v>125.44</v>
      </c>
      <c r="G59" s="2">
        <f>+'s1'!R59*0.0098</f>
        <v>0</v>
      </c>
      <c r="H59" s="2">
        <f>+'s1'!S59*0.0098</f>
        <v>0</v>
      </c>
      <c r="I59" s="2">
        <f>+'s1'!T59*0.0098</f>
        <v>0.27</v>
      </c>
      <c r="J59" s="2">
        <f>+'s1'!U59*0.0098</f>
        <v>0</v>
      </c>
      <c r="K59" s="2">
        <f>+'s1'!V59*0.0098</f>
        <v>0</v>
      </c>
      <c r="L59" s="2">
        <f>+'s1'!W59*0.0098</f>
        <v>133.94999999999999</v>
      </c>
      <c r="M59" s="2">
        <f>+'s1'!X59*0.0098</f>
        <v>0</v>
      </c>
      <c r="N59" s="2">
        <f>+'s1'!Y59*0.0098</f>
        <v>0</v>
      </c>
      <c r="O59" s="2">
        <f>+'s1'!Z59*0.0098</f>
        <v>0</v>
      </c>
      <c r="P59" s="2">
        <f>+'s1'!AA59*0.0098</f>
        <v>22.93</v>
      </c>
      <c r="Q59" s="2">
        <f>+'s1'!AB59*0.0098</f>
        <v>1264.78</v>
      </c>
      <c r="R59" s="2">
        <f>+'s1'!AC59*0.0098</f>
        <v>0</v>
      </c>
      <c r="S59" s="2">
        <f t="shared" si="2"/>
        <v>2615.0100000000002</v>
      </c>
      <c r="T59" s="1"/>
    </row>
    <row r="60" spans="1:20" s="20" customFormat="1" x14ac:dyDescent="0.2">
      <c r="A60" s="1" t="s">
        <v>50</v>
      </c>
      <c r="B60" s="2">
        <f>+'s1'!M60*0.0098</f>
        <v>200.01</v>
      </c>
      <c r="C60" s="2">
        <f>+'s1'!N60*0.0098</f>
        <v>0</v>
      </c>
      <c r="D60" s="2">
        <f>+'s1'!O60*0.0098</f>
        <v>1537.92</v>
      </c>
      <c r="E60" s="2">
        <f>+'s1'!P60*0.0098</f>
        <v>0</v>
      </c>
      <c r="F60" s="2">
        <f>+'s1'!Q60*0.0098</f>
        <v>2141.7800000000002</v>
      </c>
      <c r="G60" s="2">
        <f>+'s1'!R60*0.0098</f>
        <v>0</v>
      </c>
      <c r="H60" s="2">
        <f>+'s1'!S60*0.0098</f>
        <v>0</v>
      </c>
      <c r="I60" s="2">
        <f>+'s1'!T60*0.0098</f>
        <v>127.44</v>
      </c>
      <c r="J60" s="2">
        <f>+'s1'!U60*0.0098</f>
        <v>0</v>
      </c>
      <c r="K60" s="2">
        <f>+'s1'!V60*0.0098</f>
        <v>0</v>
      </c>
      <c r="L60" s="2">
        <f>+'s1'!W60*0.0098</f>
        <v>1013.35</v>
      </c>
      <c r="M60" s="2">
        <f>+'s1'!X60*0.0098</f>
        <v>383.28</v>
      </c>
      <c r="N60" s="2">
        <f>+'s1'!Y60*0.0098</f>
        <v>627.69000000000005</v>
      </c>
      <c r="O60" s="2">
        <f>+'s1'!Z60*0.0098</f>
        <v>0</v>
      </c>
      <c r="P60" s="2">
        <f>+'s1'!AA60*0.0098</f>
        <v>0</v>
      </c>
      <c r="Q60" s="2">
        <f>+'s1'!AB60*0.0098</f>
        <v>9745.99</v>
      </c>
      <c r="R60" s="2">
        <f>+'s1'!AC60*0.0098</f>
        <v>0</v>
      </c>
      <c r="S60" s="78">
        <f t="shared" si="2"/>
        <v>15777.46</v>
      </c>
      <c r="T60" s="18"/>
    </row>
    <row r="61" spans="1:20" x14ac:dyDescent="0.2">
      <c r="A61" s="1" t="s">
        <v>51</v>
      </c>
      <c r="B61" s="2">
        <f>+'s1'!M61*0.0098</f>
        <v>0</v>
      </c>
      <c r="C61" s="2">
        <f>+'s1'!N61*0.0098</f>
        <v>0</v>
      </c>
      <c r="D61" s="2">
        <f>+'s1'!O61*0.0098</f>
        <v>2280.4299999999998</v>
      </c>
      <c r="E61" s="2">
        <f>+'s1'!P61*0.0098</f>
        <v>0</v>
      </c>
      <c r="F61" s="2">
        <f>+'s1'!Q61*0.0098</f>
        <v>0</v>
      </c>
      <c r="G61" s="2">
        <f>+'s1'!R61*0.0098</f>
        <v>0</v>
      </c>
      <c r="H61" s="2">
        <f>+'s1'!S61*0.0098</f>
        <v>0</v>
      </c>
      <c r="I61" s="2">
        <f>+'s1'!T61*0.0098</f>
        <v>0</v>
      </c>
      <c r="J61" s="2">
        <f>+'s1'!U61*0.0098</f>
        <v>0</v>
      </c>
      <c r="K61" s="2">
        <f>+'s1'!V61*0.0098</f>
        <v>299.64</v>
      </c>
      <c r="L61" s="2">
        <f>+'s1'!W61*0.0098</f>
        <v>0</v>
      </c>
      <c r="M61" s="2">
        <f>+'s1'!X61*0.0098</f>
        <v>0</v>
      </c>
      <c r="N61" s="2">
        <f>+'s1'!Y61*0.0098</f>
        <v>0</v>
      </c>
      <c r="O61" s="2">
        <f>+'s1'!Z61*0.0098</f>
        <v>0</v>
      </c>
      <c r="P61" s="2">
        <f>+'s1'!AA61*0.0098</f>
        <v>0</v>
      </c>
      <c r="Q61" s="2">
        <f>+'s1'!AB61*0.0098</f>
        <v>0</v>
      </c>
      <c r="R61" s="2">
        <f>+'s1'!AC61*0.0098</f>
        <v>169.37</v>
      </c>
      <c r="S61" s="2">
        <f t="shared" si="2"/>
        <v>2749.44</v>
      </c>
      <c r="T61" s="1"/>
    </row>
    <row r="62" spans="1:20" s="20" customFormat="1" x14ac:dyDescent="0.2">
      <c r="A62" s="1" t="s">
        <v>477</v>
      </c>
      <c r="B62" s="2">
        <f>+'s1'!M62*0.0098</f>
        <v>0</v>
      </c>
      <c r="C62" s="2">
        <f>+'s1'!N62*0.0098</f>
        <v>0</v>
      </c>
      <c r="D62" s="2">
        <f>+'s1'!O62*0.0098</f>
        <v>0</v>
      </c>
      <c r="E62" s="2">
        <f>+'s1'!P62*0.0098</f>
        <v>0</v>
      </c>
      <c r="F62" s="2">
        <f>+'s1'!Q62*0.0098</f>
        <v>0</v>
      </c>
      <c r="G62" s="2">
        <f>+'s1'!R62*0.0098</f>
        <v>0</v>
      </c>
      <c r="H62" s="2">
        <f>+'s1'!S62*0.0098</f>
        <v>0</v>
      </c>
      <c r="I62" s="2">
        <f>+'s1'!T62*0.0098</f>
        <v>0</v>
      </c>
      <c r="J62" s="2">
        <f>+'s1'!U62*0.0098</f>
        <v>0</v>
      </c>
      <c r="K62" s="2">
        <f>+'s1'!V62*0.0098</f>
        <v>0</v>
      </c>
      <c r="L62" s="2">
        <f>+'s1'!W62*0.0098</f>
        <v>0</v>
      </c>
      <c r="M62" s="2">
        <f>+'s1'!X62*0.0098</f>
        <v>0</v>
      </c>
      <c r="N62" s="2">
        <f>+'s1'!Y62*0.0098</f>
        <v>0</v>
      </c>
      <c r="O62" s="2">
        <f>+'s1'!Z62*0.0098</f>
        <v>0</v>
      </c>
      <c r="P62" s="2">
        <f>+'s1'!AA62*0.0098</f>
        <v>0</v>
      </c>
      <c r="Q62" s="2">
        <f>+'s1'!AB62*0.0098</f>
        <v>0</v>
      </c>
      <c r="R62" s="2">
        <f>+'s1'!AC62*0.0098</f>
        <v>58.66</v>
      </c>
      <c r="S62" s="78">
        <f t="shared" si="2"/>
        <v>58.66</v>
      </c>
      <c r="T62" s="78"/>
    </row>
    <row r="63" spans="1:20" s="20" customFormat="1" x14ac:dyDescent="0.2">
      <c r="A63" s="1" t="s">
        <v>437</v>
      </c>
      <c r="B63" s="2">
        <f>+'s1'!M63*0.0098</f>
        <v>0</v>
      </c>
      <c r="C63" s="2">
        <f>+'s1'!N63*0.0098</f>
        <v>0</v>
      </c>
      <c r="D63" s="2">
        <f>+'s1'!O63*0.0098</f>
        <v>655.78</v>
      </c>
      <c r="E63" s="2">
        <f>+'s1'!P63*0.0098</f>
        <v>0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0</v>
      </c>
      <c r="M63" s="2">
        <f>+'s1'!X63*0.0098</f>
        <v>0</v>
      </c>
      <c r="N63" s="2">
        <f>+'s1'!Y63*0.0098</f>
        <v>0</v>
      </c>
      <c r="O63" s="2">
        <f>+'s1'!Z63*0.0098</f>
        <v>0</v>
      </c>
      <c r="P63" s="2">
        <f>+'s1'!AA63*0.0098</f>
        <v>0</v>
      </c>
      <c r="Q63" s="2">
        <f>+'s1'!AB63*0.0098</f>
        <v>83.8</v>
      </c>
      <c r="R63" s="2">
        <f>+'s1'!AC63*0.0098</f>
        <v>0</v>
      </c>
      <c r="S63" s="78">
        <f t="shared" si="2"/>
        <v>739.58</v>
      </c>
      <c r="T63" s="78"/>
    </row>
    <row r="64" spans="1:20" s="20" customFormat="1" x14ac:dyDescent="0.2">
      <c r="A64" s="1" t="s">
        <v>52</v>
      </c>
      <c r="B64" s="2">
        <f>+'s1'!M64*0.0098</f>
        <v>0</v>
      </c>
      <c r="C64" s="2">
        <f>+'s1'!N64*0.0098</f>
        <v>0</v>
      </c>
      <c r="D64" s="2">
        <f>+'s1'!O64*0.0098</f>
        <v>3127.25</v>
      </c>
      <c r="E64" s="2">
        <f>+'s1'!P64*0.0098</f>
        <v>0</v>
      </c>
      <c r="F64" s="2">
        <f>+'s1'!Q64*0.0098</f>
        <v>2758.39</v>
      </c>
      <c r="G64" s="2">
        <f>+'s1'!R64*0.0098</f>
        <v>0</v>
      </c>
      <c r="H64" s="2">
        <f>+'s1'!S64*0.0098</f>
        <v>0</v>
      </c>
      <c r="I64" s="2">
        <f>+'s1'!T64*0.0098</f>
        <v>2022.97</v>
      </c>
      <c r="J64" s="2">
        <f>+'s1'!U64*0.0098</f>
        <v>0</v>
      </c>
      <c r="K64" s="2">
        <f>+'s1'!V64*0.0098</f>
        <v>0</v>
      </c>
      <c r="L64" s="2">
        <f>+'s1'!W64*0.0098</f>
        <v>0</v>
      </c>
      <c r="M64" s="2">
        <f>+'s1'!X64*0.0098</f>
        <v>0</v>
      </c>
      <c r="N64" s="2">
        <f>+'s1'!Y64*0.0098</f>
        <v>0</v>
      </c>
      <c r="O64" s="2">
        <f>+'s1'!Z64*0.0098</f>
        <v>0</v>
      </c>
      <c r="P64" s="2">
        <f>+'s1'!AA64*0.0098</f>
        <v>0</v>
      </c>
      <c r="Q64" s="2">
        <f>+'s1'!AB64*0.0098</f>
        <v>0</v>
      </c>
      <c r="R64" s="2">
        <f>+'s1'!AC64*0.0098</f>
        <v>0</v>
      </c>
      <c r="S64" s="78">
        <f t="shared" si="2"/>
        <v>7908.61</v>
      </c>
      <c r="T64" s="78"/>
    </row>
    <row r="65" spans="1:20" s="20" customFormat="1" x14ac:dyDescent="0.2">
      <c r="A65" s="1" t="s">
        <v>460</v>
      </c>
      <c r="B65" s="2">
        <f>+'s1'!M65*0.0098</f>
        <v>0</v>
      </c>
      <c r="C65" s="2">
        <f>+'s1'!N65*0.0098</f>
        <v>7.8</v>
      </c>
      <c r="D65" s="2">
        <f>+'s1'!O65*0.0098</f>
        <v>0</v>
      </c>
      <c r="E65" s="2">
        <f>+'s1'!P65*0.0098</f>
        <v>0</v>
      </c>
      <c r="F65" s="2">
        <f>+'s1'!Q65*0.0098</f>
        <v>0</v>
      </c>
      <c r="G65" s="2">
        <f>+'s1'!R65*0.0098</f>
        <v>0</v>
      </c>
      <c r="H65" s="2">
        <f>+'s1'!S65*0.0098</f>
        <v>0</v>
      </c>
      <c r="I65" s="2">
        <f>+'s1'!T65*0.0098</f>
        <v>0</v>
      </c>
      <c r="J65" s="2">
        <f>+'s1'!U65*0.0098</f>
        <v>0</v>
      </c>
      <c r="K65" s="2">
        <f>+'s1'!V65*0.0098</f>
        <v>0</v>
      </c>
      <c r="L65" s="2">
        <f>+'s1'!W65*0.0098</f>
        <v>429.04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0</v>
      </c>
      <c r="S65" s="78">
        <f t="shared" si="2"/>
        <v>436.84</v>
      </c>
      <c r="T65" s="18"/>
    </row>
    <row r="66" spans="1:20" s="20" customFormat="1" x14ac:dyDescent="0.2">
      <c r="A66" s="1" t="s">
        <v>731</v>
      </c>
      <c r="B66" s="2">
        <f>+'s1'!M66*0.0098</f>
        <v>0</v>
      </c>
      <c r="C66" s="2">
        <f>+'s1'!N66*0.0098</f>
        <v>0</v>
      </c>
      <c r="D66" s="2">
        <f>+'s1'!O66*0.0098-410.77</f>
        <v>427.9</v>
      </c>
      <c r="E66" s="2">
        <f>+'s1'!P66*0.0098</f>
        <v>0</v>
      </c>
      <c r="F66" s="2">
        <f>+'s1'!Q66*0.0098</f>
        <v>0</v>
      </c>
      <c r="G66" s="2">
        <f>+'s1'!R66*0.0098</f>
        <v>0</v>
      </c>
      <c r="H66" s="2">
        <f>+'s1'!S66*0.0098</f>
        <v>0</v>
      </c>
      <c r="I66" s="2">
        <f>+'s1'!T66*0.0098</f>
        <v>0</v>
      </c>
      <c r="J66" s="2">
        <f>+'s1'!U66*0.0098</f>
        <v>0</v>
      </c>
      <c r="K66" s="2">
        <f>+'s1'!V66*0.0098</f>
        <v>0</v>
      </c>
      <c r="L66" s="2">
        <f>+'s1'!W66*0.0098</f>
        <v>0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0</v>
      </c>
      <c r="Q66" s="2">
        <f>+'s1'!AB66*0.0098</f>
        <v>0</v>
      </c>
      <c r="R66" s="2">
        <f>+'s1'!AC66*0.0098</f>
        <v>0</v>
      </c>
      <c r="S66" s="78">
        <f>SUM(B66:R66)</f>
        <v>427.9</v>
      </c>
      <c r="T66" s="18"/>
    </row>
    <row r="67" spans="1:20" s="20" customFormat="1" x14ac:dyDescent="0.2">
      <c r="A67" s="1" t="s">
        <v>732</v>
      </c>
      <c r="B67" s="2">
        <f>+'s1'!M67*0.0098</f>
        <v>0</v>
      </c>
      <c r="C67" s="2">
        <f>+'s1'!N67*0.0098</f>
        <v>0</v>
      </c>
      <c r="D67" s="2">
        <f>+'s1'!O67*0.0098</f>
        <v>0</v>
      </c>
      <c r="E67" s="2">
        <f>+'s1'!P67*0.0098</f>
        <v>0</v>
      </c>
      <c r="F67" s="2">
        <f>+'s1'!Q67*0.0098</f>
        <v>0</v>
      </c>
      <c r="G67" s="2">
        <f>+'s1'!R67*0.0098</f>
        <v>0</v>
      </c>
      <c r="H67" s="2">
        <f>+'s1'!S67*0.0098</f>
        <v>0</v>
      </c>
      <c r="I67" s="2">
        <f>+'s1'!T67*0.0098</f>
        <v>0</v>
      </c>
      <c r="J67" s="2">
        <f>+'s1'!U67*0.0098</f>
        <v>0</v>
      </c>
      <c r="K67" s="2">
        <f>+'s1'!V67*0.0098</f>
        <v>0</v>
      </c>
      <c r="L67" s="2">
        <f>+'s1'!W67*0.0098</f>
        <v>1448.54</v>
      </c>
      <c r="M67" s="2">
        <f>+'s1'!X67*0.0098</f>
        <v>0</v>
      </c>
      <c r="N67" s="2">
        <f>+'s1'!Y67*0.0098</f>
        <v>0</v>
      </c>
      <c r="O67" s="2">
        <f>+'s1'!Z67*0.0098</f>
        <v>0</v>
      </c>
      <c r="P67" s="2">
        <f>+'s1'!AA67*0.0098</f>
        <v>0</v>
      </c>
      <c r="Q67" s="2">
        <f>+'s1'!AB67*0.0098</f>
        <v>0</v>
      </c>
      <c r="R67" s="2">
        <f>+'s1'!AC67*0.0098</f>
        <v>0</v>
      </c>
      <c r="S67" s="78">
        <f>SUM(B67:R67)</f>
        <v>1448.54</v>
      </c>
      <c r="T67" s="18"/>
    </row>
    <row r="68" spans="1:20" s="20" customFormat="1" x14ac:dyDescent="0.2">
      <c r="A68" s="1" t="s">
        <v>53</v>
      </c>
      <c r="B68" s="2">
        <f>+'s1'!M68*0.0098</f>
        <v>0</v>
      </c>
      <c r="C68" s="2">
        <f>+'s1'!N68*0.0098</f>
        <v>0</v>
      </c>
      <c r="D68" s="2">
        <f>+'s1'!O68*0.0098</f>
        <v>0</v>
      </c>
      <c r="E68" s="2">
        <f>+'s1'!P68*0.0098</f>
        <v>45.2</v>
      </c>
      <c r="F68" s="2">
        <f>+'s1'!Q68*0.0098</f>
        <v>0</v>
      </c>
      <c r="G68" s="2">
        <f>+'s1'!R68*0.0098</f>
        <v>0</v>
      </c>
      <c r="H68" s="2">
        <f>+'s1'!S68*0.0098</f>
        <v>0</v>
      </c>
      <c r="I68" s="2">
        <f>+'s1'!T68*0.0098</f>
        <v>0</v>
      </c>
      <c r="J68" s="2">
        <f>+'s1'!U68*0.0098</f>
        <v>0</v>
      </c>
      <c r="K68" s="2">
        <f>+'s1'!V68*0.0098</f>
        <v>0</v>
      </c>
      <c r="L68" s="2">
        <f>+'s1'!W68*0.0098</f>
        <v>5.08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0</v>
      </c>
      <c r="R68" s="2">
        <f>+'s1'!AC68*0.0098</f>
        <v>0</v>
      </c>
      <c r="S68" s="78">
        <f t="shared" si="2"/>
        <v>50.28</v>
      </c>
      <c r="T68" s="18"/>
    </row>
    <row r="69" spans="1:20" x14ac:dyDescent="0.2">
      <c r="A69" s="1" t="s">
        <v>54</v>
      </c>
      <c r="B69" s="2">
        <f>+'s1'!M69*0.0098</f>
        <v>0</v>
      </c>
      <c r="C69" s="2">
        <f>+'s1'!N69*0.0098</f>
        <v>0</v>
      </c>
      <c r="D69" s="2">
        <f>+'s1'!O69*0.0098</f>
        <v>0</v>
      </c>
      <c r="E69" s="2">
        <f>+'s1'!P69*0.0098</f>
        <v>453.06</v>
      </c>
      <c r="F69" s="2">
        <f>+'s1'!Q69*0.0098</f>
        <v>0</v>
      </c>
      <c r="G69" s="2">
        <f>+'s1'!R69*0.0098</f>
        <v>0</v>
      </c>
      <c r="H69" s="2">
        <f>+'s1'!S69*0.0098</f>
        <v>0</v>
      </c>
      <c r="I69" s="2">
        <f>+'s1'!T69*0.0098</f>
        <v>0</v>
      </c>
      <c r="J69" s="2">
        <f>+'s1'!U69*0.0098</f>
        <v>0</v>
      </c>
      <c r="K69" s="2">
        <f>+'s1'!V69*0.0098</f>
        <v>0</v>
      </c>
      <c r="L69" s="2">
        <f>+'s1'!W69*0.0098</f>
        <v>0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419.89</v>
      </c>
      <c r="R69" s="2">
        <f>+'s1'!AC69*0.0098</f>
        <v>0</v>
      </c>
      <c r="S69" s="2">
        <f t="shared" si="2"/>
        <v>872.95</v>
      </c>
      <c r="T69" s="2"/>
    </row>
    <row r="70" spans="1:20" x14ac:dyDescent="0.2">
      <c r="A70" s="1" t="s">
        <v>55</v>
      </c>
      <c r="B70" s="2">
        <f>+'s1'!M70*0.0098</f>
        <v>0</v>
      </c>
      <c r="C70" s="2">
        <f>+'s1'!N70*0.0098</f>
        <v>0</v>
      </c>
      <c r="D70" s="2">
        <f>+'s1'!O70*0.0098</f>
        <v>0</v>
      </c>
      <c r="E70" s="2">
        <f>+'s1'!P70*0.0098</f>
        <v>0</v>
      </c>
      <c r="F70" s="2">
        <f>+'s1'!Q70*0.0098</f>
        <v>0</v>
      </c>
      <c r="G70" s="2">
        <f>+'s1'!R70*0.0098</f>
        <v>0</v>
      </c>
      <c r="H70" s="2">
        <f>+'s1'!S70*0.0098</f>
        <v>0</v>
      </c>
      <c r="I70" s="2">
        <f>+'s1'!T70*0.0098</f>
        <v>0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0</v>
      </c>
      <c r="R70" s="2">
        <f>+'s1'!AC70*0.0098</f>
        <v>462.07</v>
      </c>
      <c r="S70" s="2">
        <f t="shared" ref="S70:S87" si="3">SUM(B70:R70)</f>
        <v>462.07</v>
      </c>
      <c r="T70" s="1"/>
    </row>
    <row r="71" spans="1:20" x14ac:dyDescent="0.2">
      <c r="A71" s="18" t="s">
        <v>221</v>
      </c>
      <c r="B71" s="2">
        <f>+'s1'!M71*0.0098</f>
        <v>0</v>
      </c>
      <c r="C71" s="2">
        <f>+'s1'!N71*0.0098</f>
        <v>0</v>
      </c>
      <c r="D71" s="2">
        <f>+'s1'!O71*0.0098</f>
        <v>0.99</v>
      </c>
      <c r="E71" s="2">
        <f>+'s1'!P71*0.0098</f>
        <v>0</v>
      </c>
      <c r="F71" s="2">
        <f>+'s1'!Q71*0.0098</f>
        <v>0</v>
      </c>
      <c r="G71" s="2">
        <f>+'s1'!R71*0.0098</f>
        <v>0</v>
      </c>
      <c r="H71" s="2">
        <f>+'s1'!S71*0.0098</f>
        <v>0</v>
      </c>
      <c r="I71" s="2">
        <f>+'s1'!T71*0.0098</f>
        <v>0</v>
      </c>
      <c r="J71" s="2">
        <f>+'s1'!U71*0.0098</f>
        <v>0</v>
      </c>
      <c r="K71" s="2">
        <f>+'s1'!V71*0.0098</f>
        <v>0</v>
      </c>
      <c r="L71" s="2">
        <f>+'s1'!W71*0.0098</f>
        <v>0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0</v>
      </c>
      <c r="R71" s="2">
        <f>+'s1'!AC71*0.0098</f>
        <v>0</v>
      </c>
      <c r="S71" s="2">
        <f t="shared" si="3"/>
        <v>0.99</v>
      </c>
      <c r="T71" s="2"/>
    </row>
    <row r="72" spans="1:20" x14ac:dyDescent="0.2">
      <c r="A72" s="18" t="s">
        <v>736</v>
      </c>
      <c r="B72" s="2">
        <f>+'s1'!M72*0.0098</f>
        <v>0</v>
      </c>
      <c r="C72" s="2">
        <f>+'s1'!N72*0.0098</f>
        <v>0</v>
      </c>
      <c r="D72" s="2">
        <f>+'s1'!O72*0.0098</f>
        <v>4746.45</v>
      </c>
      <c r="E72" s="2">
        <f>+'s1'!P72*0.0098</f>
        <v>0</v>
      </c>
      <c r="F72" s="2">
        <f>+'s1'!Q72*0.0098</f>
        <v>0</v>
      </c>
      <c r="G72" s="2">
        <f>+'s1'!R72*0.0098</f>
        <v>0</v>
      </c>
      <c r="H72" s="2">
        <f>+'s1'!S72*0.0098</f>
        <v>0</v>
      </c>
      <c r="I72" s="2">
        <f>+'s1'!T72*0.0098</f>
        <v>0</v>
      </c>
      <c r="J72" s="2">
        <f>+'s1'!U72*0.0098</f>
        <v>0</v>
      </c>
      <c r="K72" s="2">
        <f>+'s1'!V72*0.0098</f>
        <v>0</v>
      </c>
      <c r="L72" s="2">
        <f>+'s1'!W72*0.0098</f>
        <v>0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0</v>
      </c>
      <c r="R72" s="2">
        <f>+'s1'!AC72*0.0098</f>
        <v>0</v>
      </c>
      <c r="S72" s="2">
        <f t="shared" si="3"/>
        <v>4746.45</v>
      </c>
      <c r="T72" s="2"/>
    </row>
    <row r="73" spans="1:20" x14ac:dyDescent="0.2">
      <c r="A73" s="18" t="s">
        <v>56</v>
      </c>
      <c r="B73" s="2">
        <f>+'s1'!M73*0.0098</f>
        <v>0</v>
      </c>
      <c r="C73" s="2">
        <f>+'s1'!N73*0.0098</f>
        <v>0</v>
      </c>
      <c r="D73" s="2">
        <f>+'s1'!O73*0.0098</f>
        <v>0</v>
      </c>
      <c r="E73" s="2">
        <f>+'s1'!P73*0.0098</f>
        <v>0</v>
      </c>
      <c r="F73" s="2">
        <f>+'s1'!Q73*0.0098</f>
        <v>0</v>
      </c>
      <c r="G73" s="2">
        <f>+'s1'!R73*0.0098</f>
        <v>0</v>
      </c>
      <c r="H73" s="2">
        <f>+'s1'!S73*0.0098</f>
        <v>0</v>
      </c>
      <c r="I73" s="2">
        <f>+'s1'!T73*0.0098</f>
        <v>0</v>
      </c>
      <c r="J73" s="2">
        <f>+'s1'!U73*0.0098</f>
        <v>0</v>
      </c>
      <c r="K73" s="2">
        <f>+'s1'!V73*0.0098</f>
        <v>0</v>
      </c>
      <c r="L73" s="2">
        <f>+'s1'!W73*0.0098</f>
        <v>0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12.79</v>
      </c>
      <c r="Q73" s="2">
        <f>+'s1'!AB73*0.0098</f>
        <v>202.21</v>
      </c>
      <c r="R73" s="2">
        <f>+'s1'!AC73*0.0098</f>
        <v>0</v>
      </c>
      <c r="S73" s="2">
        <f t="shared" si="3"/>
        <v>215</v>
      </c>
      <c r="T73" s="2"/>
    </row>
    <row r="74" spans="1:20" x14ac:dyDescent="0.2">
      <c r="A74" s="1" t="s">
        <v>737</v>
      </c>
      <c r="B74" s="2">
        <f>+'s1'!M74*0.0098</f>
        <v>0</v>
      </c>
      <c r="C74" s="2">
        <f>+'s1'!N74*0.0098</f>
        <v>0</v>
      </c>
      <c r="D74" s="2">
        <f>+'s1'!O74*0.0098</f>
        <v>18506.07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0</v>
      </c>
      <c r="J74" s="2">
        <f>+'s1'!U74*0.0098</f>
        <v>0</v>
      </c>
      <c r="K74" s="2">
        <f>+'s1'!V74*0.0098</f>
        <v>548.79</v>
      </c>
      <c r="L74" s="2">
        <f>+'s1'!W74*0.0098</f>
        <v>0</v>
      </c>
      <c r="M74" s="2">
        <f>+'s1'!X74*0.0098</f>
        <v>0</v>
      </c>
      <c r="N74" s="2">
        <f>+'s1'!Y74*0.0098</f>
        <v>1203.72</v>
      </c>
      <c r="O74" s="2">
        <f>+'s1'!Z74*0.0098</f>
        <v>0</v>
      </c>
      <c r="P74" s="2">
        <f>+'s1'!AA74*0.0098</f>
        <v>0</v>
      </c>
      <c r="Q74" s="2">
        <f>+'s1'!AB74*0.0098</f>
        <v>0</v>
      </c>
      <c r="R74" s="2">
        <f>+'s1'!AC74*0.0098</f>
        <v>0</v>
      </c>
      <c r="S74" s="2">
        <f t="shared" si="3"/>
        <v>20258.580000000002</v>
      </c>
      <c r="T74" s="1"/>
    </row>
    <row r="75" spans="1:20" x14ac:dyDescent="0.2">
      <c r="A75" s="1" t="s">
        <v>438</v>
      </c>
      <c r="B75" s="2">
        <f>+'s1'!M75*0.0098</f>
        <v>0</v>
      </c>
      <c r="C75" s="2">
        <f>+'s1'!N75*0.0098</f>
        <v>0</v>
      </c>
      <c r="D75" s="2">
        <f>+'s1'!O75*0.0098</f>
        <v>1300.6300000000001</v>
      </c>
      <c r="E75" s="2">
        <f>+'s1'!P75*0.0098</f>
        <v>0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0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0</v>
      </c>
      <c r="Q75" s="2">
        <f>+'s1'!AB75*0.0098</f>
        <v>1362.35</v>
      </c>
      <c r="R75" s="2">
        <f>+'s1'!AC75*0.0098</f>
        <v>0</v>
      </c>
      <c r="S75" s="2">
        <f t="shared" si="3"/>
        <v>2662.98</v>
      </c>
      <c r="T75" s="1"/>
    </row>
    <row r="76" spans="1:20" s="20" customFormat="1" x14ac:dyDescent="0.2">
      <c r="A76" s="1" t="s">
        <v>57</v>
      </c>
      <c r="B76" s="2">
        <f>+'s1'!M76*0.0098</f>
        <v>0</v>
      </c>
      <c r="C76" s="2">
        <f>+'s1'!N76*0.0098</f>
        <v>0</v>
      </c>
      <c r="D76" s="2">
        <f>+'s1'!O76*0.0098</f>
        <v>12976.48</v>
      </c>
      <c r="E76" s="2">
        <f>+'s1'!P76*0.0098</f>
        <v>0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0</v>
      </c>
      <c r="L76" s="2">
        <f>+'s1'!W76*0.0098</f>
        <v>0</v>
      </c>
      <c r="M76" s="2">
        <f>+'s1'!X76*0.0098</f>
        <v>0</v>
      </c>
      <c r="N76" s="2">
        <f>+'s1'!Y76*0.0098</f>
        <v>0</v>
      </c>
      <c r="O76" s="2">
        <f>+'s1'!Z76*0.0098</f>
        <v>0</v>
      </c>
      <c r="P76" s="2">
        <f>+'s1'!AA76*0.0098</f>
        <v>0</v>
      </c>
      <c r="Q76" s="2">
        <f>+'s1'!AB76*0.0098</f>
        <v>0</v>
      </c>
      <c r="R76" s="2">
        <f>+'s1'!AC76*0.0098</f>
        <v>0</v>
      </c>
      <c r="S76" s="78">
        <f t="shared" si="3"/>
        <v>12976.48</v>
      </c>
      <c r="T76" s="78"/>
    </row>
    <row r="77" spans="1:20" s="20" customFormat="1" x14ac:dyDescent="0.2">
      <c r="A77" s="1" t="s">
        <v>439</v>
      </c>
      <c r="B77" s="2">
        <f>+'s1'!M77*0.0098</f>
        <v>0</v>
      </c>
      <c r="C77" s="2">
        <f>+'s1'!N77*0.0098</f>
        <v>0</v>
      </c>
      <c r="D77" s="2">
        <f>+'s1'!O77*0.0098</f>
        <v>1556.56</v>
      </c>
      <c r="E77" s="2">
        <f>+'s1'!P77*0.0098</f>
        <v>0</v>
      </c>
      <c r="F77" s="2">
        <f>+'s1'!Q77*0.0098</f>
        <v>2222.67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1694.79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0</v>
      </c>
      <c r="Q77" s="2">
        <f>+'s1'!AB77*0.0098</f>
        <v>0</v>
      </c>
      <c r="R77" s="2">
        <f>+'s1'!AC77*0.0098</f>
        <v>0</v>
      </c>
      <c r="S77" s="78">
        <f t="shared" si="3"/>
        <v>5474.02</v>
      </c>
      <c r="T77" s="78"/>
    </row>
    <row r="78" spans="1:20" x14ac:dyDescent="0.2">
      <c r="A78" s="1" t="s">
        <v>440</v>
      </c>
      <c r="B78" s="2">
        <f>+'s1'!M78*0.0098</f>
        <v>0</v>
      </c>
      <c r="C78" s="2">
        <f>+'s1'!N78*0.0098</f>
        <v>0</v>
      </c>
      <c r="D78" s="2">
        <f>+'s1'!O78*0.0098</f>
        <v>299.86</v>
      </c>
      <c r="E78" s="2">
        <f>+'s1'!P78*0.0098</f>
        <v>0</v>
      </c>
      <c r="F78" s="2">
        <f>+'s1'!Q78*0.0098</f>
        <v>0</v>
      </c>
      <c r="G78" s="2">
        <f>+'s1'!R78*0.0098</f>
        <v>0</v>
      </c>
      <c r="H78" s="2">
        <f>+'s1'!S78*0.0098</f>
        <v>0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0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0</v>
      </c>
      <c r="Q78" s="2">
        <f>+'s1'!AB78*0.0098</f>
        <v>36.26</v>
      </c>
      <c r="R78" s="2">
        <f>+'s1'!AC78*0.0098</f>
        <v>0</v>
      </c>
      <c r="S78" s="2">
        <f t="shared" si="3"/>
        <v>336.12</v>
      </c>
      <c r="T78" s="2"/>
    </row>
    <row r="79" spans="1:20" x14ac:dyDescent="0.2">
      <c r="A79" s="1" t="s">
        <v>355</v>
      </c>
      <c r="B79" s="2">
        <f>+'s1'!M79*0.0098</f>
        <v>0</v>
      </c>
      <c r="C79" s="2">
        <f>+'s1'!N79*0.0098</f>
        <v>0</v>
      </c>
      <c r="D79" s="2">
        <f>+'s1'!O79*0.0098</f>
        <v>885.4</v>
      </c>
      <c r="E79" s="2">
        <f>+'s1'!P79*0.0098</f>
        <v>0</v>
      </c>
      <c r="F79" s="2">
        <f>+'s1'!Q79*0.0098</f>
        <v>0</v>
      </c>
      <c r="G79" s="2">
        <f>+'s1'!R79*0.0098</f>
        <v>0</v>
      </c>
      <c r="H79" s="2">
        <f>+'s1'!S79*0.0098</f>
        <v>0</v>
      </c>
      <c r="I79" s="2">
        <f>+'s1'!T79*0.0098</f>
        <v>0</v>
      </c>
      <c r="J79" s="2">
        <f>+'s1'!U79*0.0098</f>
        <v>0</v>
      </c>
      <c r="K79" s="2">
        <f>+'s1'!V79*0.0098</f>
        <v>0</v>
      </c>
      <c r="L79" s="2">
        <f>+'s1'!W79*0.0098</f>
        <v>0</v>
      </c>
      <c r="M79" s="2">
        <f>+'s1'!X79*0.0098</f>
        <v>0</v>
      </c>
      <c r="N79" s="2">
        <f>+'s1'!Y79*0.0098</f>
        <v>847.1</v>
      </c>
      <c r="O79" s="2">
        <f>+'s1'!Z79*0.0098</f>
        <v>0</v>
      </c>
      <c r="P79" s="2">
        <f>+'s1'!AA79*0.0098</f>
        <v>0</v>
      </c>
      <c r="Q79" s="2">
        <f>+'s1'!AB79*0.0098</f>
        <v>0</v>
      </c>
      <c r="R79" s="2">
        <f>+'s1'!AC79*0.0098</f>
        <v>0</v>
      </c>
      <c r="S79" s="2">
        <f t="shared" si="3"/>
        <v>1732.5</v>
      </c>
      <c r="T79" s="2"/>
    </row>
    <row r="80" spans="1:20" s="20" customFormat="1" x14ac:dyDescent="0.2">
      <c r="A80" s="1" t="s">
        <v>611</v>
      </c>
      <c r="B80" s="2">
        <f>+'s1'!M80*0.0098</f>
        <v>0</v>
      </c>
      <c r="C80" s="2">
        <f>+'s1'!N80*0.0098</f>
        <v>0</v>
      </c>
      <c r="D80" s="2">
        <f>+'s1'!O80*0.0098</f>
        <v>0</v>
      </c>
      <c r="E80" s="2">
        <f>+'s1'!P80*0.0098</f>
        <v>0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0</v>
      </c>
      <c r="Q80" s="2">
        <f>+'s1'!AB80*0.0098-58.87</f>
        <v>115.11</v>
      </c>
      <c r="R80" s="2">
        <f>+'s1'!AC80*0.0098</f>
        <v>0</v>
      </c>
      <c r="S80" s="78">
        <f t="shared" si="3"/>
        <v>115.11</v>
      </c>
      <c r="T80" s="78"/>
    </row>
    <row r="81" spans="1:20" s="20" customFormat="1" x14ac:dyDescent="0.2">
      <c r="A81" s="18" t="s">
        <v>441</v>
      </c>
      <c r="B81" s="2">
        <f>+'s1'!M81*0.0098</f>
        <v>2253.17</v>
      </c>
      <c r="C81" s="2">
        <f>+'s1'!N81*0.0098</f>
        <v>0</v>
      </c>
      <c r="D81" s="2">
        <f>+'s1'!O81*0.0098</f>
        <v>0</v>
      </c>
      <c r="E81" s="2">
        <f>+'s1'!P81*0.0098</f>
        <v>0</v>
      </c>
      <c r="F81" s="2">
        <f>+'s1'!Q81*0.0098</f>
        <v>0</v>
      </c>
      <c r="G81" s="2">
        <f>+'s1'!R81*0.0098</f>
        <v>0</v>
      </c>
      <c r="H81" s="2">
        <f>+'s1'!S81*0.0098</f>
        <v>0</v>
      </c>
      <c r="I81" s="2">
        <f>+'s1'!T81*0.0098</f>
        <v>0</v>
      </c>
      <c r="J81" s="2">
        <f>+'s1'!U81*0.0098</f>
        <v>0</v>
      </c>
      <c r="K81" s="2">
        <f>+'s1'!V81*0.0098</f>
        <v>0</v>
      </c>
      <c r="L81" s="2">
        <f>+'s1'!W81*0.0098</f>
        <v>0</v>
      </c>
      <c r="M81" s="2">
        <f>+'s1'!X81*0.0098</f>
        <v>0</v>
      </c>
      <c r="N81" s="2">
        <f>+'s1'!Y81*0.0098</f>
        <v>0</v>
      </c>
      <c r="O81" s="2">
        <f>+'s1'!Z81*0.0098</f>
        <v>0</v>
      </c>
      <c r="P81" s="2">
        <f>+'s1'!AA81*0.0098</f>
        <v>0</v>
      </c>
      <c r="Q81" s="2">
        <f>+'s1'!AB81*0.0098</f>
        <v>9371.9699999999993</v>
      </c>
      <c r="R81" s="2">
        <f>+'s1'!AC81*0.0098</f>
        <v>0</v>
      </c>
      <c r="S81" s="78">
        <f t="shared" si="3"/>
        <v>11625.14</v>
      </c>
      <c r="T81" s="78"/>
    </row>
    <row r="82" spans="1:20" s="20" customFormat="1" x14ac:dyDescent="0.2">
      <c r="A82" s="1" t="s">
        <v>768</v>
      </c>
      <c r="B82" s="2">
        <f>+'s1'!M82*0.0098</f>
        <v>0</v>
      </c>
      <c r="C82" s="2">
        <f>+'s1'!N82*0.0098</f>
        <v>0</v>
      </c>
      <c r="D82" s="2">
        <f>+'s1'!O82*0.0098</f>
        <v>0</v>
      </c>
      <c r="E82" s="2">
        <f>+'s1'!P82*0.0098</f>
        <v>0</v>
      </c>
      <c r="F82" s="2">
        <f>+'s1'!Q82*0.0098</f>
        <v>0</v>
      </c>
      <c r="G82" s="2">
        <f>+'s1'!R82*0.0098</f>
        <v>0</v>
      </c>
      <c r="H82" s="2">
        <f>+'s1'!S82*0.0098</f>
        <v>0</v>
      </c>
      <c r="I82" s="2">
        <f>+'s1'!T82*0.0098</f>
        <v>0</v>
      </c>
      <c r="J82" s="2">
        <f>+'s1'!U82*0.0098</f>
        <v>0</v>
      </c>
      <c r="K82" s="2">
        <f>+'s1'!V82*0.0098</f>
        <v>0</v>
      </c>
      <c r="L82" s="2">
        <f>+'s1'!W82*0.0098</f>
        <v>0</v>
      </c>
      <c r="M82" s="2">
        <f>+'s1'!X82*0.0098</f>
        <v>0</v>
      </c>
      <c r="N82" s="2">
        <f>+'s1'!Y82*0.0098</f>
        <v>0</v>
      </c>
      <c r="O82" s="2">
        <f>+'s1'!Z82*0.0098</f>
        <v>0</v>
      </c>
      <c r="P82" s="2">
        <f>+'s1'!AA82*0.0098</f>
        <v>0</v>
      </c>
      <c r="Q82" s="2">
        <f>+'s1'!AB82*0.0098</f>
        <v>0</v>
      </c>
      <c r="R82" s="2">
        <f>+'s1'!AC82*0.0098</f>
        <v>0</v>
      </c>
      <c r="S82" s="78">
        <f t="shared" si="3"/>
        <v>0</v>
      </c>
      <c r="T82" s="18"/>
    </row>
    <row r="83" spans="1:20" x14ac:dyDescent="0.2">
      <c r="A83" s="18" t="s">
        <v>58</v>
      </c>
      <c r="B83" s="2">
        <f>+'s1'!M83*0.0098</f>
        <v>0</v>
      </c>
      <c r="C83" s="2">
        <f>+'s1'!N83*0.0098</f>
        <v>0</v>
      </c>
      <c r="D83" s="2">
        <f>+'s1'!O83*0.0098</f>
        <v>70960.61</v>
      </c>
      <c r="E83" s="2">
        <f>+'s1'!P83*0.0098</f>
        <v>0</v>
      </c>
      <c r="F83" s="2">
        <f>+'s1'!Q83*0.0098</f>
        <v>0</v>
      </c>
      <c r="G83" s="2">
        <f>+'s1'!R83*0.0098</f>
        <v>55.85</v>
      </c>
      <c r="H83" s="2">
        <f>+'s1'!S83*0.0098</f>
        <v>0</v>
      </c>
      <c r="I83" s="2">
        <f>+'s1'!T83*0.0098</f>
        <v>0</v>
      </c>
      <c r="J83" s="2">
        <f>+'s1'!U83*0.0098</f>
        <v>12.44</v>
      </c>
      <c r="K83" s="2">
        <f>+'s1'!V83*0.0098</f>
        <v>19.600000000000001</v>
      </c>
      <c r="L83" s="2">
        <f>+'s1'!W83*0.0098</f>
        <v>0</v>
      </c>
      <c r="M83" s="2">
        <f>+'s1'!X83*0.0098</f>
        <v>0</v>
      </c>
      <c r="N83" s="2">
        <f>+'s1'!Y83*0.0098</f>
        <v>3937.78</v>
      </c>
      <c r="O83" s="2">
        <f>+'s1'!Z83*0.0098</f>
        <v>0</v>
      </c>
      <c r="P83" s="2">
        <f>+'s1'!AA83*0.0098</f>
        <v>0</v>
      </c>
      <c r="Q83" s="2">
        <f>+'s1'!AB83*0.0098</f>
        <v>0</v>
      </c>
      <c r="R83" s="2">
        <f>+'s1'!AC83*0.0098</f>
        <v>0</v>
      </c>
      <c r="S83" s="2">
        <f t="shared" si="3"/>
        <v>74986.28</v>
      </c>
      <c r="T83" s="2"/>
    </row>
    <row r="84" spans="1:20" s="20" customFormat="1" x14ac:dyDescent="0.2">
      <c r="A84" s="1" t="s">
        <v>59</v>
      </c>
      <c r="B84" s="2">
        <f>+'s1'!M84*0.0098</f>
        <v>0</v>
      </c>
      <c r="C84" s="2">
        <f>+'s1'!N84*0.0098</f>
        <v>0</v>
      </c>
      <c r="D84" s="2">
        <f>+'s1'!O84*0.0098</f>
        <v>0</v>
      </c>
      <c r="E84" s="2">
        <f>+'s1'!P84*0.0098</f>
        <v>0</v>
      </c>
      <c r="F84" s="2">
        <f>+'s1'!Q84*0.0098</f>
        <v>755.47</v>
      </c>
      <c r="G84" s="2">
        <f>+'s1'!R84*0.0098</f>
        <v>0</v>
      </c>
      <c r="H84" s="2">
        <f>+'s1'!S84*0.0098</f>
        <v>0</v>
      </c>
      <c r="I84" s="2">
        <f>+'s1'!T84*0.0098</f>
        <v>39.44</v>
      </c>
      <c r="J84" s="2">
        <f>+'s1'!U84*0.0098</f>
        <v>0</v>
      </c>
      <c r="K84" s="2">
        <f>+'s1'!V84*0.0098</f>
        <v>524.48</v>
      </c>
      <c r="L84" s="2">
        <f>+'s1'!W84*0.0098</f>
        <v>0</v>
      </c>
      <c r="M84" s="2">
        <f>+'s1'!X84*0.0098</f>
        <v>0</v>
      </c>
      <c r="N84" s="2">
        <f>+'s1'!Y84*0.0098</f>
        <v>0</v>
      </c>
      <c r="O84" s="2">
        <f>+'s1'!Z84*0.0098</f>
        <v>0</v>
      </c>
      <c r="P84" s="2">
        <f>+'s1'!AA84*0.0098</f>
        <v>0</v>
      </c>
      <c r="Q84" s="2">
        <f>+'s1'!AB84*0.0098</f>
        <v>0</v>
      </c>
      <c r="R84" s="2">
        <f>+'s1'!AC84*0.0098</f>
        <v>1736.32</v>
      </c>
      <c r="S84" s="78">
        <f t="shared" si="3"/>
        <v>3055.71</v>
      </c>
      <c r="T84" s="78"/>
    </row>
    <row r="85" spans="1:20" s="20" customFormat="1" x14ac:dyDescent="0.2">
      <c r="A85" s="1" t="s">
        <v>462</v>
      </c>
      <c r="B85" s="2">
        <f>+'s1'!M85*0.0098</f>
        <v>0</v>
      </c>
      <c r="C85" s="2">
        <f>+'s1'!N85*0.0098</f>
        <v>0</v>
      </c>
      <c r="D85" s="2">
        <f>+'s1'!O85*0.0098</f>
        <v>0</v>
      </c>
      <c r="E85" s="2">
        <f>+'s1'!P85*0.0098</f>
        <v>0</v>
      </c>
      <c r="F85" s="2">
        <f>+'s1'!Q85*0.0098</f>
        <v>0</v>
      </c>
      <c r="G85" s="2">
        <f>+'s1'!R85*0.0098</f>
        <v>0</v>
      </c>
      <c r="H85" s="2">
        <f>+'s1'!S85*0.0098</f>
        <v>0</v>
      </c>
      <c r="I85" s="2">
        <f>+'s1'!T85*0.0098</f>
        <v>0</v>
      </c>
      <c r="J85" s="2">
        <f>+'s1'!U85*0.0098</f>
        <v>0</v>
      </c>
      <c r="K85" s="2">
        <f>+'s1'!V85*0.0098</f>
        <v>0</v>
      </c>
      <c r="L85" s="2">
        <f>+'s1'!W85*0.0098</f>
        <v>0</v>
      </c>
      <c r="M85" s="2">
        <f>+'s1'!X85*0.0098</f>
        <v>0</v>
      </c>
      <c r="N85" s="2">
        <f>+'s1'!Y85*0.0098</f>
        <v>0</v>
      </c>
      <c r="O85" s="2">
        <f>+'s1'!Z85*0.0098</f>
        <v>0</v>
      </c>
      <c r="P85" s="2">
        <f>+'s1'!AA85*0.0098</f>
        <v>0</v>
      </c>
      <c r="Q85" s="2">
        <f>+'s1'!AB85*0.0098</f>
        <v>77.34</v>
      </c>
      <c r="R85" s="2">
        <f>+'s1'!AC85*0.0098</f>
        <v>0</v>
      </c>
      <c r="S85" s="78">
        <f t="shared" si="3"/>
        <v>77.34</v>
      </c>
      <c r="T85" s="18"/>
    </row>
    <row r="86" spans="1:20" s="20" customFormat="1" x14ac:dyDescent="0.2">
      <c r="A86" s="18" t="s">
        <v>60</v>
      </c>
      <c r="B86" s="2">
        <f>+'s1'!M86*0.0098</f>
        <v>2824.78</v>
      </c>
      <c r="C86" s="2">
        <f>+'s1'!N86*0.0098</f>
        <v>0</v>
      </c>
      <c r="D86" s="2">
        <f>+'s1'!O86*0.0098</f>
        <v>20094.759999999998</v>
      </c>
      <c r="E86" s="2">
        <f>+'s1'!P86*0.0098</f>
        <v>977.39</v>
      </c>
      <c r="F86" s="2">
        <f>+'s1'!Q86*0.0098</f>
        <v>0</v>
      </c>
      <c r="G86" s="2">
        <f>+'s1'!R86*0.0098</f>
        <v>39.380000000000003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1445.55</v>
      </c>
      <c r="M86" s="2">
        <f>+'s1'!X86*0.0098</f>
        <v>19.7</v>
      </c>
      <c r="N86" s="2">
        <f>+'s1'!Y86*0.0098</f>
        <v>438.98</v>
      </c>
      <c r="O86" s="2">
        <f>+'s1'!Z86*0.0098</f>
        <v>355.51</v>
      </c>
      <c r="P86" s="2">
        <f>+'s1'!AA86*0.0098</f>
        <v>0</v>
      </c>
      <c r="Q86" s="2">
        <f>+'s1'!AB86*0.0098</f>
        <v>5242.7</v>
      </c>
      <c r="R86" s="2">
        <f>+'s1'!AC86*0.0098</f>
        <v>0</v>
      </c>
      <c r="S86" s="78">
        <f t="shared" si="3"/>
        <v>31438.75</v>
      </c>
      <c r="T86" s="18"/>
    </row>
    <row r="87" spans="1:20" x14ac:dyDescent="0.2">
      <c r="A87" s="1" t="s">
        <v>463</v>
      </c>
      <c r="B87" s="2">
        <f>+'s1'!M87*0.0098</f>
        <v>0</v>
      </c>
      <c r="C87" s="2">
        <f>+'s1'!N87*0.0098</f>
        <v>2.62</v>
      </c>
      <c r="D87" s="2">
        <f>+'s1'!O87*0.0098</f>
        <v>0</v>
      </c>
      <c r="E87" s="2">
        <f>+'s1'!P87*0.0098</f>
        <v>5.14</v>
      </c>
      <c r="F87" s="2">
        <f>+'s1'!Q87*0.0098</f>
        <v>0</v>
      </c>
      <c r="G87" s="2">
        <f>+'s1'!R87*0.0098</f>
        <v>0</v>
      </c>
      <c r="H87" s="2">
        <f>+'s1'!S87*0.0098</f>
        <v>0</v>
      </c>
      <c r="I87" s="2">
        <f>+'s1'!T87*0.0098</f>
        <v>0</v>
      </c>
      <c r="J87" s="2">
        <f>+'s1'!U87*0.0098</f>
        <v>0</v>
      </c>
      <c r="K87" s="2">
        <f>+'s1'!V87*0.0098</f>
        <v>0</v>
      </c>
      <c r="L87" s="2">
        <f>+'s1'!W87*0.0098</f>
        <v>550.22</v>
      </c>
      <c r="M87" s="2">
        <f>+'s1'!X87*0.0098</f>
        <v>2.2999999999999998</v>
      </c>
      <c r="N87" s="2">
        <f>+'s1'!Y87*0.0098</f>
        <v>0</v>
      </c>
      <c r="O87" s="2">
        <f>+'s1'!Z87*0.0098</f>
        <v>0</v>
      </c>
      <c r="P87" s="2">
        <f>+'s1'!AA87*0.0098</f>
        <v>0</v>
      </c>
      <c r="Q87" s="2">
        <f>+'s1'!AB87*0.0098</f>
        <v>0</v>
      </c>
      <c r="R87" s="2">
        <f>+'s1'!AC87*0.0098</f>
        <v>0</v>
      </c>
      <c r="S87" s="2">
        <f t="shared" si="3"/>
        <v>560.28</v>
      </c>
      <c r="T87" s="1"/>
    </row>
    <row r="88" spans="1:20" x14ac:dyDescent="0.2">
      <c r="A88" s="18" t="s">
        <v>61</v>
      </c>
      <c r="B88" s="2">
        <f>+'s1'!M88*0.0098</f>
        <v>0</v>
      </c>
      <c r="C88" s="2">
        <f>+'s1'!N88*0.0098</f>
        <v>0</v>
      </c>
      <c r="D88" s="2">
        <f>+'s1'!O88*0.0098</f>
        <v>0</v>
      </c>
      <c r="E88" s="2">
        <f>+'s1'!P88*0.0098</f>
        <v>0</v>
      </c>
      <c r="F88" s="2">
        <f>+'s1'!Q88*0.0098</f>
        <v>0</v>
      </c>
      <c r="G88" s="2">
        <f>+'s1'!R88*0.0098</f>
        <v>0</v>
      </c>
      <c r="H88" s="2">
        <f>+'s1'!S88*0.0098</f>
        <v>0</v>
      </c>
      <c r="I88" s="2">
        <f>+'s1'!T88*0.0098</f>
        <v>379.48</v>
      </c>
      <c r="J88" s="2">
        <f>+'s1'!U88*0.0098</f>
        <v>0</v>
      </c>
      <c r="K88" s="2">
        <f>+'s1'!V88*0.0098</f>
        <v>0</v>
      </c>
      <c r="L88" s="2">
        <f>+'s1'!W88*0.0098</f>
        <v>0</v>
      </c>
      <c r="M88" s="2">
        <f>+'s1'!X88*0.0098</f>
        <v>0</v>
      </c>
      <c r="N88" s="2">
        <f>+'s1'!Y88*0.0098</f>
        <v>0</v>
      </c>
      <c r="O88" s="2">
        <f>+'s1'!Z88*0.0098</f>
        <v>8.02</v>
      </c>
      <c r="P88" s="2">
        <f>+'s1'!AA88*0.0098</f>
        <v>0</v>
      </c>
      <c r="Q88" s="2">
        <f>+'s1'!AB88*0.0098</f>
        <v>0</v>
      </c>
      <c r="R88" s="2">
        <f>+'s1'!AC88*0.0098</f>
        <v>0</v>
      </c>
      <c r="S88" s="2">
        <f t="shared" ref="S88:S101" si="4">SUM(B88:R88)</f>
        <v>387.5</v>
      </c>
      <c r="T88" s="2"/>
    </row>
    <row r="89" spans="1:20" x14ac:dyDescent="0.2">
      <c r="A89" s="1" t="s">
        <v>63</v>
      </c>
      <c r="B89" s="2">
        <f>+'s1'!M89*0.0098</f>
        <v>0</v>
      </c>
      <c r="C89" s="2">
        <f>+'s1'!N89*0.0098</f>
        <v>0</v>
      </c>
      <c r="D89" s="2">
        <f>+'s1'!O89*0.0098</f>
        <v>0</v>
      </c>
      <c r="E89" s="2">
        <f>+'s1'!P89*0.0098</f>
        <v>0</v>
      </c>
      <c r="F89" s="2">
        <f>+'s1'!Q89*0.0098</f>
        <v>0</v>
      </c>
      <c r="G89" s="2">
        <f>+'s1'!R89*0.0098</f>
        <v>0</v>
      </c>
      <c r="H89" s="2">
        <f>+'s1'!S89*0.0098</f>
        <v>0</v>
      </c>
      <c r="I89" s="2">
        <f>+'s1'!T89*0.0098</f>
        <v>166.85</v>
      </c>
      <c r="J89" s="2">
        <f>+'s1'!U89*0.0098</f>
        <v>0</v>
      </c>
      <c r="K89" s="2">
        <f>+'s1'!V89*0.0098</f>
        <v>0</v>
      </c>
      <c r="L89" s="2">
        <f>+'s1'!W89*0.0098</f>
        <v>0</v>
      </c>
      <c r="M89" s="2">
        <f>+'s1'!X89*0.0098</f>
        <v>0</v>
      </c>
      <c r="N89" s="2">
        <f>+'s1'!Y89*0.0098</f>
        <v>0</v>
      </c>
      <c r="O89" s="2">
        <f>+'s1'!Z89*0.0098</f>
        <v>22.44</v>
      </c>
      <c r="P89" s="2">
        <f>+'s1'!AA89*0.0098</f>
        <v>0</v>
      </c>
      <c r="Q89" s="2">
        <f>+'s1'!AB89*0.0098</f>
        <v>0</v>
      </c>
      <c r="R89" s="2">
        <f>+'s1'!AC89*0.0098</f>
        <v>0</v>
      </c>
      <c r="S89" s="2">
        <f>SUM(B89:R89)</f>
        <v>189.29</v>
      </c>
      <c r="T89" s="2"/>
    </row>
    <row r="90" spans="1:20" s="20" customFormat="1" x14ac:dyDescent="0.2">
      <c r="A90" s="18" t="s">
        <v>64</v>
      </c>
      <c r="B90" s="2">
        <f>+'s1'!M90*0.0098</f>
        <v>0</v>
      </c>
      <c r="C90" s="2">
        <f>+'s1'!N90*0.0098</f>
        <v>0</v>
      </c>
      <c r="D90" s="2">
        <f>+'s1'!O90*0.0098</f>
        <v>16.649999999999999</v>
      </c>
      <c r="E90" s="2">
        <f>+'s1'!P90*0.0098</f>
        <v>0</v>
      </c>
      <c r="F90" s="2">
        <f>+'s1'!Q90*0.0098</f>
        <v>0</v>
      </c>
      <c r="G90" s="2">
        <f>+'s1'!R90*0.0098</f>
        <v>0</v>
      </c>
      <c r="H90" s="2">
        <f>+'s1'!S90*0.0098</f>
        <v>0</v>
      </c>
      <c r="I90" s="2">
        <f>+'s1'!T90*0.0098</f>
        <v>0</v>
      </c>
      <c r="J90" s="2">
        <f>+'s1'!U90*0.0098</f>
        <v>0</v>
      </c>
      <c r="K90" s="2">
        <f>+'s1'!V90*0.0098</f>
        <v>0</v>
      </c>
      <c r="L90" s="2">
        <f>+'s1'!W90*0.0098</f>
        <v>0</v>
      </c>
      <c r="M90" s="2">
        <f>+'s1'!X90*0.0098</f>
        <v>0</v>
      </c>
      <c r="N90" s="2">
        <f>+'s1'!Y90*0.0098</f>
        <v>0</v>
      </c>
      <c r="O90" s="2">
        <f>+'s1'!Z90*0.0098</f>
        <v>0</v>
      </c>
      <c r="P90" s="2">
        <f>+'s1'!AA90*0.0098</f>
        <v>0</v>
      </c>
      <c r="Q90" s="2">
        <f>+'s1'!AB90*0.0098</f>
        <v>0</v>
      </c>
      <c r="R90" s="2">
        <f>+'s1'!AC90*0.0098</f>
        <v>0</v>
      </c>
      <c r="S90" s="78">
        <f t="shared" si="4"/>
        <v>16.649999999999999</v>
      </c>
      <c r="T90" s="78"/>
    </row>
    <row r="91" spans="1:20" s="20" customFormat="1" x14ac:dyDescent="0.2">
      <c r="A91" s="18" t="s">
        <v>576</v>
      </c>
      <c r="B91" s="2">
        <f>+'s1'!M91*0.0098</f>
        <v>0</v>
      </c>
      <c r="C91" s="2">
        <f>+'s1'!N91*0.0098</f>
        <v>0</v>
      </c>
      <c r="D91" s="2">
        <f>+'s1'!O91*0.0098</f>
        <v>0</v>
      </c>
      <c r="E91" s="2">
        <f>+'s1'!P91*0.0098</f>
        <v>0</v>
      </c>
      <c r="F91" s="2">
        <f>+'s1'!Q91*0.0098</f>
        <v>0</v>
      </c>
      <c r="G91" s="2">
        <f>+'s1'!R91*0.0098</f>
        <v>0</v>
      </c>
      <c r="H91" s="2">
        <f>+'s1'!S91*0.0098</f>
        <v>366.58</v>
      </c>
      <c r="I91" s="2">
        <f>+'s1'!T91*0.0098</f>
        <v>0</v>
      </c>
      <c r="J91" s="2">
        <f>+'s1'!U91*0.0098</f>
        <v>0</v>
      </c>
      <c r="K91" s="2">
        <f>+'s1'!V91*0.0098</f>
        <v>0</v>
      </c>
      <c r="L91" s="2">
        <f>+'s1'!W91*0.0098</f>
        <v>0</v>
      </c>
      <c r="M91" s="2">
        <f>+'s1'!X91*0.0098</f>
        <v>0</v>
      </c>
      <c r="N91" s="2">
        <f>+'s1'!Y91*0.0098</f>
        <v>0</v>
      </c>
      <c r="O91" s="2">
        <f>+'s1'!Z91*0.0098</f>
        <v>0</v>
      </c>
      <c r="P91" s="2">
        <f>+'s1'!AA91*0.0098</f>
        <v>0</v>
      </c>
      <c r="Q91" s="2">
        <f>+'s1'!AB91*0.0098</f>
        <v>0</v>
      </c>
      <c r="R91" s="2">
        <f>+'s1'!AC91*0.0098</f>
        <v>0</v>
      </c>
      <c r="S91" s="78">
        <f t="shared" si="4"/>
        <v>366.58</v>
      </c>
      <c r="T91" s="78"/>
    </row>
    <row r="92" spans="1:20" s="20" customFormat="1" x14ac:dyDescent="0.2">
      <c r="A92" s="18" t="s">
        <v>442</v>
      </c>
      <c r="B92" s="2">
        <f>+'s1'!M92*0.0098</f>
        <v>0</v>
      </c>
      <c r="C92" s="2">
        <f>+'s1'!N92*0.0098</f>
        <v>0</v>
      </c>
      <c r="D92" s="2">
        <f>+'s1'!O92*0.0098</f>
        <v>7629.38</v>
      </c>
      <c r="E92" s="2">
        <f>+'s1'!P92*0.0098</f>
        <v>0</v>
      </c>
      <c r="F92" s="2">
        <f>+'s1'!Q92*0.0098</f>
        <v>1771.79</v>
      </c>
      <c r="G92" s="2">
        <f>+'s1'!R92*0.0098</f>
        <v>0</v>
      </c>
      <c r="H92" s="2">
        <f>+'s1'!S92*0.0098</f>
        <v>0</v>
      </c>
      <c r="I92" s="2">
        <f>+'s1'!T92*0.0098</f>
        <v>0</v>
      </c>
      <c r="J92" s="2">
        <f>+'s1'!U92*0.0098</f>
        <v>0</v>
      </c>
      <c r="K92" s="2">
        <f>+'s1'!V92*0.0098</f>
        <v>0</v>
      </c>
      <c r="L92" s="2">
        <f>+'s1'!W92*0.0098</f>
        <v>2102.96</v>
      </c>
      <c r="M92" s="2">
        <f>+'s1'!X92*0.0098</f>
        <v>0</v>
      </c>
      <c r="N92" s="2">
        <f>+'s1'!Y92*0.0098</f>
        <v>2159.63</v>
      </c>
      <c r="O92" s="2">
        <f>+'s1'!Z92*0.0098</f>
        <v>0</v>
      </c>
      <c r="P92" s="2">
        <f>+'s1'!AA92*0.0098</f>
        <v>0</v>
      </c>
      <c r="Q92" s="2">
        <f>+'s1'!AB92*0.0098</f>
        <v>0</v>
      </c>
      <c r="R92" s="2">
        <f>+'s1'!AC92*0.0098</f>
        <v>0</v>
      </c>
      <c r="S92" s="78">
        <f t="shared" si="4"/>
        <v>13663.76</v>
      </c>
      <c r="T92" s="78"/>
    </row>
    <row r="93" spans="1:20" s="20" customFormat="1" x14ac:dyDescent="0.2">
      <c r="A93" s="18" t="s">
        <v>65</v>
      </c>
      <c r="B93" s="2">
        <f>+'s1'!M93*0.0098</f>
        <v>0</v>
      </c>
      <c r="C93" s="2">
        <f>+'s1'!N93*0.0098</f>
        <v>1159.74</v>
      </c>
      <c r="D93" s="2">
        <f>+'s1'!O93*0.0098</f>
        <v>0</v>
      </c>
      <c r="E93" s="2">
        <f>+'s1'!P93*0.0098</f>
        <v>0</v>
      </c>
      <c r="F93" s="2">
        <f>+'s1'!Q93*0.0098</f>
        <v>0</v>
      </c>
      <c r="G93" s="2">
        <f>+'s1'!R93*0.0098</f>
        <v>0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0</v>
      </c>
      <c r="M93" s="2">
        <f>+'s1'!X93*0.0098</f>
        <v>0</v>
      </c>
      <c r="N93" s="2">
        <f>+'s1'!Y93*0.0098</f>
        <v>0</v>
      </c>
      <c r="O93" s="2">
        <f>+'s1'!Z93*0.0098</f>
        <v>0</v>
      </c>
      <c r="P93" s="2">
        <f>+'s1'!AA93*0.0098</f>
        <v>0</v>
      </c>
      <c r="Q93" s="2">
        <f>+'s1'!AB93*0.0098</f>
        <v>0</v>
      </c>
      <c r="R93" s="2">
        <f>+'s1'!AC93*0.0098</f>
        <v>0</v>
      </c>
      <c r="S93" s="78">
        <f t="shared" si="4"/>
        <v>1159.74</v>
      </c>
      <c r="T93" s="18"/>
    </row>
    <row r="94" spans="1:20" s="20" customFormat="1" x14ac:dyDescent="0.2">
      <c r="A94" s="18" t="s">
        <v>478</v>
      </c>
      <c r="B94" s="2">
        <f>+'s1'!M94*0.0098</f>
        <v>86.31</v>
      </c>
      <c r="C94" s="2">
        <f>+'s1'!N94*0.0098</f>
        <v>0</v>
      </c>
      <c r="D94" s="2">
        <f>+'s1'!O94*0.0098</f>
        <v>13226.41</v>
      </c>
      <c r="E94" s="2">
        <f>+'s1'!P94*0.0098</f>
        <v>710</v>
      </c>
      <c r="F94" s="2">
        <f>+'s1'!Q94*0.0098</f>
        <v>0</v>
      </c>
      <c r="G94" s="2">
        <f>+'s1'!R94*0.0098</f>
        <v>0</v>
      </c>
      <c r="H94" s="2">
        <f>+'s1'!S94*0.0098</f>
        <v>0</v>
      </c>
      <c r="I94" s="2">
        <f>+'s1'!T94*0.0098</f>
        <v>0</v>
      </c>
      <c r="J94" s="2">
        <f>+'s1'!U94*0.0098</f>
        <v>0</v>
      </c>
      <c r="K94" s="2">
        <f>+'s1'!V94*0.0098</f>
        <v>0</v>
      </c>
      <c r="L94" s="2">
        <f>+'s1'!W94*0.0098</f>
        <v>0</v>
      </c>
      <c r="M94" s="2">
        <f>+'s1'!X94*0.0098</f>
        <v>198.97</v>
      </c>
      <c r="N94" s="2">
        <f>+'s1'!Y94*0.0098</f>
        <v>46.81</v>
      </c>
      <c r="O94" s="2">
        <f>+'s1'!Z94*0.0098</f>
        <v>0</v>
      </c>
      <c r="P94" s="2">
        <f>+'s1'!AA94*0.0098</f>
        <v>0</v>
      </c>
      <c r="Q94" s="2">
        <f>+'s1'!AB94*0.0098</f>
        <v>8261.86</v>
      </c>
      <c r="R94" s="2">
        <f>+'s1'!AC94*0.0098</f>
        <v>0</v>
      </c>
      <c r="S94" s="78">
        <f t="shared" si="4"/>
        <v>22530.36</v>
      </c>
      <c r="T94" s="78"/>
    </row>
    <row r="95" spans="1:20" s="20" customFormat="1" x14ac:dyDescent="0.2">
      <c r="A95" s="18" t="s">
        <v>66</v>
      </c>
      <c r="B95" s="2">
        <f>+'s1'!M95*0.0098</f>
        <v>0</v>
      </c>
      <c r="C95" s="2">
        <f>+'s1'!N95*0.0098</f>
        <v>0</v>
      </c>
      <c r="D95" s="2">
        <f>+'s1'!O95*0.0098</f>
        <v>0</v>
      </c>
      <c r="E95" s="2">
        <f>+'s1'!P95*0.0098</f>
        <v>0</v>
      </c>
      <c r="F95" s="2">
        <f>+'s1'!Q95*0.0098</f>
        <v>79.92</v>
      </c>
      <c r="G95" s="2">
        <f>+'s1'!R95*0.0098</f>
        <v>0</v>
      </c>
      <c r="H95" s="2">
        <f>+'s1'!S95*0.0098</f>
        <v>0</v>
      </c>
      <c r="I95" s="2">
        <f>+'s1'!T95*0.0098</f>
        <v>0</v>
      </c>
      <c r="J95" s="2">
        <f>+'s1'!U95*0.0098</f>
        <v>0</v>
      </c>
      <c r="K95" s="2">
        <f>+'s1'!V95*0.0098</f>
        <v>0</v>
      </c>
      <c r="L95" s="2">
        <f>+'s1'!W95*0.0098</f>
        <v>0</v>
      </c>
      <c r="M95" s="2">
        <f>+'s1'!X95*0.0098</f>
        <v>0</v>
      </c>
      <c r="N95" s="2">
        <f>+'s1'!Y95*0.0098</f>
        <v>0</v>
      </c>
      <c r="O95" s="2">
        <f>+'s1'!Z95*0.0098</f>
        <v>0</v>
      </c>
      <c r="P95" s="2">
        <f>+'s1'!AA95*0.0098</f>
        <v>0</v>
      </c>
      <c r="Q95" s="2">
        <f>+'s1'!AB95*0.0098</f>
        <v>0</v>
      </c>
      <c r="R95" s="2">
        <f>+'s1'!AC95*0.0098</f>
        <v>0</v>
      </c>
      <c r="S95" s="78">
        <f t="shared" si="4"/>
        <v>79.92</v>
      </c>
      <c r="T95" s="78"/>
    </row>
    <row r="96" spans="1:20" s="20" customFormat="1" x14ac:dyDescent="0.2">
      <c r="A96" s="1" t="s">
        <v>769</v>
      </c>
      <c r="B96" s="2">
        <f>+'s1'!M96*0.0098</f>
        <v>0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0</v>
      </c>
      <c r="G96" s="2">
        <f>+'s1'!R96*0.0098</f>
        <v>0</v>
      </c>
      <c r="H96" s="2">
        <f>+'s1'!S96*0.0098</f>
        <v>0</v>
      </c>
      <c r="I96" s="2">
        <f>+'s1'!T96*0.0098</f>
        <v>0</v>
      </c>
      <c r="J96" s="2">
        <f>+'s1'!U96*0.0098</f>
        <v>0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0</v>
      </c>
      <c r="P96" s="2">
        <f>+'s1'!AA96*0.0098</f>
        <v>0</v>
      </c>
      <c r="Q96" s="2">
        <f>+'s1'!AB96*0.0098</f>
        <v>0</v>
      </c>
      <c r="R96" s="2">
        <f>+'s1'!AC96*0.0098</f>
        <v>0</v>
      </c>
      <c r="S96" s="78">
        <f>SUM(B96:R96)</f>
        <v>0</v>
      </c>
      <c r="T96" s="78"/>
    </row>
    <row r="97" spans="1:20" s="20" customFormat="1" x14ac:dyDescent="0.2">
      <c r="A97" s="18" t="s">
        <v>82</v>
      </c>
      <c r="B97" s="2">
        <f>+'s1'!M97*0.0098</f>
        <v>0</v>
      </c>
      <c r="C97" s="2">
        <f>+'s1'!N97*0.0098</f>
        <v>0</v>
      </c>
      <c r="D97" s="2">
        <f>+'s1'!O97*0.0098</f>
        <v>2048.73</v>
      </c>
      <c r="E97" s="2">
        <f>+'s1'!P97*0.0098</f>
        <v>0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0</v>
      </c>
      <c r="J97" s="2">
        <f>+'s1'!U97*0.0098</f>
        <v>0</v>
      </c>
      <c r="K97" s="2">
        <f>+'s1'!V97*0.0098</f>
        <v>0</v>
      </c>
      <c r="L97" s="2">
        <f>+'s1'!W97*0.0098</f>
        <v>-0.54</v>
      </c>
      <c r="M97" s="2">
        <f>+'s1'!X97*0.0098</f>
        <v>0</v>
      </c>
      <c r="N97" s="2">
        <f>+'s1'!Y97*0.0098</f>
        <v>0</v>
      </c>
      <c r="O97" s="2">
        <f>+'s1'!Z97*0.0098</f>
        <v>0</v>
      </c>
      <c r="P97" s="2">
        <f>+'s1'!AA97*0.0098</f>
        <v>0</v>
      </c>
      <c r="Q97" s="2">
        <f>+'s1'!AB97*0.0098</f>
        <v>0</v>
      </c>
      <c r="R97" s="2">
        <f>+'s1'!AC97*0.0098</f>
        <v>0</v>
      </c>
      <c r="S97" s="78">
        <f t="shared" si="4"/>
        <v>2048.19</v>
      </c>
      <c r="T97" s="78"/>
    </row>
    <row r="98" spans="1:20" s="20" customFormat="1" ht="13.5" customHeight="1" x14ac:dyDescent="0.2">
      <c r="A98" s="18" t="s">
        <v>356</v>
      </c>
      <c r="B98" s="2">
        <f>+'s1'!M98*0.0098</f>
        <v>0</v>
      </c>
      <c r="C98" s="2">
        <f>+'s1'!N98*0.0098</f>
        <v>0</v>
      </c>
      <c r="D98" s="2">
        <f>+'s1'!O98*0.0098</f>
        <v>1227.51</v>
      </c>
      <c r="E98" s="2">
        <f>+'s1'!P98*0.0098</f>
        <v>0</v>
      </c>
      <c r="F98" s="2">
        <f>+'s1'!Q98*0.0098</f>
        <v>0</v>
      </c>
      <c r="G98" s="2">
        <f>+'s1'!R98*0.0098</f>
        <v>0</v>
      </c>
      <c r="H98" s="2">
        <f>+'s1'!S98*0.0098</f>
        <v>0</v>
      </c>
      <c r="I98" s="2">
        <f>+'s1'!T98*0.0098</f>
        <v>0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664.33</v>
      </c>
      <c r="P98" s="2">
        <f>+'s1'!AA98*0.0098</f>
        <v>0</v>
      </c>
      <c r="Q98" s="2">
        <f>+'s1'!AB98*0.0098</f>
        <v>1844.77</v>
      </c>
      <c r="R98" s="2">
        <f>+'s1'!AC98*0.0098</f>
        <v>0</v>
      </c>
      <c r="S98" s="78">
        <f t="shared" si="4"/>
        <v>3736.61</v>
      </c>
      <c r="T98" s="78"/>
    </row>
    <row r="99" spans="1:20" s="20" customFormat="1" x14ac:dyDescent="0.2">
      <c r="A99" s="18" t="s">
        <v>369</v>
      </c>
      <c r="B99" s="2">
        <f>+'s1'!M99*0.0098</f>
        <v>0</v>
      </c>
      <c r="C99" s="2">
        <f>+'s1'!N99*0.0098</f>
        <v>0</v>
      </c>
      <c r="D99" s="2">
        <f>+'s1'!O99*0.0098</f>
        <v>581.41</v>
      </c>
      <c r="E99" s="2">
        <f>+'s1'!P99*0.0098</f>
        <v>1422.47</v>
      </c>
      <c r="F99" s="2">
        <f>+'s1'!Q99*0.0098</f>
        <v>0</v>
      </c>
      <c r="G99" s="2">
        <f>+'s1'!R99*0.0098</f>
        <v>0</v>
      </c>
      <c r="H99" s="2">
        <f>+'s1'!S99*0.0098</f>
        <v>0</v>
      </c>
      <c r="I99" s="2">
        <f>+'s1'!T99*0.0098</f>
        <v>1180.69</v>
      </c>
      <c r="J99" s="2">
        <f>+'s1'!U99*0.0098</f>
        <v>0</v>
      </c>
      <c r="K99" s="2">
        <f>+'s1'!V99*0.0098</f>
        <v>0</v>
      </c>
      <c r="L99" s="2">
        <f>+'s1'!W99*0.0098</f>
        <v>0</v>
      </c>
      <c r="M99" s="2">
        <f>+'s1'!X99*0.0098</f>
        <v>0</v>
      </c>
      <c r="N99" s="2">
        <f>+'s1'!Y99*0.0098</f>
        <v>0</v>
      </c>
      <c r="O99" s="2">
        <f>+'s1'!Z99*0.0098</f>
        <v>0</v>
      </c>
      <c r="P99" s="2">
        <f>+'s1'!AA99*0.0098</f>
        <v>0</v>
      </c>
      <c r="Q99" s="2">
        <f>+'s1'!AB99*0.0098</f>
        <v>3375.64</v>
      </c>
      <c r="R99" s="2">
        <f>+'s1'!AC99*0.0098</f>
        <v>0</v>
      </c>
      <c r="S99" s="78">
        <f t="shared" si="4"/>
        <v>6560.21</v>
      </c>
      <c r="T99" s="78"/>
    </row>
    <row r="100" spans="1:20" s="20" customFormat="1" x14ac:dyDescent="0.2">
      <c r="A100" s="1" t="s">
        <v>67</v>
      </c>
      <c r="B100" s="2">
        <f>+'s1'!M100*0.0098</f>
        <v>0</v>
      </c>
      <c r="C100" s="2">
        <f>+'s1'!N100*0.0098</f>
        <v>437.22</v>
      </c>
      <c r="D100" s="2">
        <f>+'s1'!O100*0.0098</f>
        <v>0</v>
      </c>
      <c r="E100" s="2">
        <f>+'s1'!P100*0.0098</f>
        <v>0</v>
      </c>
      <c r="F100" s="2">
        <f>+'s1'!Q100*0.0098</f>
        <v>0</v>
      </c>
      <c r="G100" s="2">
        <f>+'s1'!R100*0.0098</f>
        <v>0</v>
      </c>
      <c r="H100" s="2">
        <f>+'s1'!S100*0.0098</f>
        <v>0</v>
      </c>
      <c r="I100" s="2">
        <f>+'s1'!T100*0.0098</f>
        <v>0</v>
      </c>
      <c r="J100" s="2">
        <f>+'s1'!U100*0.0098</f>
        <v>0</v>
      </c>
      <c r="K100" s="2">
        <f>+'s1'!V100*0.0098</f>
        <v>0</v>
      </c>
      <c r="L100" s="2">
        <f>+'s1'!W100*0.0098</f>
        <v>536.89</v>
      </c>
      <c r="M100" s="2">
        <f>+'s1'!X100*0.0098</f>
        <v>605.04</v>
      </c>
      <c r="N100" s="2">
        <f>+'s1'!Y100*0.0098</f>
        <v>0</v>
      </c>
      <c r="O100" s="2">
        <f>+'s1'!Z100*0.0098</f>
        <v>0</v>
      </c>
      <c r="P100" s="2">
        <f>+'s1'!AA100*0.0098</f>
        <v>0</v>
      </c>
      <c r="Q100" s="2">
        <f>+'s1'!AB100*0.0098</f>
        <v>442.29</v>
      </c>
      <c r="R100" s="2">
        <f>+'s1'!AC100*0.0098</f>
        <v>0</v>
      </c>
      <c r="S100" s="78">
        <f t="shared" si="4"/>
        <v>2021.44</v>
      </c>
      <c r="T100" s="78"/>
    </row>
    <row r="101" spans="1:20" s="20" customFormat="1" x14ac:dyDescent="0.2">
      <c r="A101" s="18" t="s">
        <v>68</v>
      </c>
      <c r="B101" s="2">
        <f>+'s1'!M101*0.0098</f>
        <v>0</v>
      </c>
      <c r="C101" s="2">
        <f>+'s1'!N101*0.0098</f>
        <v>0</v>
      </c>
      <c r="D101" s="2">
        <f>+'s1'!O101*0.0098</f>
        <v>0</v>
      </c>
      <c r="E101" s="2">
        <f>+'s1'!P101*0.0098</f>
        <v>2.64</v>
      </c>
      <c r="F101" s="2">
        <f>+'s1'!Q101*0.0098</f>
        <v>0</v>
      </c>
      <c r="G101" s="2">
        <f>+'s1'!R101*0.0098</f>
        <v>0</v>
      </c>
      <c r="H101" s="2">
        <f>+'s1'!S101*0.0098</f>
        <v>0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0</v>
      </c>
      <c r="M101" s="2">
        <f>+'s1'!X101*0.0098</f>
        <v>0</v>
      </c>
      <c r="N101" s="2">
        <f>+'s1'!Y101*0.0098</f>
        <v>0</v>
      </c>
      <c r="O101" s="2">
        <f>+'s1'!Z101*0.0098</f>
        <v>0</v>
      </c>
      <c r="P101" s="2">
        <f>+'s1'!AA101*0.0098</f>
        <v>0</v>
      </c>
      <c r="Q101" s="2">
        <f>+'s1'!AB101*0.0098</f>
        <v>1972.28</v>
      </c>
      <c r="R101" s="2">
        <f>+'s1'!AC101*0.0098</f>
        <v>0</v>
      </c>
      <c r="S101" s="78">
        <f t="shared" si="4"/>
        <v>1974.92</v>
      </c>
      <c r="T101" s="18"/>
    </row>
    <row r="102" spans="1:20" x14ac:dyDescent="0.2">
      <c r="A102" s="1" t="s">
        <v>577</v>
      </c>
      <c r="B102" s="2">
        <f>+'s1'!M102*0.0098</f>
        <v>1874.18</v>
      </c>
      <c r="C102" s="2">
        <f>+'s1'!N102*0.0098</f>
        <v>0</v>
      </c>
      <c r="D102" s="2">
        <f>+'s1'!O102*0.0098</f>
        <v>46883.55</v>
      </c>
      <c r="E102" s="2">
        <f>+'s1'!P102*0.0098</f>
        <v>1400.46</v>
      </c>
      <c r="F102" s="2">
        <f>+'s1'!Q102*0.0098</f>
        <v>0</v>
      </c>
      <c r="G102" s="2">
        <f>+'s1'!R102*0.0098</f>
        <v>0</v>
      </c>
      <c r="H102" s="2">
        <f>+'s1'!S102*0.0098</f>
        <v>0</v>
      </c>
      <c r="I102" s="2">
        <f>+'s1'!T102*0.0098</f>
        <v>0</v>
      </c>
      <c r="J102" s="2">
        <f>+'s1'!U102*0.0098</f>
        <v>0</v>
      </c>
      <c r="K102" s="2">
        <f>+'s1'!V102*0.0098</f>
        <v>0</v>
      </c>
      <c r="L102" s="2">
        <f>+'s1'!W102*0.0098</f>
        <v>448.37</v>
      </c>
      <c r="M102" s="2">
        <f>+'s1'!X102*0.0098</f>
        <v>0</v>
      </c>
      <c r="N102" s="2">
        <f>+'s1'!Y102*0.0098</f>
        <v>0</v>
      </c>
      <c r="O102" s="2">
        <f>+'s1'!Z102*0.0098</f>
        <v>0</v>
      </c>
      <c r="P102" s="2">
        <f>+'s1'!AA102*0.0098</f>
        <v>0</v>
      </c>
      <c r="Q102" s="2">
        <f>+'s1'!AB102*0.0098</f>
        <v>15473.65</v>
      </c>
      <c r="R102" s="2">
        <f>+'s1'!AC102*0.0098</f>
        <v>0</v>
      </c>
      <c r="S102" s="2">
        <f>SUM(B102:R102)</f>
        <v>66080.210000000006</v>
      </c>
      <c r="T102" s="2"/>
    </row>
    <row r="103" spans="1:20" s="20" customFormat="1" x14ac:dyDescent="0.2">
      <c r="A103" s="1" t="s">
        <v>724</v>
      </c>
      <c r="B103" s="2">
        <f>+'s1'!M103*0.0098</f>
        <v>0</v>
      </c>
      <c r="C103" s="2">
        <f>+'s1'!N103*0.0098</f>
        <v>0</v>
      </c>
      <c r="D103" s="2">
        <f>+'s1'!O103*0.0098</f>
        <v>145.94</v>
      </c>
      <c r="E103" s="2">
        <f>+'s1'!P103*0.0098</f>
        <v>0</v>
      </c>
      <c r="F103" s="2">
        <f>+'s1'!Q103*0.0098</f>
        <v>0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0</v>
      </c>
      <c r="M103" s="2">
        <f>+'s1'!X103*0.0098</f>
        <v>0</v>
      </c>
      <c r="N103" s="2">
        <f>+'s1'!Y103*0.0098</f>
        <v>0</v>
      </c>
      <c r="O103" s="2">
        <f>+'s1'!Z103*0.0098</f>
        <v>0</v>
      </c>
      <c r="P103" s="2">
        <f>+'s1'!AA103*0.0098</f>
        <v>0</v>
      </c>
      <c r="Q103" s="2">
        <f>+'s1'!AB103*0.0098</f>
        <v>0</v>
      </c>
      <c r="R103" s="2">
        <f>+'s1'!AC103*0.0098</f>
        <v>0</v>
      </c>
      <c r="S103" s="78">
        <f>SUM(B103:R103)</f>
        <v>145.94</v>
      </c>
      <c r="T103" s="78"/>
    </row>
    <row r="104" spans="1:20" s="20" customFormat="1" x14ac:dyDescent="0.2">
      <c r="A104" s="1" t="s">
        <v>444</v>
      </c>
      <c r="B104" s="2">
        <f>+'s1'!M104*0.0098</f>
        <v>0</v>
      </c>
      <c r="C104" s="2">
        <f>+'s1'!N104*0.0098</f>
        <v>0</v>
      </c>
      <c r="D104" s="2">
        <f>+'s1'!O104*0.0098</f>
        <v>744.11</v>
      </c>
      <c r="E104" s="2">
        <f>+'s1'!P104*0.0098</f>
        <v>0</v>
      </c>
      <c r="F104" s="2">
        <f>+'s1'!Q104*0.0098</f>
        <v>0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0</v>
      </c>
      <c r="M104" s="2">
        <f>+'s1'!X104*0.0098</f>
        <v>0</v>
      </c>
      <c r="N104" s="2">
        <f>+'s1'!Y104*0.0098</f>
        <v>0</v>
      </c>
      <c r="O104" s="2">
        <f>+'s1'!Z104*0.0098</f>
        <v>0</v>
      </c>
      <c r="P104" s="2">
        <f>+'s1'!AA104*0.0098</f>
        <v>0</v>
      </c>
      <c r="Q104" s="2">
        <f>+'s1'!AB104*0.0098</f>
        <v>93.75</v>
      </c>
      <c r="R104" s="2">
        <f>+'s1'!AC104*0.0098</f>
        <v>0</v>
      </c>
      <c r="S104" s="78">
        <f>SUM(B104:R104)</f>
        <v>837.86</v>
      </c>
      <c r="T104" s="78"/>
    </row>
    <row r="105" spans="1:20" s="89" customFormat="1" x14ac:dyDescent="0.2">
      <c r="A105" s="1" t="s">
        <v>494</v>
      </c>
      <c r="B105" s="2">
        <f>+'s1'!M105*0.0098</f>
        <v>0</v>
      </c>
      <c r="C105" s="2">
        <f>+'s1'!N105*0.0098</f>
        <v>0</v>
      </c>
      <c r="D105" s="2">
        <f>+'s1'!O105*0.0098</f>
        <v>2.1</v>
      </c>
      <c r="E105" s="2">
        <f>+'s1'!P105*0.0098</f>
        <v>0</v>
      </c>
      <c r="F105" s="2">
        <f>+'s1'!Q105*0.0098</f>
        <v>0</v>
      </c>
      <c r="G105" s="2">
        <f>+'s1'!R105*0.0098</f>
        <v>0</v>
      </c>
      <c r="H105" s="2">
        <f>+'s1'!S105*0.0098</f>
        <v>0</v>
      </c>
      <c r="I105" s="2">
        <f>+'s1'!T105*0.0098</f>
        <v>0</v>
      </c>
      <c r="J105" s="2">
        <f>+'s1'!U105*0.0098</f>
        <v>0</v>
      </c>
      <c r="K105" s="2">
        <f>+'s1'!V105*0.0098</f>
        <v>0</v>
      </c>
      <c r="L105" s="2">
        <f>+'s1'!W105*0.0098</f>
        <v>0</v>
      </c>
      <c r="M105" s="2">
        <f>+'s1'!X105*0.0098</f>
        <v>0</v>
      </c>
      <c r="N105" s="2">
        <f>+'s1'!Y105*0.0098</f>
        <v>0</v>
      </c>
      <c r="O105" s="2">
        <f>+'s1'!Z105*0.0098</f>
        <v>0</v>
      </c>
      <c r="P105" s="2">
        <f>+'s1'!AA105*0.0098</f>
        <v>0</v>
      </c>
      <c r="Q105" s="2">
        <f>+'s1'!AB105*0.0098</f>
        <v>0</v>
      </c>
      <c r="R105" s="2">
        <f>+'s1'!AC105*0.0098</f>
        <v>0</v>
      </c>
      <c r="S105" s="78">
        <f t="shared" ref="S105:S111" si="5">SUM(B105:R105)</f>
        <v>2.1</v>
      </c>
      <c r="T105" s="10"/>
    </row>
    <row r="106" spans="1:20" s="89" customFormat="1" x14ac:dyDescent="0.2">
      <c r="A106" s="1" t="s">
        <v>83</v>
      </c>
      <c r="B106" s="2">
        <f>+'s1'!M106*0.0098</f>
        <v>0</v>
      </c>
      <c r="C106" s="2">
        <f>+'s1'!N106*0.0098</f>
        <v>0</v>
      </c>
      <c r="D106" s="2">
        <f>+'s1'!O106*0.0098</f>
        <v>0</v>
      </c>
      <c r="E106" s="2">
        <f>+'s1'!P106*0.0098</f>
        <v>0</v>
      </c>
      <c r="F106" s="2">
        <f>+'s1'!Q106*0.0098</f>
        <v>9.31</v>
      </c>
      <c r="G106" s="2">
        <f>+'s1'!R106*0.0098</f>
        <v>0</v>
      </c>
      <c r="H106" s="2">
        <f>+'s1'!S106*0.0098</f>
        <v>0</v>
      </c>
      <c r="I106" s="2">
        <f>+'s1'!T106*0.0098</f>
        <v>182.28</v>
      </c>
      <c r="J106" s="2">
        <f>+'s1'!U106*0.0098</f>
        <v>0</v>
      </c>
      <c r="K106" s="2">
        <f>+'s1'!V106*0.0098</f>
        <v>0</v>
      </c>
      <c r="L106" s="2">
        <f>+'s1'!W106*0.0098</f>
        <v>0</v>
      </c>
      <c r="M106" s="2">
        <f>+'s1'!X106*0.0098</f>
        <v>0</v>
      </c>
      <c r="N106" s="2">
        <f>+'s1'!Y106*0.0098</f>
        <v>0</v>
      </c>
      <c r="O106" s="2">
        <f>+'s1'!Z106*0.0098</f>
        <v>0</v>
      </c>
      <c r="P106" s="2">
        <f>+'s1'!AA106*0.0098</f>
        <v>0</v>
      </c>
      <c r="Q106" s="2">
        <f>+'s1'!AB106*0.0098</f>
        <v>0</v>
      </c>
      <c r="R106" s="2">
        <f>+'s1'!AC106*0.0098</f>
        <v>0</v>
      </c>
      <c r="S106" s="78">
        <f t="shared" si="5"/>
        <v>191.59</v>
      </c>
      <c r="T106" s="10"/>
    </row>
    <row r="107" spans="1:20" s="89" customFormat="1" x14ac:dyDescent="0.2">
      <c r="A107" s="18" t="s">
        <v>578</v>
      </c>
      <c r="B107" s="2">
        <f>+'s1'!M107*0.0098</f>
        <v>0</v>
      </c>
      <c r="C107" s="2">
        <f>+'s1'!N107*0.0098</f>
        <v>0</v>
      </c>
      <c r="D107" s="2">
        <f>+'s1'!O107*0.0098</f>
        <v>112.45</v>
      </c>
      <c r="E107" s="2">
        <f>+'s1'!P107*0.0098</f>
        <v>0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0</v>
      </c>
      <c r="J107" s="2">
        <f>+'s1'!U107*0.0098</f>
        <v>0</v>
      </c>
      <c r="K107" s="2">
        <f>+'s1'!V107*0.0098</f>
        <v>0</v>
      </c>
      <c r="L107" s="2">
        <f>+'s1'!W107*0.0098</f>
        <v>0</v>
      </c>
      <c r="M107" s="2">
        <f>+'s1'!X107*0.0098</f>
        <v>0</v>
      </c>
      <c r="N107" s="2">
        <f>+'s1'!Y107*0.0098</f>
        <v>0</v>
      </c>
      <c r="O107" s="2">
        <f>+'s1'!Z107*0.0098</f>
        <v>0</v>
      </c>
      <c r="P107" s="2">
        <f>+'s1'!AA107*0.0098</f>
        <v>0</v>
      </c>
      <c r="Q107" s="2">
        <f>+'s1'!AB107*0.0098</f>
        <v>723.49</v>
      </c>
      <c r="R107" s="2">
        <f>+'s1'!AC107*0.0098</f>
        <v>0</v>
      </c>
      <c r="S107" s="78">
        <f t="shared" si="5"/>
        <v>835.94</v>
      </c>
      <c r="T107" s="10"/>
    </row>
    <row r="108" spans="1:20" s="89" customFormat="1" x14ac:dyDescent="0.2">
      <c r="A108" s="1" t="s">
        <v>771</v>
      </c>
      <c r="B108" s="2">
        <f>+'s1'!M108*0.0098</f>
        <v>0</v>
      </c>
      <c r="C108" s="2">
        <f>+'s1'!N108*0.0098</f>
        <v>0</v>
      </c>
      <c r="D108" s="2">
        <f>+'s1'!O108*0.0098</f>
        <v>0</v>
      </c>
      <c r="E108" s="2">
        <f>+'s1'!P108*0.0098</f>
        <v>0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0</v>
      </c>
      <c r="J108" s="2">
        <f>+'s1'!U108*0.0098</f>
        <v>0</v>
      </c>
      <c r="K108" s="2">
        <f>+'s1'!V108*0.0098</f>
        <v>0</v>
      </c>
      <c r="L108" s="2">
        <f>+'s1'!W108*0.0098</f>
        <v>0</v>
      </c>
      <c r="M108" s="2">
        <f>+'s1'!X108*0.0098</f>
        <v>0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0</v>
      </c>
      <c r="R108" s="2">
        <f>+'s1'!AC108*0.0098</f>
        <v>0</v>
      </c>
      <c r="S108" s="78">
        <f>SUM(B108:R108)</f>
        <v>0</v>
      </c>
      <c r="T108" s="10"/>
    </row>
    <row r="109" spans="1:20" s="89" customFormat="1" x14ac:dyDescent="0.2">
      <c r="A109" s="18" t="s">
        <v>69</v>
      </c>
      <c r="B109" s="2">
        <f>+'s1'!M109*0.0098</f>
        <v>0</v>
      </c>
      <c r="C109" s="2">
        <f>+'s1'!N109*0.0098</f>
        <v>0</v>
      </c>
      <c r="D109" s="2">
        <f>+'s1'!O109*0.0098</f>
        <v>0</v>
      </c>
      <c r="E109" s="2">
        <f>+'s1'!P109*0.0098</f>
        <v>0</v>
      </c>
      <c r="F109" s="2">
        <f>+'s1'!Q109*0.0098</f>
        <v>0</v>
      </c>
      <c r="G109" s="2">
        <f>+'s1'!R109*0.0098</f>
        <v>0</v>
      </c>
      <c r="H109" s="2">
        <f>+'s1'!S109*0.0098</f>
        <v>0</v>
      </c>
      <c r="I109" s="2">
        <f>+'s1'!T109*0.0098</f>
        <v>0</v>
      </c>
      <c r="J109" s="2">
        <f>+'s1'!U109*0.0098</f>
        <v>0</v>
      </c>
      <c r="K109" s="2">
        <f>+'s1'!V109*0.0098</f>
        <v>0</v>
      </c>
      <c r="L109" s="2">
        <f>+'s1'!W109*0.0098</f>
        <v>0</v>
      </c>
      <c r="M109" s="2">
        <f>+'s1'!X109*0.0098</f>
        <v>0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2096.5100000000002</v>
      </c>
      <c r="R109" s="2">
        <f>+'s1'!AC109*0.0098</f>
        <v>0</v>
      </c>
      <c r="S109" s="78">
        <f t="shared" si="5"/>
        <v>2096.5100000000002</v>
      </c>
      <c r="T109" s="10"/>
    </row>
    <row r="110" spans="1:20" s="89" customFormat="1" x14ac:dyDescent="0.2">
      <c r="A110" s="1" t="s">
        <v>70</v>
      </c>
      <c r="B110" s="2">
        <f>+'s1'!M110*0.0098</f>
        <v>0</v>
      </c>
      <c r="C110" s="2">
        <f>+'s1'!N110*0.0098</f>
        <v>0</v>
      </c>
      <c r="D110" s="2">
        <f>+'s1'!O110*0.0098</f>
        <v>0</v>
      </c>
      <c r="E110" s="2">
        <f>+'s1'!P110*0.0098</f>
        <v>0</v>
      </c>
      <c r="F110" s="2">
        <f>+'s1'!Q110*0.0098</f>
        <v>0</v>
      </c>
      <c r="G110" s="2">
        <f>+'s1'!R110*0.0098</f>
        <v>9.85</v>
      </c>
      <c r="H110" s="2">
        <f>+'s1'!S110*0.0098</f>
        <v>0</v>
      </c>
      <c r="I110" s="2">
        <f>+'s1'!T110*0.0098</f>
        <v>0</v>
      </c>
      <c r="J110" s="2">
        <f>+'s1'!U110*0.0098</f>
        <v>0</v>
      </c>
      <c r="K110" s="2">
        <f>+'s1'!V110*0.0098</f>
        <v>0</v>
      </c>
      <c r="L110" s="2">
        <f>+'s1'!W110*0.0098</f>
        <v>0</v>
      </c>
      <c r="M110" s="2">
        <f>+'s1'!X110*0.0098</f>
        <v>691.15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0</v>
      </c>
      <c r="R110" s="2">
        <f>+'s1'!AC110*0.0098</f>
        <v>0</v>
      </c>
      <c r="S110" s="78">
        <f t="shared" si="5"/>
        <v>701</v>
      </c>
      <c r="T110" s="10"/>
    </row>
    <row r="111" spans="1:20" s="89" customFormat="1" x14ac:dyDescent="0.2">
      <c r="A111" s="1" t="s">
        <v>367</v>
      </c>
      <c r="B111" s="2">
        <f>+'s1'!M111*0.0098</f>
        <v>0</v>
      </c>
      <c r="C111" s="2">
        <f>+'s1'!N111*0.0098</f>
        <v>0</v>
      </c>
      <c r="D111" s="2">
        <f>+'s1'!O111*0.0098</f>
        <v>938.81</v>
      </c>
      <c r="E111" s="2">
        <f>+'s1'!P111*0.0098</f>
        <v>0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0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0</v>
      </c>
      <c r="R111" s="2">
        <f>+'s1'!AC111*0.0098</f>
        <v>0</v>
      </c>
      <c r="S111" s="78">
        <f t="shared" si="5"/>
        <v>938.81</v>
      </c>
      <c r="T111" s="10"/>
    </row>
    <row r="112" spans="1:20" ht="24.75" customHeight="1" thickBot="1" x14ac:dyDescent="0.25">
      <c r="A112" s="1" t="s">
        <v>12</v>
      </c>
      <c r="B112" s="36">
        <f t="shared" ref="B112:S112" si="6">SUM(B12:B111)</f>
        <v>29509.599999999999</v>
      </c>
      <c r="C112" s="36">
        <f t="shared" si="6"/>
        <v>6110.24</v>
      </c>
      <c r="D112" s="36">
        <f t="shared" si="6"/>
        <v>585666.74</v>
      </c>
      <c r="E112" s="36">
        <f t="shared" si="6"/>
        <v>18640.650000000001</v>
      </c>
      <c r="F112" s="36">
        <f t="shared" si="6"/>
        <v>20470.04</v>
      </c>
      <c r="G112" s="36">
        <f t="shared" si="6"/>
        <v>302.39999999999998</v>
      </c>
      <c r="H112" s="36">
        <f t="shared" si="6"/>
        <v>1040.03</v>
      </c>
      <c r="I112" s="36">
        <f t="shared" si="6"/>
        <v>10085.209999999999</v>
      </c>
      <c r="J112" s="36">
        <f t="shared" si="6"/>
        <v>2265.04</v>
      </c>
      <c r="K112" s="36">
        <f t="shared" si="6"/>
        <v>2234.2199999999998</v>
      </c>
      <c r="L112" s="36">
        <f t="shared" si="6"/>
        <v>14602</v>
      </c>
      <c r="M112" s="36">
        <f t="shared" si="6"/>
        <v>2443.3000000000002</v>
      </c>
      <c r="N112" s="36">
        <f t="shared" si="6"/>
        <v>18740.310000000001</v>
      </c>
      <c r="O112" s="36">
        <f t="shared" si="6"/>
        <v>2063.5</v>
      </c>
      <c r="P112" s="36">
        <f t="shared" si="6"/>
        <v>250.41</v>
      </c>
      <c r="Q112" s="36">
        <f t="shared" si="6"/>
        <v>148122.4</v>
      </c>
      <c r="R112" s="36">
        <f t="shared" si="6"/>
        <v>3818.29</v>
      </c>
      <c r="S112" s="36">
        <f t="shared" si="6"/>
        <v>866364.38</v>
      </c>
      <c r="T112" s="1"/>
    </row>
    <row r="113" spans="1:20" hidden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</row>
    <row r="114" spans="1:20" hidden="1" x14ac:dyDescent="0.2">
      <c r="B114" s="2"/>
    </row>
    <row r="115" spans="1:20" hidden="1" x14ac:dyDescent="0.2">
      <c r="S115" s="11">
        <f>SUM(B112:R112)</f>
        <v>866364.38</v>
      </c>
      <c r="T115" t="s">
        <v>105</v>
      </c>
    </row>
    <row r="116" spans="1:20" hidden="1" x14ac:dyDescent="0.2"/>
    <row r="117" spans="1:20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179"/>
  <sheetViews>
    <sheetView zoomScale="75" workbookViewId="0">
      <selection activeCell="A5" sqref="A5"/>
    </sheetView>
  </sheetViews>
  <sheetFormatPr defaultRowHeight="12.75" x14ac:dyDescent="0.2"/>
  <cols>
    <col min="1" max="1" width="16.85546875" customWidth="1"/>
    <col min="2" max="2" width="17.42578125" customWidth="1"/>
    <col min="3" max="3" width="17.5703125" customWidth="1"/>
    <col min="4" max="4" width="19" customWidth="1"/>
    <col min="5" max="5" width="14.140625" customWidth="1"/>
    <col min="6" max="6" width="15.42578125" customWidth="1"/>
    <col min="7" max="7" width="13.5703125" customWidth="1"/>
    <col min="8" max="8" width="15.28515625" customWidth="1"/>
    <col min="9" max="9" width="20.140625" hidden="1" customWidth="1"/>
    <col min="10" max="10" width="13.28515625" hidden="1" customWidth="1"/>
    <col min="11" max="11" width="0" hidden="1" customWidth="1"/>
    <col min="12" max="12" width="16.140625" hidden="1" customWidth="1"/>
    <col min="13" max="15" width="13.7109375" hidden="1" customWidth="1"/>
    <col min="16" max="16" width="15.140625" style="264" hidden="1" customWidth="1"/>
    <col min="17" max="17" width="17.28515625" hidden="1" customWidth="1"/>
    <col min="18" max="18" width="13.5703125" hidden="1" customWidth="1"/>
    <col min="19" max="19" width="17.140625" hidden="1" customWidth="1"/>
    <col min="20" max="20" width="14.5703125" hidden="1" customWidth="1"/>
    <col min="21" max="63" width="0" hidden="1" customWidth="1"/>
  </cols>
  <sheetData>
    <row r="1" spans="1:23" ht="15.75" x14ac:dyDescent="0.25">
      <c r="A1" s="63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63" t="s">
        <v>106</v>
      </c>
      <c r="M1" s="63"/>
      <c r="O1" s="1"/>
      <c r="P1" s="262"/>
      <c r="Q1" s="1"/>
      <c r="R1" s="1"/>
      <c r="S1" s="1"/>
      <c r="T1" s="1"/>
      <c r="U1" s="1"/>
      <c r="V1" s="1"/>
      <c r="W1" s="1"/>
    </row>
    <row r="2" spans="1:23" ht="15.75" x14ac:dyDescent="0.25">
      <c r="A2" s="117" t="str">
        <f>ReportMonth</f>
        <v>NOVEMBER 2004</v>
      </c>
      <c r="B2" s="1"/>
      <c r="C2" s="1"/>
      <c r="D2" s="1"/>
      <c r="E2" s="1"/>
      <c r="F2" s="1"/>
      <c r="G2" s="1"/>
      <c r="H2" s="1"/>
      <c r="I2" s="1" t="s">
        <v>107</v>
      </c>
      <c r="J2" s="2">
        <f>ST5.35</f>
        <v>4634074.5999999996</v>
      </c>
      <c r="K2" s="1"/>
      <c r="L2" s="77" t="str">
        <f>ReportMonth</f>
        <v>NOVEMBER 2004</v>
      </c>
      <c r="M2" s="63"/>
      <c r="N2" s="63"/>
      <c r="O2" s="1"/>
      <c r="P2" s="262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19" t="s">
        <v>108</v>
      </c>
      <c r="B3" s="1"/>
      <c r="D3" s="1"/>
      <c r="E3" s="1"/>
      <c r="F3" s="1"/>
      <c r="G3" s="1"/>
      <c r="H3" s="1"/>
      <c r="I3" s="1" t="s">
        <v>109</v>
      </c>
      <c r="J3" s="132">
        <f>LessWP535</f>
        <v>58606.9</v>
      </c>
      <c r="K3" s="1"/>
      <c r="L3" s="119" t="s">
        <v>110</v>
      </c>
      <c r="M3" s="1"/>
      <c r="N3" s="1"/>
      <c r="O3" s="1"/>
      <c r="P3" s="262"/>
      <c r="R3" s="1"/>
      <c r="S3" s="1"/>
      <c r="T3" s="1"/>
      <c r="U3" s="1"/>
      <c r="V3" s="1"/>
      <c r="W3" s="1"/>
    </row>
    <row r="4" spans="1:23" ht="15.75" x14ac:dyDescent="0.25">
      <c r="A4" s="66" t="s">
        <v>111</v>
      </c>
      <c r="B4" s="42"/>
      <c r="C4" s="42"/>
      <c r="D4" s="42"/>
      <c r="E4" s="42"/>
      <c r="F4" s="42"/>
      <c r="G4" s="1"/>
      <c r="H4" s="1"/>
      <c r="I4" s="1" t="s">
        <v>112</v>
      </c>
      <c r="J4" s="12">
        <f>LessAF535</f>
        <v>16174.16</v>
      </c>
      <c r="K4" s="1"/>
      <c r="L4" s="96" t="s">
        <v>113</v>
      </c>
      <c r="M4" s="43"/>
      <c r="N4" s="43"/>
      <c r="O4" s="43"/>
      <c r="P4" s="263"/>
      <c r="Q4" s="43"/>
      <c r="R4" s="43"/>
      <c r="S4" s="43"/>
      <c r="U4" s="1"/>
      <c r="V4" s="1"/>
      <c r="W4" s="1"/>
    </row>
    <row r="5" spans="1:23" x14ac:dyDescent="0.2">
      <c r="G5" s="1"/>
      <c r="H5" s="1"/>
      <c r="I5" s="1" t="s">
        <v>114</v>
      </c>
      <c r="J5" s="2">
        <f>SUM(J2-(J3+J4))</f>
        <v>4559293.54</v>
      </c>
      <c r="K5" s="1"/>
      <c r="L5" s="1"/>
      <c r="T5" s="1"/>
      <c r="U5" s="1"/>
      <c r="V5" s="1"/>
      <c r="W5" s="1"/>
    </row>
    <row r="6" spans="1:23" x14ac:dyDescent="0.2">
      <c r="A6" s="1"/>
      <c r="B6" s="6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262"/>
      <c r="R6" s="1"/>
      <c r="S6" s="1"/>
      <c r="T6" s="1"/>
      <c r="U6" s="1"/>
      <c r="V6" s="1"/>
      <c r="W6" s="1"/>
    </row>
    <row r="7" spans="1:23" x14ac:dyDescent="0.2">
      <c r="A7" s="1"/>
      <c r="B7" s="6"/>
      <c r="C7" s="120" t="s">
        <v>115</v>
      </c>
      <c r="D7" s="120" t="s">
        <v>116</v>
      </c>
      <c r="E7" s="120" t="s">
        <v>117</v>
      </c>
      <c r="F7" s="5" t="s">
        <v>72</v>
      </c>
      <c r="G7" s="1"/>
      <c r="H7" s="1"/>
      <c r="I7" s="1" t="s">
        <v>118</v>
      </c>
      <c r="J7" s="2">
        <f>SUM($J$5*0.327103)+0.03</f>
        <v>1491358.62</v>
      </c>
      <c r="K7" s="1"/>
      <c r="L7" s="1"/>
      <c r="M7" s="1"/>
      <c r="N7" s="1"/>
      <c r="O7" s="1"/>
      <c r="P7" s="265" t="s">
        <v>72</v>
      </c>
      <c r="Q7" s="120" t="s">
        <v>119</v>
      </c>
      <c r="R7" s="120" t="s">
        <v>120</v>
      </c>
      <c r="S7" s="120" t="s">
        <v>121</v>
      </c>
      <c r="T7" s="1"/>
      <c r="U7" s="1"/>
      <c r="V7" s="1"/>
      <c r="W7" s="1"/>
    </row>
    <row r="8" spans="1:23" x14ac:dyDescent="0.2">
      <c r="A8" s="1"/>
      <c r="B8" s="98" t="s">
        <v>122</v>
      </c>
      <c r="C8" s="98" t="s">
        <v>123</v>
      </c>
      <c r="D8" s="98" t="s">
        <v>124</v>
      </c>
      <c r="E8" s="98" t="s">
        <v>125</v>
      </c>
      <c r="F8" s="98" t="s">
        <v>126</v>
      </c>
      <c r="G8" s="1"/>
      <c r="H8" s="1"/>
      <c r="I8" s="1" t="s">
        <v>127</v>
      </c>
      <c r="J8" s="2">
        <f>SUM($J$5*0.233645)</f>
        <v>1065256.1399999999</v>
      </c>
      <c r="K8" s="1"/>
      <c r="L8" s="4"/>
      <c r="M8" s="40" t="s">
        <v>128</v>
      </c>
      <c r="N8" s="40" t="s">
        <v>129</v>
      </c>
      <c r="O8" s="40" t="s">
        <v>130</v>
      </c>
      <c r="P8" s="266" t="s">
        <v>131</v>
      </c>
      <c r="Q8" s="98" t="s">
        <v>132</v>
      </c>
      <c r="R8" s="98" t="s">
        <v>133</v>
      </c>
      <c r="S8" s="98" t="s">
        <v>134</v>
      </c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 t="s">
        <v>135</v>
      </c>
      <c r="J9" s="2">
        <f>SUM($J$5*0.439252)</f>
        <v>2002678.81</v>
      </c>
      <c r="K9" s="1"/>
      <c r="L9" s="1"/>
      <c r="M9" s="1"/>
      <c r="N9" s="1"/>
      <c r="O9" s="1"/>
      <c r="P9" s="262"/>
      <c r="Q9" s="1"/>
      <c r="R9" s="1"/>
      <c r="S9" s="1"/>
      <c r="T9" s="1"/>
      <c r="U9" s="1"/>
      <c r="V9" s="1"/>
      <c r="W9" s="1"/>
    </row>
    <row r="10" spans="1:23" x14ac:dyDescent="0.2">
      <c r="A10" s="1" t="s">
        <v>136</v>
      </c>
      <c r="B10" s="7">
        <f>CA</f>
        <v>3011183</v>
      </c>
      <c r="C10" s="30">
        <f t="shared" ref="C10:C26" si="0">SUM(B10/$B$27)</f>
        <v>3.4042880999999997E-2</v>
      </c>
      <c r="D10" s="2">
        <f t="shared" ref="D10:D26" si="1">SUM($J$7*C10)</f>
        <v>50770.14</v>
      </c>
      <c r="E10" s="2">
        <v>0</v>
      </c>
      <c r="F10" s="2">
        <f t="shared" ref="F10:F26" si="2">SUM(+D10-E10)</f>
        <v>50770.14</v>
      </c>
      <c r="G10" s="1"/>
      <c r="H10" s="1"/>
      <c r="I10" s="1"/>
      <c r="J10" s="1"/>
      <c r="K10" s="14"/>
      <c r="L10" s="1" t="s">
        <v>136</v>
      </c>
      <c r="M10" s="2">
        <f t="shared" ref="M10:M26" si="3">F10</f>
        <v>50770.14</v>
      </c>
      <c r="N10" s="2">
        <f t="shared" ref="N10:N26" si="4">F37</f>
        <v>17943.919999999998</v>
      </c>
      <c r="O10" s="2">
        <f t="shared" ref="O10:O26" si="5">F68</f>
        <v>0</v>
      </c>
      <c r="P10" s="267">
        <f t="shared" ref="P10:P26" si="6">M10+N10+O10</f>
        <v>68714.06</v>
      </c>
      <c r="Q10" s="2">
        <f>NETCAG</f>
        <v>264258.40000000002</v>
      </c>
      <c r="R10" s="2">
        <f>NETCAG1</f>
        <v>29509.599999999999</v>
      </c>
      <c r="S10" s="2">
        <f t="shared" ref="S10:S26" si="7">SUM(P10:R10)</f>
        <v>362482.06</v>
      </c>
      <c r="T10" s="1">
        <f t="shared" ref="T10:T26" si="8">M10+N10+O10+Q10+R10</f>
        <v>362482.06</v>
      </c>
      <c r="U10" s="1"/>
      <c r="V10" s="1"/>
      <c r="W10" s="1"/>
    </row>
    <row r="11" spans="1:23" x14ac:dyDescent="0.2">
      <c r="A11" s="1" t="s">
        <v>137</v>
      </c>
      <c r="B11" s="7">
        <f>CH</f>
        <v>623493</v>
      </c>
      <c r="C11" s="30">
        <f t="shared" si="0"/>
        <v>7.0488900000000004E-3</v>
      </c>
      <c r="D11" s="2">
        <f t="shared" si="1"/>
        <v>10512.42</v>
      </c>
      <c r="E11" s="2">
        <v>313.48</v>
      </c>
      <c r="F11" s="2">
        <f t="shared" si="2"/>
        <v>10198.94</v>
      </c>
      <c r="G11" s="1"/>
      <c r="H11" s="1"/>
      <c r="I11" s="1"/>
      <c r="J11" s="2">
        <f>SUM(J7:J9)</f>
        <v>4559293.57</v>
      </c>
      <c r="K11" s="14"/>
      <c r="L11" s="1" t="s">
        <v>137</v>
      </c>
      <c r="M11" s="2">
        <f t="shared" si="3"/>
        <v>10198.94</v>
      </c>
      <c r="N11" s="2">
        <f t="shared" si="4"/>
        <v>28846.35</v>
      </c>
      <c r="O11" s="2">
        <f t="shared" si="5"/>
        <v>0</v>
      </c>
      <c r="P11" s="267">
        <f t="shared" si="6"/>
        <v>39045.29</v>
      </c>
      <c r="Q11" s="2">
        <f>NETCHG</f>
        <v>53104.92</v>
      </c>
      <c r="R11" s="2">
        <f>NETCHG1</f>
        <v>5931.09</v>
      </c>
      <c r="S11" s="2">
        <f t="shared" si="7"/>
        <v>98081.3</v>
      </c>
      <c r="T11" s="1">
        <f t="shared" si="8"/>
        <v>98081.3</v>
      </c>
      <c r="U11" s="1"/>
      <c r="V11" s="1"/>
      <c r="W11" s="1"/>
    </row>
    <row r="12" spans="1:23" x14ac:dyDescent="0.2">
      <c r="A12" s="1" t="s">
        <v>138</v>
      </c>
      <c r="B12" s="7">
        <f>CL</f>
        <v>59803830</v>
      </c>
      <c r="C12" s="30">
        <f t="shared" si="0"/>
        <v>0.67611124499999997</v>
      </c>
      <c r="D12" s="2">
        <f t="shared" si="1"/>
        <v>1008324.33</v>
      </c>
      <c r="E12" s="2">
        <v>280.29000000000002</v>
      </c>
      <c r="F12" s="2">
        <f t="shared" si="2"/>
        <v>1008044.04</v>
      </c>
      <c r="G12" s="1"/>
      <c r="H12" s="1"/>
      <c r="I12" s="1"/>
      <c r="J12" s="1"/>
      <c r="K12" s="14"/>
      <c r="L12" s="1" t="s">
        <v>138</v>
      </c>
      <c r="M12" s="2">
        <f t="shared" si="3"/>
        <v>1008044.04</v>
      </c>
      <c r="N12" s="2">
        <f t="shared" si="4"/>
        <v>473600.62</v>
      </c>
      <c r="O12" s="2">
        <f t="shared" si="5"/>
        <v>0</v>
      </c>
      <c r="P12" s="267">
        <f t="shared" si="6"/>
        <v>1481644.66</v>
      </c>
      <c r="Q12" s="2">
        <f>NETCLG</f>
        <v>5246610.3899999997</v>
      </c>
      <c r="R12" s="2">
        <f>NETCLG1</f>
        <v>585506.56999999995</v>
      </c>
      <c r="S12" s="2">
        <f t="shared" si="7"/>
        <v>7313761.6200000001</v>
      </c>
      <c r="T12" s="1">
        <f t="shared" si="8"/>
        <v>7313761.6200000001</v>
      </c>
      <c r="U12" s="1"/>
      <c r="V12" s="1"/>
      <c r="W12" s="1"/>
    </row>
    <row r="13" spans="1:23" x14ac:dyDescent="0.2">
      <c r="A13" s="1" t="s">
        <v>139</v>
      </c>
      <c r="B13" s="7">
        <f>DO</f>
        <v>1902105</v>
      </c>
      <c r="C13" s="30">
        <f t="shared" si="0"/>
        <v>2.1504217999999999E-2</v>
      </c>
      <c r="D13" s="2">
        <f t="shared" si="1"/>
        <v>32070.5</v>
      </c>
      <c r="E13" s="2">
        <v>26.73</v>
      </c>
      <c r="F13" s="2">
        <f t="shared" si="2"/>
        <v>32043.77</v>
      </c>
      <c r="G13" s="1"/>
      <c r="H13" s="1"/>
      <c r="I13" s="1"/>
      <c r="J13" s="1"/>
      <c r="K13" s="14"/>
      <c r="L13" s="1" t="s">
        <v>139</v>
      </c>
      <c r="M13" s="2">
        <f t="shared" si="3"/>
        <v>32043.77</v>
      </c>
      <c r="N13" s="2">
        <f t="shared" si="4"/>
        <v>16367.82</v>
      </c>
      <c r="O13" s="2">
        <f t="shared" si="5"/>
        <v>0</v>
      </c>
      <c r="P13" s="267">
        <f t="shared" si="6"/>
        <v>48411.59</v>
      </c>
      <c r="Q13" s="2">
        <f>NETDOG</f>
        <v>74128.58</v>
      </c>
      <c r="R13" s="2">
        <f>NETDOG1</f>
        <v>18625.38</v>
      </c>
      <c r="S13" s="2">
        <f t="shared" si="7"/>
        <v>141165.54999999999</v>
      </c>
      <c r="T13" s="1">
        <f t="shared" si="8"/>
        <v>141165.54999999999</v>
      </c>
      <c r="U13" s="1"/>
      <c r="V13" s="1"/>
      <c r="W13" s="1"/>
    </row>
    <row r="14" spans="1:23" x14ac:dyDescent="0.2">
      <c r="A14" s="1" t="s">
        <v>140</v>
      </c>
      <c r="B14" s="7">
        <f>EL</f>
        <v>2088973</v>
      </c>
      <c r="C14" s="30">
        <f t="shared" si="0"/>
        <v>2.3616851000000001E-2</v>
      </c>
      <c r="D14" s="2">
        <f t="shared" si="1"/>
        <v>35221.19</v>
      </c>
      <c r="E14" s="2">
        <v>387.73</v>
      </c>
      <c r="F14" s="2">
        <f t="shared" si="2"/>
        <v>34833.46</v>
      </c>
      <c r="G14" s="1"/>
      <c r="H14" s="1"/>
      <c r="I14" s="1" t="s">
        <v>672</v>
      </c>
      <c r="J14" s="2">
        <f>+'s1'!I115</f>
        <v>127693.25</v>
      </c>
      <c r="K14" s="14"/>
      <c r="L14" s="1" t="s">
        <v>140</v>
      </c>
      <c r="M14" s="2">
        <f t="shared" si="3"/>
        <v>34833.46</v>
      </c>
      <c r="N14" s="2">
        <f t="shared" si="4"/>
        <v>68002.41</v>
      </c>
      <c r="O14" s="2">
        <f t="shared" si="5"/>
        <v>0</v>
      </c>
      <c r="P14" s="267">
        <f t="shared" si="6"/>
        <v>102835.87</v>
      </c>
      <c r="Q14" s="2">
        <f>NETELG</f>
        <v>80584.479999999996</v>
      </c>
      <c r="R14" s="2">
        <f>NETELG1</f>
        <v>20248.46</v>
      </c>
      <c r="S14" s="2">
        <f t="shared" si="7"/>
        <v>203668.81</v>
      </c>
      <c r="T14" s="1">
        <f t="shared" si="8"/>
        <v>203668.81</v>
      </c>
      <c r="U14" s="1"/>
      <c r="V14" s="1"/>
      <c r="W14" s="1"/>
    </row>
    <row r="15" spans="1:23" x14ac:dyDescent="0.2">
      <c r="A15" s="1" t="s">
        <v>141</v>
      </c>
      <c r="B15" s="7">
        <f>ES</f>
        <v>30857</v>
      </c>
      <c r="C15" s="30">
        <f t="shared" si="0"/>
        <v>3.4885299999999999E-4</v>
      </c>
      <c r="D15" s="2">
        <f t="shared" si="1"/>
        <v>520.26</v>
      </c>
      <c r="E15" s="2">
        <v>0</v>
      </c>
      <c r="F15" s="2">
        <f t="shared" si="2"/>
        <v>520.26</v>
      </c>
      <c r="G15" s="1"/>
      <c r="H15" s="1"/>
      <c r="I15" s="5" t="s">
        <v>673</v>
      </c>
      <c r="J15" s="14">
        <v>2.7400000000000001E-2</v>
      </c>
      <c r="K15" s="14"/>
      <c r="L15" s="1" t="s">
        <v>141</v>
      </c>
      <c r="M15" s="2">
        <f t="shared" si="3"/>
        <v>520.26</v>
      </c>
      <c r="N15" s="2">
        <f t="shared" si="4"/>
        <v>15829.05</v>
      </c>
      <c r="O15" s="2">
        <f t="shared" si="5"/>
        <v>0</v>
      </c>
      <c r="P15" s="267">
        <f t="shared" si="6"/>
        <v>16349.31</v>
      </c>
      <c r="Q15" s="2">
        <f>NETESG</f>
        <v>1203.55</v>
      </c>
      <c r="R15" s="2">
        <f>NETESG1</f>
        <v>302.39999999999998</v>
      </c>
      <c r="S15" s="2">
        <f t="shared" si="7"/>
        <v>17855.259999999998</v>
      </c>
      <c r="T15" s="1">
        <f t="shared" si="8"/>
        <v>17855.259999999998</v>
      </c>
      <c r="U15" s="1"/>
      <c r="V15" s="1"/>
      <c r="W15" s="1"/>
    </row>
    <row r="16" spans="1:23" x14ac:dyDescent="0.2">
      <c r="A16" s="1" t="s">
        <v>142</v>
      </c>
      <c r="B16" s="7">
        <f>EU</f>
        <v>106126</v>
      </c>
      <c r="C16" s="30">
        <f t="shared" si="0"/>
        <v>1.1998060000000001E-3</v>
      </c>
      <c r="D16" s="2">
        <f t="shared" si="1"/>
        <v>1789.34</v>
      </c>
      <c r="E16" s="2">
        <v>135.49</v>
      </c>
      <c r="F16" s="2">
        <f t="shared" si="2"/>
        <v>1653.85</v>
      </c>
      <c r="G16" s="1"/>
      <c r="H16" s="1"/>
      <c r="I16" s="1" t="s">
        <v>674</v>
      </c>
      <c r="J16" s="1"/>
      <c r="K16" s="14"/>
      <c r="L16" s="1" t="s">
        <v>142</v>
      </c>
      <c r="M16" s="2">
        <f t="shared" si="3"/>
        <v>1653.85</v>
      </c>
      <c r="N16" s="2">
        <f t="shared" si="4"/>
        <v>20202.86</v>
      </c>
      <c r="O16" s="2">
        <f t="shared" si="5"/>
        <v>0</v>
      </c>
      <c r="P16" s="267">
        <f t="shared" si="6"/>
        <v>21856.71</v>
      </c>
      <c r="Q16" s="2">
        <f>NETEUG</f>
        <v>3829.66</v>
      </c>
      <c r="R16" s="2">
        <f>NETEUG1</f>
        <v>962.61</v>
      </c>
      <c r="S16" s="2">
        <f t="shared" si="7"/>
        <v>26648.98</v>
      </c>
      <c r="T16" s="1">
        <f t="shared" si="8"/>
        <v>26648.98</v>
      </c>
      <c r="U16" s="1"/>
      <c r="V16" s="1"/>
      <c r="W16" s="1"/>
    </row>
    <row r="17" spans="1:20" x14ac:dyDescent="0.2">
      <c r="A17" s="1" t="s">
        <v>143</v>
      </c>
      <c r="B17" s="7">
        <f>HU</f>
        <v>1029103</v>
      </c>
      <c r="C17" s="30">
        <f t="shared" si="0"/>
        <v>1.1634508E-2</v>
      </c>
      <c r="D17" s="2">
        <f t="shared" si="1"/>
        <v>17351.22</v>
      </c>
      <c r="E17" s="2">
        <v>274.62</v>
      </c>
      <c r="F17" s="2">
        <f t="shared" si="2"/>
        <v>17076.599999999999</v>
      </c>
      <c r="G17" s="1"/>
      <c r="H17" s="1"/>
      <c r="I17" s="5" t="s">
        <v>675</v>
      </c>
      <c r="J17" s="220">
        <f>+R107</f>
        <v>14560.23</v>
      </c>
      <c r="K17" s="14"/>
      <c r="L17" s="1" t="s">
        <v>143</v>
      </c>
      <c r="M17" s="2">
        <f t="shared" si="3"/>
        <v>17076.599999999999</v>
      </c>
      <c r="N17" s="2">
        <f t="shared" si="4"/>
        <v>40822.269999999997</v>
      </c>
      <c r="O17" s="2">
        <f t="shared" si="5"/>
        <v>0</v>
      </c>
      <c r="P17" s="267">
        <f t="shared" si="6"/>
        <v>57898.87</v>
      </c>
      <c r="Q17" s="2">
        <f>NETHUG</f>
        <v>88900.71</v>
      </c>
      <c r="R17" s="2">
        <f>NETHUG1</f>
        <v>9928.2800000000007</v>
      </c>
      <c r="S17" s="2">
        <f t="shared" si="7"/>
        <v>156727.85999999999</v>
      </c>
      <c r="T17" s="1">
        <f t="shared" si="8"/>
        <v>156727.85999999999</v>
      </c>
    </row>
    <row r="18" spans="1:20" x14ac:dyDescent="0.2">
      <c r="A18" s="1" t="s">
        <v>144</v>
      </c>
      <c r="B18" s="7">
        <f>LA</f>
        <v>231126</v>
      </c>
      <c r="C18" s="30">
        <f t="shared" si="0"/>
        <v>2.6129909999999998E-3</v>
      </c>
      <c r="D18" s="2">
        <f t="shared" si="1"/>
        <v>3896.91</v>
      </c>
      <c r="E18" s="2">
        <v>52.51</v>
      </c>
      <c r="F18" s="2">
        <f t="shared" si="2"/>
        <v>3844.4</v>
      </c>
      <c r="G18" s="1"/>
      <c r="H18" s="1"/>
      <c r="I18" s="24" t="s">
        <v>676</v>
      </c>
      <c r="J18" s="220">
        <f>+R108</f>
        <v>10378.040000000001</v>
      </c>
      <c r="K18" s="14"/>
      <c r="L18" s="1" t="s">
        <v>144</v>
      </c>
      <c r="M18" s="2">
        <f t="shared" si="3"/>
        <v>3844.4</v>
      </c>
      <c r="N18" s="2">
        <f t="shared" si="4"/>
        <v>25826.34</v>
      </c>
      <c r="O18" s="2">
        <f t="shared" si="5"/>
        <v>0</v>
      </c>
      <c r="P18" s="267">
        <f t="shared" si="6"/>
        <v>29670.74</v>
      </c>
      <c r="Q18" s="2">
        <f>NETLAG</f>
        <v>20013.32</v>
      </c>
      <c r="R18" s="2">
        <f>NETLAG1</f>
        <v>2235.0300000000002</v>
      </c>
      <c r="S18" s="2">
        <f t="shared" si="7"/>
        <v>51919.09</v>
      </c>
      <c r="T18" s="1">
        <f t="shared" si="8"/>
        <v>51919.09</v>
      </c>
    </row>
    <row r="19" spans="1:20" x14ac:dyDescent="0.2">
      <c r="A19" s="1" t="s">
        <v>145</v>
      </c>
      <c r="B19" s="7">
        <f>LI</f>
        <v>227982</v>
      </c>
      <c r="C19" s="30">
        <f t="shared" si="0"/>
        <v>2.5774470000000001E-3</v>
      </c>
      <c r="D19" s="2">
        <f t="shared" si="1"/>
        <v>3843.9</v>
      </c>
      <c r="E19" s="2">
        <v>0</v>
      </c>
      <c r="F19" s="2">
        <f t="shared" si="2"/>
        <v>3843.9</v>
      </c>
      <c r="G19" s="1"/>
      <c r="H19" s="1"/>
      <c r="I19" s="5" t="s">
        <v>677</v>
      </c>
      <c r="J19" s="220">
        <f>+R109</f>
        <v>19547.89</v>
      </c>
      <c r="K19" s="14"/>
      <c r="L19" s="1" t="s">
        <v>145</v>
      </c>
      <c r="M19" s="2">
        <f t="shared" si="3"/>
        <v>3843.9</v>
      </c>
      <c r="N19" s="2">
        <f t="shared" si="4"/>
        <v>44987.81</v>
      </c>
      <c r="O19" s="2">
        <f t="shared" si="5"/>
        <v>0</v>
      </c>
      <c r="P19" s="267">
        <f t="shared" si="6"/>
        <v>48831.71</v>
      </c>
      <c r="Q19" s="2">
        <f>NETLIG</f>
        <v>8892.2199999999993</v>
      </c>
      <c r="R19" s="2">
        <f>NETLIG1</f>
        <v>2234.2199999999998</v>
      </c>
      <c r="S19" s="2">
        <f t="shared" si="7"/>
        <v>59958.15</v>
      </c>
      <c r="T19" s="1">
        <f t="shared" si="8"/>
        <v>59958.15</v>
      </c>
    </row>
    <row r="20" spans="1:20" x14ac:dyDescent="0.2">
      <c r="A20" s="1" t="s">
        <v>146</v>
      </c>
      <c r="B20" s="7">
        <f>LY</f>
        <v>1490001</v>
      </c>
      <c r="C20" s="30">
        <f t="shared" si="0"/>
        <v>1.6845183E-2</v>
      </c>
      <c r="D20" s="2">
        <f>SUM($J$7*C20)+0.02</f>
        <v>25122.23</v>
      </c>
      <c r="E20" s="2">
        <v>33.57</v>
      </c>
      <c r="F20" s="2">
        <f t="shared" si="2"/>
        <v>25088.66</v>
      </c>
      <c r="G20" s="1"/>
      <c r="H20" s="1"/>
      <c r="I20" s="355" t="s">
        <v>678</v>
      </c>
      <c r="J20" s="218">
        <f>+R110</f>
        <v>44486.16</v>
      </c>
      <c r="K20" s="14"/>
      <c r="L20" s="1" t="s">
        <v>146</v>
      </c>
      <c r="M20" s="2">
        <f t="shared" si="3"/>
        <v>25088.66</v>
      </c>
      <c r="N20" s="2">
        <f t="shared" si="4"/>
        <v>20123.689999999999</v>
      </c>
      <c r="O20" s="2">
        <f t="shared" si="5"/>
        <v>0</v>
      </c>
      <c r="P20" s="267">
        <f t="shared" si="6"/>
        <v>45212.35</v>
      </c>
      <c r="Q20" s="2">
        <f>NETLYG</f>
        <v>130588.4</v>
      </c>
      <c r="R20" s="2">
        <f>NETLYG1</f>
        <v>14582.82</v>
      </c>
      <c r="S20" s="2">
        <f t="shared" si="7"/>
        <v>190383.57</v>
      </c>
      <c r="T20" s="1">
        <f t="shared" si="8"/>
        <v>190383.57</v>
      </c>
    </row>
    <row r="21" spans="1:20" x14ac:dyDescent="0.2">
      <c r="A21" s="1" t="s">
        <v>147</v>
      </c>
      <c r="B21" s="7">
        <f>MI</f>
        <v>249317</v>
      </c>
      <c r="C21" s="30">
        <f t="shared" si="0"/>
        <v>2.8186489999999999E-3</v>
      </c>
      <c r="D21" s="2">
        <f t="shared" si="1"/>
        <v>4203.62</v>
      </c>
      <c r="E21" s="2">
        <v>612.84</v>
      </c>
      <c r="F21" s="2">
        <f t="shared" si="2"/>
        <v>3590.78</v>
      </c>
      <c r="G21" s="1"/>
      <c r="H21" s="1"/>
      <c r="I21" s="356" t="s">
        <v>679</v>
      </c>
      <c r="J21" s="220">
        <f>+R111-S113</f>
        <v>74873.679999999993</v>
      </c>
      <c r="K21" s="14"/>
      <c r="L21" s="1" t="s">
        <v>147</v>
      </c>
      <c r="M21" s="2">
        <f t="shared" si="3"/>
        <v>3590.78</v>
      </c>
      <c r="N21" s="2">
        <f t="shared" si="4"/>
        <v>14579.38</v>
      </c>
      <c r="O21" s="2">
        <f t="shared" si="5"/>
        <v>0</v>
      </c>
      <c r="P21" s="267">
        <f t="shared" si="6"/>
        <v>18170.16</v>
      </c>
      <c r="Q21" s="2">
        <f>NETMIG</f>
        <v>18728.060000000001</v>
      </c>
      <c r="R21" s="2">
        <f>NETMIG1</f>
        <v>2093.11</v>
      </c>
      <c r="S21" s="2">
        <f t="shared" si="7"/>
        <v>38991.33</v>
      </c>
      <c r="T21" s="1">
        <f t="shared" si="8"/>
        <v>38991.33</v>
      </c>
    </row>
    <row r="22" spans="1:20" x14ac:dyDescent="0.2">
      <c r="A22" s="1" t="s">
        <v>148</v>
      </c>
      <c r="B22" s="7">
        <f>NY</f>
        <v>1912276</v>
      </c>
      <c r="C22" s="30">
        <f t="shared" si="0"/>
        <v>2.1619205999999998E-2</v>
      </c>
      <c r="D22" s="2">
        <f t="shared" si="1"/>
        <v>32241.99</v>
      </c>
      <c r="E22" s="2">
        <v>157.80000000000001</v>
      </c>
      <c r="F22" s="2">
        <f t="shared" si="2"/>
        <v>32084.19</v>
      </c>
      <c r="G22" s="1"/>
      <c r="H22" s="1"/>
      <c r="I22" s="24" t="s">
        <v>680</v>
      </c>
      <c r="J22" s="220">
        <f>+R112</f>
        <v>8333.41</v>
      </c>
      <c r="K22" s="14"/>
      <c r="L22" s="1" t="s">
        <v>148</v>
      </c>
      <c r="M22" s="2">
        <f t="shared" si="3"/>
        <v>32084.19</v>
      </c>
      <c r="N22" s="2">
        <f t="shared" si="4"/>
        <v>70501.73</v>
      </c>
      <c r="O22" s="2">
        <f t="shared" si="5"/>
        <v>0</v>
      </c>
      <c r="P22" s="267">
        <f t="shared" si="6"/>
        <v>102585.92</v>
      </c>
      <c r="Q22" s="2">
        <f>NETNYG</f>
        <v>74225.740000000005</v>
      </c>
      <c r="R22" s="2">
        <f>NETNYG1</f>
        <v>18650.14</v>
      </c>
      <c r="S22" s="2">
        <f t="shared" si="7"/>
        <v>195461.8</v>
      </c>
      <c r="T22" s="1">
        <f t="shared" si="8"/>
        <v>195461.8</v>
      </c>
    </row>
    <row r="23" spans="1:20" x14ac:dyDescent="0.2">
      <c r="A23" s="1" t="s">
        <v>149</v>
      </c>
      <c r="B23" s="7">
        <f>PE</f>
        <v>210562</v>
      </c>
      <c r="C23" s="30">
        <f t="shared" si="0"/>
        <v>2.3805050000000002E-3</v>
      </c>
      <c r="D23" s="2">
        <f t="shared" si="1"/>
        <v>3550.19</v>
      </c>
      <c r="E23" s="2">
        <v>79.58</v>
      </c>
      <c r="F23" s="2">
        <f t="shared" si="2"/>
        <v>3470.61</v>
      </c>
      <c r="G23" s="1"/>
      <c r="H23" s="1"/>
      <c r="I23" s="357" t="s">
        <v>681</v>
      </c>
      <c r="J23" s="218">
        <f>+R113</f>
        <v>127693.25</v>
      </c>
      <c r="K23" s="14"/>
      <c r="L23" s="1" t="s">
        <v>149</v>
      </c>
      <c r="M23" s="2">
        <f t="shared" si="3"/>
        <v>3470.61</v>
      </c>
      <c r="N23" s="2">
        <f t="shared" si="4"/>
        <v>30414.83</v>
      </c>
      <c r="O23" s="2">
        <f t="shared" si="5"/>
        <v>0</v>
      </c>
      <c r="P23" s="267">
        <f t="shared" si="6"/>
        <v>33885.440000000002</v>
      </c>
      <c r="Q23" s="2">
        <f>NETPEG</f>
        <v>18069.47</v>
      </c>
      <c r="R23" s="2">
        <f>NETPEG1</f>
        <v>2018.03</v>
      </c>
      <c r="S23" s="2">
        <f t="shared" si="7"/>
        <v>53972.94</v>
      </c>
      <c r="T23" s="1">
        <f t="shared" si="8"/>
        <v>53972.94</v>
      </c>
    </row>
    <row r="24" spans="1:20" x14ac:dyDescent="0.2">
      <c r="A24" s="1" t="s">
        <v>150</v>
      </c>
      <c r="B24" s="7">
        <f>ST</f>
        <v>25552</v>
      </c>
      <c r="C24" s="30">
        <f t="shared" si="0"/>
        <v>2.8887800000000001E-4</v>
      </c>
      <c r="D24" s="2">
        <f t="shared" si="1"/>
        <v>430.82</v>
      </c>
      <c r="E24" s="2">
        <v>0</v>
      </c>
      <c r="F24" s="2">
        <f t="shared" si="2"/>
        <v>430.82</v>
      </c>
      <c r="G24" s="1"/>
      <c r="H24" s="1"/>
      <c r="I24" s="1"/>
      <c r="J24" s="1"/>
      <c r="K24" s="14"/>
      <c r="L24" s="1" t="s">
        <v>150</v>
      </c>
      <c r="M24" s="2">
        <f t="shared" si="3"/>
        <v>430.82</v>
      </c>
      <c r="N24" s="2">
        <f t="shared" si="4"/>
        <v>2291.0500000000002</v>
      </c>
      <c r="O24" s="2">
        <f t="shared" si="5"/>
        <v>0</v>
      </c>
      <c r="P24" s="267">
        <f t="shared" si="6"/>
        <v>2721.87</v>
      </c>
      <c r="Q24" s="2">
        <f>NETSTG</f>
        <v>996.63</v>
      </c>
      <c r="R24" s="2">
        <f>NETSTG1</f>
        <v>250.41</v>
      </c>
      <c r="S24" s="2">
        <f t="shared" si="7"/>
        <v>3968.91</v>
      </c>
      <c r="T24" s="1">
        <f t="shared" si="8"/>
        <v>3968.91</v>
      </c>
    </row>
    <row r="25" spans="1:20" x14ac:dyDescent="0.2">
      <c r="A25" s="1" t="s">
        <v>151</v>
      </c>
      <c r="B25" s="7">
        <f>WA</f>
        <v>15120539</v>
      </c>
      <c r="C25" s="30">
        <f t="shared" si="0"/>
        <v>0.17094501200000001</v>
      </c>
      <c r="D25" s="2">
        <f>SUM($J$7*C25)-0.01</f>
        <v>254940.31</v>
      </c>
      <c r="E25" s="2">
        <v>185.39</v>
      </c>
      <c r="F25" s="2">
        <f t="shared" si="2"/>
        <v>254754.92</v>
      </c>
      <c r="G25" s="1"/>
      <c r="H25" s="1"/>
      <c r="I25" s="358" t="s">
        <v>682</v>
      </c>
      <c r="J25" s="90">
        <f>+'s1'!I115</f>
        <v>127693.25</v>
      </c>
      <c r="K25" s="14"/>
      <c r="L25" s="1" t="s">
        <v>151</v>
      </c>
      <c r="M25" s="2">
        <f t="shared" si="3"/>
        <v>254754.92</v>
      </c>
      <c r="N25" s="2">
        <f t="shared" si="4"/>
        <v>131021.08</v>
      </c>
      <c r="O25" s="2">
        <f t="shared" si="5"/>
        <v>0</v>
      </c>
      <c r="P25" s="267">
        <f t="shared" si="6"/>
        <v>385776</v>
      </c>
      <c r="Q25" s="2">
        <f>NETWAG</f>
        <v>1325482.73</v>
      </c>
      <c r="R25" s="2">
        <f>NETWAG1</f>
        <v>148016.47</v>
      </c>
      <c r="S25" s="2">
        <f t="shared" si="7"/>
        <v>1859275.2</v>
      </c>
      <c r="T25" s="1">
        <f t="shared" si="8"/>
        <v>1859275.2</v>
      </c>
    </row>
    <row r="26" spans="1:20" x14ac:dyDescent="0.2">
      <c r="A26" s="1" t="s">
        <v>152</v>
      </c>
      <c r="B26" s="7">
        <f>WH</f>
        <v>389623</v>
      </c>
      <c r="C26" s="30">
        <f t="shared" si="0"/>
        <v>4.4048769999999998E-3</v>
      </c>
      <c r="D26" s="2">
        <f t="shared" si="1"/>
        <v>6569.25</v>
      </c>
      <c r="E26" s="2">
        <v>157.91</v>
      </c>
      <c r="F26" s="2">
        <f t="shared" si="2"/>
        <v>6411.34</v>
      </c>
      <c r="G26" s="1"/>
      <c r="H26" s="1"/>
      <c r="J26" s="359">
        <f>+J23-J25</f>
        <v>0</v>
      </c>
      <c r="K26" s="14"/>
      <c r="L26" s="1" t="s">
        <v>152</v>
      </c>
      <c r="M26" s="2">
        <f t="shared" si="3"/>
        <v>6411.34</v>
      </c>
      <c r="N26" s="2">
        <f t="shared" si="4"/>
        <v>41967.8</v>
      </c>
      <c r="O26" s="2">
        <f t="shared" si="5"/>
        <v>0</v>
      </c>
      <c r="P26" s="267">
        <f t="shared" si="6"/>
        <v>48379.14</v>
      </c>
      <c r="Q26" s="2">
        <f>NETWHG</f>
        <v>33380.79</v>
      </c>
      <c r="R26" s="2">
        <f>NETWHG1</f>
        <v>3728.05</v>
      </c>
      <c r="S26" s="2">
        <f t="shared" si="7"/>
        <v>85487.98</v>
      </c>
      <c r="T26" s="1">
        <f t="shared" si="8"/>
        <v>85487.98</v>
      </c>
    </row>
    <row r="27" spans="1:20" ht="21.75" customHeight="1" thickBot="1" x14ac:dyDescent="0.25">
      <c r="A27" s="1" t="s">
        <v>12</v>
      </c>
      <c r="B27" s="34">
        <f>SUM(B10:B26)</f>
        <v>88452648</v>
      </c>
      <c r="C27" s="41">
        <f>ROUND(B27/B$27,4)</f>
        <v>1</v>
      </c>
      <c r="D27" s="133">
        <f>SUM(D10:D26)</f>
        <v>1491358.62</v>
      </c>
      <c r="E27" s="133">
        <f>SUM(E10:E26)</f>
        <v>2697.94</v>
      </c>
      <c r="F27" s="133">
        <f>SUM(F10:F26)</f>
        <v>1488660.68</v>
      </c>
      <c r="G27" s="1"/>
      <c r="H27" s="1"/>
      <c r="I27" s="1"/>
      <c r="J27" s="1"/>
      <c r="K27" s="14"/>
      <c r="L27" s="1" t="s">
        <v>12</v>
      </c>
      <c r="M27" s="133">
        <f t="shared" ref="M27:S27" si="9">SUM(M10:M26)</f>
        <v>1488660.68</v>
      </c>
      <c r="N27" s="133">
        <f t="shared" si="9"/>
        <v>1063329.01</v>
      </c>
      <c r="O27" s="133">
        <f t="shared" si="9"/>
        <v>0</v>
      </c>
      <c r="P27" s="268">
        <f t="shared" si="9"/>
        <v>2551989.69</v>
      </c>
      <c r="Q27" s="133">
        <f t="shared" si="9"/>
        <v>7442998.0499999998</v>
      </c>
      <c r="R27" s="133">
        <f t="shared" si="9"/>
        <v>864822.67</v>
      </c>
      <c r="S27" s="133">
        <f t="shared" si="9"/>
        <v>10859810.41</v>
      </c>
      <c r="T27" s="1"/>
    </row>
    <row r="28" spans="1:20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62"/>
      <c r="Q28" s="1"/>
      <c r="R28" s="1"/>
      <c r="S28" s="9"/>
      <c r="T28" s="1"/>
    </row>
    <row r="29" spans="1:20" hidden="1" x14ac:dyDescent="0.2">
      <c r="A29" s="1"/>
      <c r="B29" s="7">
        <f>TOTGAL</f>
        <v>88449494</v>
      </c>
      <c r="C29" s="1"/>
      <c r="D29" s="9">
        <f>J7</f>
        <v>1491358.62</v>
      </c>
      <c r="E29" s="1"/>
      <c r="F29" s="1"/>
      <c r="G29" s="1"/>
      <c r="H29" s="1"/>
      <c r="I29" s="1"/>
      <c r="J29" s="1"/>
      <c r="K29" s="1"/>
      <c r="L29" s="1"/>
      <c r="M29" s="2"/>
      <c r="N29" s="2"/>
      <c r="O29" s="9"/>
      <c r="Q29" s="1"/>
      <c r="R29" s="1"/>
      <c r="S29" s="2"/>
      <c r="T29" s="1"/>
    </row>
    <row r="30" spans="1:20" ht="23.25" customHeight="1" x14ac:dyDescent="0.25">
      <c r="A30" s="63" t="s">
        <v>430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69">
        <f>NET5.35</f>
        <v>4551045.57</v>
      </c>
      <c r="Q30" s="1"/>
      <c r="R30" s="1"/>
      <c r="S30" s="2">
        <f>SUM($P$27:$R$27)</f>
        <v>10859810.41</v>
      </c>
      <c r="T30" s="1"/>
    </row>
    <row r="31" spans="1:20" ht="15.75" x14ac:dyDescent="0.25">
      <c r="A31" s="77" t="str">
        <f>ReportMonth</f>
        <v>NOVEMBER 2004</v>
      </c>
      <c r="B31" s="21"/>
      <c r="D31" s="1"/>
      <c r="E31" s="1"/>
      <c r="F31" s="1"/>
      <c r="G31" s="1"/>
      <c r="H31" s="1"/>
      <c r="I31" s="1"/>
      <c r="J31" s="1"/>
      <c r="K31" s="1"/>
      <c r="T31" s="1"/>
    </row>
    <row r="32" spans="1:20" ht="15" x14ac:dyDescent="0.2">
      <c r="A32" s="119" t="s">
        <v>108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20"/>
      <c r="D34" s="97" t="s">
        <v>154</v>
      </c>
      <c r="E34" s="120" t="s">
        <v>117</v>
      </c>
      <c r="F34" s="5" t="s">
        <v>72</v>
      </c>
      <c r="I34" s="1"/>
      <c r="J34" s="1"/>
      <c r="K34" s="1"/>
    </row>
    <row r="35" spans="1:11" x14ac:dyDescent="0.2">
      <c r="A35" s="1"/>
      <c r="B35" s="1"/>
      <c r="C35" s="125"/>
      <c r="D35" s="38" t="s">
        <v>156</v>
      </c>
      <c r="E35" s="98" t="s">
        <v>125</v>
      </c>
      <c r="F35" s="98" t="s">
        <v>157</v>
      </c>
      <c r="I35" s="1"/>
      <c r="J35" s="1"/>
      <c r="K35" s="1"/>
    </row>
    <row r="36" spans="1:11" x14ac:dyDescent="0.2">
      <c r="A36" s="4"/>
      <c r="B36" s="4"/>
      <c r="C36" s="4"/>
      <c r="I36" s="1"/>
      <c r="J36" s="1"/>
      <c r="K36" s="1"/>
    </row>
    <row r="37" spans="1:11" x14ac:dyDescent="0.2">
      <c r="A37" s="1" t="s">
        <v>136</v>
      </c>
      <c r="B37" s="1"/>
      <c r="C37" s="14"/>
      <c r="D37" s="213">
        <f t="shared" ref="D37:D53" si="10">F37+E37</f>
        <v>17982.46</v>
      </c>
      <c r="E37" s="2">
        <v>38.54</v>
      </c>
      <c r="F37" s="152">
        <f>IF(s3b!$C$4&gt;s3b!$C$2,s3b!T25,s3b!I4)</f>
        <v>17943.919999999998</v>
      </c>
      <c r="I37" s="1"/>
      <c r="J37" s="1"/>
      <c r="K37" s="1"/>
    </row>
    <row r="38" spans="1:11" x14ac:dyDescent="0.2">
      <c r="A38" s="1" t="s">
        <v>137</v>
      </c>
      <c r="B38" s="1"/>
      <c r="C38" s="14"/>
      <c r="D38" s="213">
        <f t="shared" si="10"/>
        <v>28879.11</v>
      </c>
      <c r="E38" s="2">
        <v>32.76</v>
      </c>
      <c r="F38" s="152">
        <f>IF(s3b!$C$4&gt;s3b!$C$2,s3b!T26,s3b!I5)</f>
        <v>28846.35</v>
      </c>
      <c r="I38" s="1"/>
      <c r="J38" s="1"/>
      <c r="K38" s="1"/>
    </row>
    <row r="39" spans="1:11" x14ac:dyDescent="0.2">
      <c r="A39" s="1" t="s">
        <v>138</v>
      </c>
      <c r="B39" s="1"/>
      <c r="C39" s="14"/>
      <c r="D39" s="213">
        <f t="shared" si="10"/>
        <v>474654.75</v>
      </c>
      <c r="E39" s="2">
        <v>1054.1300000000001</v>
      </c>
      <c r="F39" s="152">
        <f>IF(s3b!$C$4&gt;s3b!$C$2,s3b!T27,s3b!I6)</f>
        <v>473600.62</v>
      </c>
      <c r="I39" s="1"/>
      <c r="J39" s="1"/>
      <c r="K39" s="9"/>
    </row>
    <row r="40" spans="1:11" x14ac:dyDescent="0.2">
      <c r="A40" s="1" t="s">
        <v>139</v>
      </c>
      <c r="B40" s="1"/>
      <c r="C40" s="14"/>
      <c r="D40" s="213">
        <f t="shared" si="10"/>
        <v>16400.580000000002</v>
      </c>
      <c r="E40" s="2">
        <v>32.76</v>
      </c>
      <c r="F40" s="152">
        <f>IF(s3b!$C$4&gt;s3b!$C$2,s3b!T28,s3b!I7)</f>
        <v>16367.82</v>
      </c>
      <c r="I40" s="1"/>
      <c r="J40" s="1"/>
      <c r="K40" s="2"/>
    </row>
    <row r="41" spans="1:11" x14ac:dyDescent="0.2">
      <c r="A41" s="1" t="s">
        <v>140</v>
      </c>
      <c r="B41" s="1"/>
      <c r="C41" s="14"/>
      <c r="D41" s="213">
        <f t="shared" si="10"/>
        <v>68066</v>
      </c>
      <c r="E41" s="2">
        <v>63.59</v>
      </c>
      <c r="F41" s="152">
        <f>IF(s3b!$C$4&gt;s3b!$C$2,s3b!T29,s3b!I8)</f>
        <v>68002.41</v>
      </c>
      <c r="I41" s="1"/>
      <c r="J41" s="1"/>
      <c r="K41" s="2"/>
    </row>
    <row r="42" spans="1:11" x14ac:dyDescent="0.2">
      <c r="A42" s="1" t="s">
        <v>141</v>
      </c>
      <c r="B42" s="1"/>
      <c r="C42" s="14"/>
      <c r="D42" s="213">
        <f t="shared" si="10"/>
        <v>15844.47</v>
      </c>
      <c r="E42" s="2">
        <v>15.42</v>
      </c>
      <c r="F42" s="152">
        <f>IF(s3b!$C$4&gt;s3b!$C$2,s3b!T30,s3b!I9)</f>
        <v>15829.05</v>
      </c>
      <c r="I42" s="1"/>
      <c r="J42" s="1"/>
      <c r="K42" s="2"/>
    </row>
    <row r="43" spans="1:11" x14ac:dyDescent="0.2">
      <c r="A43" s="1" t="s">
        <v>142</v>
      </c>
      <c r="B43" s="1"/>
      <c r="C43" s="14"/>
      <c r="D43" s="213">
        <f t="shared" si="10"/>
        <v>20233.689999999999</v>
      </c>
      <c r="E43" s="2">
        <v>30.83</v>
      </c>
      <c r="F43" s="152">
        <f>IF(s3b!$C$4&gt;s3b!$C$2,s3b!T31,s3b!I10)</f>
        <v>20202.86</v>
      </c>
      <c r="I43" s="1"/>
      <c r="J43" s="1"/>
      <c r="K43" s="2"/>
    </row>
    <row r="44" spans="1:11" x14ac:dyDescent="0.2">
      <c r="A44" s="1" t="s">
        <v>143</v>
      </c>
      <c r="B44" s="1"/>
      <c r="C44" s="14"/>
      <c r="D44" s="213">
        <f t="shared" si="10"/>
        <v>40862.74</v>
      </c>
      <c r="E44" s="2">
        <v>40.47</v>
      </c>
      <c r="F44" s="152">
        <f>IF(s3b!$C$4&gt;s3b!$C$2,s3b!T32,s3b!I11)</f>
        <v>40822.269999999997</v>
      </c>
      <c r="I44" s="1"/>
      <c r="J44" s="1"/>
      <c r="K44" s="2"/>
    </row>
    <row r="45" spans="1:11" x14ac:dyDescent="0.2">
      <c r="A45" s="1" t="s">
        <v>144</v>
      </c>
      <c r="B45" s="1"/>
      <c r="C45" s="14"/>
      <c r="D45" s="213">
        <f t="shared" si="10"/>
        <v>25866.81</v>
      </c>
      <c r="E45" s="2">
        <v>40.47</v>
      </c>
      <c r="F45" s="152">
        <f>IF(s3b!$C$4&gt;s3b!$C$2,s3b!T33,s3b!I12)</f>
        <v>25826.34</v>
      </c>
      <c r="I45" s="1"/>
      <c r="J45" s="1"/>
      <c r="K45" s="2"/>
    </row>
    <row r="46" spans="1:11" x14ac:dyDescent="0.2">
      <c r="A46" s="1" t="s">
        <v>145</v>
      </c>
      <c r="B46" s="1"/>
      <c r="C46" s="14"/>
      <c r="D46" s="213">
        <f t="shared" si="10"/>
        <v>45049.48</v>
      </c>
      <c r="E46" s="2">
        <v>61.67</v>
      </c>
      <c r="F46" s="152">
        <f>IF(s3b!$C$4&gt;s3b!$C$2,s3b!T34,s3b!I13)</f>
        <v>44987.81</v>
      </c>
      <c r="I46" s="1"/>
      <c r="J46" s="1"/>
      <c r="K46" s="2"/>
    </row>
    <row r="47" spans="1:11" x14ac:dyDescent="0.2">
      <c r="A47" s="1" t="s">
        <v>146</v>
      </c>
      <c r="B47" s="1"/>
      <c r="C47" s="14"/>
      <c r="D47" s="213">
        <f>F47+E47+0.03</f>
        <v>20164.189999999999</v>
      </c>
      <c r="E47" s="2">
        <v>40.47</v>
      </c>
      <c r="F47" s="152">
        <f>IF(s3b!$C$4&gt;s3b!$C$2,s3b!T35,s3b!I14)</f>
        <v>20123.689999999999</v>
      </c>
      <c r="I47" s="1"/>
      <c r="J47" s="1"/>
      <c r="K47" s="2"/>
    </row>
    <row r="48" spans="1:11" x14ac:dyDescent="0.2">
      <c r="A48" s="1" t="s">
        <v>147</v>
      </c>
      <c r="B48" s="1"/>
      <c r="C48" s="14"/>
      <c r="D48" s="213">
        <f t="shared" si="10"/>
        <v>14592.87</v>
      </c>
      <c r="E48" s="2">
        <v>13.49</v>
      </c>
      <c r="F48" s="152">
        <f>IF(s3b!$C$4&gt;s3b!$C$2,s3b!T36,s3b!I15)</f>
        <v>14579.38</v>
      </c>
      <c r="I48" s="1"/>
      <c r="J48" s="1"/>
      <c r="K48" s="2"/>
    </row>
    <row r="49" spans="1:11" x14ac:dyDescent="0.2">
      <c r="A49" s="1" t="s">
        <v>148</v>
      </c>
      <c r="B49" s="1"/>
      <c r="C49" s="14"/>
      <c r="D49" s="213">
        <f t="shared" si="10"/>
        <v>70588.45</v>
      </c>
      <c r="E49" s="2">
        <v>86.72</v>
      </c>
      <c r="F49" s="152">
        <f>IF(s3b!$C$4&gt;s3b!$C$2,s3b!T37,s3b!I16)</f>
        <v>70501.73</v>
      </c>
      <c r="I49" s="1"/>
      <c r="J49" s="1"/>
      <c r="K49" s="2"/>
    </row>
    <row r="50" spans="1:11" x14ac:dyDescent="0.2">
      <c r="A50" s="1" t="s">
        <v>149</v>
      </c>
      <c r="B50" s="1"/>
      <c r="C50" s="14"/>
      <c r="D50" s="213">
        <f t="shared" si="10"/>
        <v>30478.42</v>
      </c>
      <c r="E50" s="2">
        <v>63.59</v>
      </c>
      <c r="F50" s="152">
        <f>IF(s3b!$C$4&gt;s3b!$C$2,s3b!T38,s3b!I17)</f>
        <v>30414.83</v>
      </c>
      <c r="I50" s="1"/>
      <c r="J50" s="1"/>
      <c r="K50" s="2"/>
    </row>
    <row r="51" spans="1:11" x14ac:dyDescent="0.2">
      <c r="A51" s="1" t="s">
        <v>150</v>
      </c>
      <c r="B51" s="1"/>
      <c r="C51" s="14"/>
      <c r="D51" s="213">
        <f t="shared" si="10"/>
        <v>2294.9</v>
      </c>
      <c r="E51" s="2">
        <v>3.85</v>
      </c>
      <c r="F51" s="152">
        <f>IF(s3b!$C$4&gt;s3b!$C$2,s3b!T39,s3b!I18)</f>
        <v>2291.0500000000002</v>
      </c>
      <c r="I51" s="1"/>
      <c r="J51" s="1"/>
      <c r="K51" s="2"/>
    </row>
    <row r="52" spans="1:11" x14ac:dyDescent="0.2">
      <c r="A52" s="1" t="s">
        <v>151</v>
      </c>
      <c r="B52" s="1"/>
      <c r="C52" s="14"/>
      <c r="D52" s="213">
        <f t="shared" si="10"/>
        <v>131288.95000000001</v>
      </c>
      <c r="E52" s="2">
        <v>267.87</v>
      </c>
      <c r="F52" s="152">
        <f>IF(s3b!$C$4&gt;s3b!$C$2,s3b!T40,s3b!I19)</f>
        <v>131021.08</v>
      </c>
      <c r="I52" s="1"/>
      <c r="J52" s="1"/>
      <c r="K52" s="2"/>
    </row>
    <row r="53" spans="1:11" x14ac:dyDescent="0.2">
      <c r="A53" s="1" t="s">
        <v>152</v>
      </c>
      <c r="B53" s="1"/>
      <c r="C53" s="210"/>
      <c r="D53" s="213">
        <f t="shared" si="10"/>
        <v>42008.27</v>
      </c>
      <c r="E53" s="2">
        <v>40.47</v>
      </c>
      <c r="F53" s="152">
        <f>IF(s3b!$C$4&gt;s3b!$C$2,s3b!T41,s3b!I20)</f>
        <v>41967.8</v>
      </c>
      <c r="I53" s="1"/>
      <c r="J53" s="1"/>
      <c r="K53" s="2"/>
    </row>
    <row r="54" spans="1:11" ht="13.5" thickBot="1" x14ac:dyDescent="0.25">
      <c r="A54" s="1" t="s">
        <v>12</v>
      </c>
      <c r="B54" s="1"/>
      <c r="C54" s="210"/>
      <c r="D54" s="133">
        <f>SUM(D37:D53)</f>
        <v>1065256.1399999999</v>
      </c>
      <c r="E54" s="133">
        <f>SUM(E37:E53)</f>
        <v>1927.1</v>
      </c>
      <c r="F54" s="133">
        <f>SUM(F37:F53)</f>
        <v>1063329.01</v>
      </c>
      <c r="I54" s="1"/>
      <c r="J54" s="1"/>
      <c r="K54" s="2"/>
    </row>
    <row r="56" spans="1:11" hidden="1" x14ac:dyDescent="0.2">
      <c r="A56" s="1"/>
      <c r="B56" s="1"/>
      <c r="C56" s="1"/>
      <c r="D56" s="2">
        <f>J8</f>
        <v>1065256.1399999999</v>
      </c>
      <c r="E56" s="1"/>
      <c r="F56" s="1"/>
      <c r="G56" s="1"/>
      <c r="H56" s="1"/>
      <c r="I56" s="1"/>
      <c r="J56" s="1"/>
      <c r="K56" s="9"/>
    </row>
    <row r="57" spans="1:11" hidden="1" x14ac:dyDescent="0.2"/>
    <row r="58" spans="1:11" ht="15.75" hidden="1" x14ac:dyDescent="0.25">
      <c r="A58" s="63" t="s">
        <v>106</v>
      </c>
      <c r="B58" s="63"/>
      <c r="C58" s="63"/>
      <c r="D58" s="1"/>
      <c r="E58" s="1"/>
      <c r="F58" s="1"/>
      <c r="G58" s="1"/>
      <c r="H58" s="1"/>
      <c r="I58" s="1"/>
      <c r="J58" s="1"/>
      <c r="K58" s="1"/>
    </row>
    <row r="59" spans="1:11" ht="15.75" hidden="1" x14ac:dyDescent="0.25">
      <c r="A59" s="77" t="str">
        <f>ReportMonth</f>
        <v>NOVEMBER 2004</v>
      </c>
      <c r="B59" s="63"/>
      <c r="D59" s="1"/>
      <c r="E59" s="1"/>
      <c r="F59" s="1"/>
      <c r="G59" s="1"/>
      <c r="H59" s="1"/>
      <c r="I59" s="1"/>
      <c r="J59" s="1"/>
      <c r="K59" s="1"/>
    </row>
    <row r="60" spans="1:11" ht="15" hidden="1" x14ac:dyDescent="0.2">
      <c r="A60" s="119" t="s">
        <v>158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hidden="1" x14ac:dyDescent="0.25">
      <c r="A61" s="96" t="s">
        <v>423</v>
      </c>
      <c r="B61" s="42"/>
      <c r="C61" s="42"/>
      <c r="D61" s="42"/>
      <c r="E61" s="42"/>
      <c r="F61" s="42"/>
      <c r="G61" s="1"/>
      <c r="H61" s="1"/>
      <c r="I61" s="1"/>
      <c r="J61" s="1"/>
      <c r="K61" s="1"/>
    </row>
    <row r="62" spans="1:11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  <c r="K64" s="1"/>
    </row>
    <row r="65" spans="1:6" hidden="1" x14ac:dyDescent="0.2">
      <c r="A65" s="1"/>
      <c r="B65" s="1"/>
      <c r="C65" s="120"/>
      <c r="D65" s="120" t="s">
        <v>159</v>
      </c>
      <c r="E65" s="120" t="s">
        <v>117</v>
      </c>
      <c r="F65" s="5" t="s">
        <v>72</v>
      </c>
    </row>
    <row r="66" spans="1:6" hidden="1" x14ac:dyDescent="0.2">
      <c r="A66" s="1"/>
      <c r="B66" s="1"/>
      <c r="C66" s="125"/>
      <c r="D66" s="98" t="s">
        <v>124</v>
      </c>
      <c r="E66" s="98" t="s">
        <v>125</v>
      </c>
      <c r="F66" s="98" t="s">
        <v>160</v>
      </c>
    </row>
    <row r="67" spans="1:6" hidden="1" x14ac:dyDescent="0.2"/>
    <row r="68" spans="1:6" hidden="1" x14ac:dyDescent="0.2">
      <c r="A68" s="1" t="s">
        <v>136</v>
      </c>
      <c r="B68" s="1"/>
      <c r="C68" s="14"/>
      <c r="D68" s="2"/>
      <c r="E68" s="2">
        <v>72.459999999999994</v>
      </c>
      <c r="F68" s="2"/>
    </row>
    <row r="69" spans="1:6" hidden="1" x14ac:dyDescent="0.2">
      <c r="A69" s="1" t="s">
        <v>137</v>
      </c>
      <c r="B69" s="1"/>
      <c r="C69" s="14"/>
      <c r="D69" s="2"/>
      <c r="E69" s="2">
        <v>61.59</v>
      </c>
      <c r="F69" s="2"/>
    </row>
    <row r="70" spans="1:6" hidden="1" x14ac:dyDescent="0.2">
      <c r="A70" s="1" t="s">
        <v>138</v>
      </c>
      <c r="B70" s="1"/>
      <c r="C70" s="14"/>
      <c r="D70" s="2"/>
      <c r="E70" s="2">
        <v>1981.76</v>
      </c>
      <c r="F70" s="2"/>
    </row>
    <row r="71" spans="1:6" hidden="1" x14ac:dyDescent="0.2">
      <c r="A71" s="1" t="s">
        <v>139</v>
      </c>
      <c r="B71" s="1"/>
      <c r="C71" s="14"/>
      <c r="D71" s="2"/>
      <c r="E71" s="2">
        <v>61.59</v>
      </c>
      <c r="F71" s="2"/>
    </row>
    <row r="72" spans="1:6" hidden="1" x14ac:dyDescent="0.2">
      <c r="A72" s="1" t="s">
        <v>140</v>
      </c>
      <c r="B72" s="1"/>
      <c r="C72" s="14"/>
      <c r="D72" s="2"/>
      <c r="E72" s="2">
        <v>119.56</v>
      </c>
      <c r="F72" s="2"/>
    </row>
    <row r="73" spans="1:6" hidden="1" x14ac:dyDescent="0.2">
      <c r="A73" s="1" t="s">
        <v>141</v>
      </c>
      <c r="B73" s="1"/>
      <c r="C73" s="14"/>
      <c r="D73" s="2"/>
      <c r="E73" s="2">
        <v>28.98</v>
      </c>
      <c r="F73" s="2"/>
    </row>
    <row r="74" spans="1:6" hidden="1" x14ac:dyDescent="0.2">
      <c r="A74" s="1" t="s">
        <v>142</v>
      </c>
      <c r="B74" s="1"/>
      <c r="C74" s="14"/>
      <c r="D74" s="2"/>
      <c r="E74" s="2">
        <v>57.97</v>
      </c>
      <c r="F74" s="2"/>
    </row>
    <row r="75" spans="1:6" hidden="1" x14ac:dyDescent="0.2">
      <c r="A75" s="1" t="s">
        <v>143</v>
      </c>
      <c r="B75" s="1"/>
      <c r="C75" s="14"/>
      <c r="D75" s="2"/>
      <c r="E75" s="2">
        <v>76.08</v>
      </c>
      <c r="F75" s="2"/>
    </row>
    <row r="76" spans="1:6" hidden="1" x14ac:dyDescent="0.2">
      <c r="A76" s="1" t="s">
        <v>144</v>
      </c>
      <c r="B76" s="1"/>
      <c r="C76" s="14"/>
      <c r="D76" s="2"/>
      <c r="E76" s="2">
        <v>76.08</v>
      </c>
      <c r="F76" s="2"/>
    </row>
    <row r="77" spans="1:6" hidden="1" x14ac:dyDescent="0.2">
      <c r="A77" s="1" t="s">
        <v>145</v>
      </c>
      <c r="B77" s="1"/>
      <c r="C77" s="14"/>
      <c r="D77" s="2"/>
      <c r="E77" s="2">
        <v>115.93</v>
      </c>
      <c r="F77" s="2"/>
    </row>
    <row r="78" spans="1:6" hidden="1" x14ac:dyDescent="0.2">
      <c r="A78" s="1" t="s">
        <v>146</v>
      </c>
      <c r="B78" s="1"/>
      <c r="C78" s="14"/>
      <c r="D78" s="2"/>
      <c r="E78" s="2">
        <v>76.08</v>
      </c>
      <c r="F78" s="2"/>
    </row>
    <row r="79" spans="1:6" hidden="1" x14ac:dyDescent="0.2">
      <c r="A79" s="1" t="s">
        <v>147</v>
      </c>
      <c r="B79" s="1"/>
      <c r="C79" s="14"/>
      <c r="D79" s="2"/>
      <c r="E79" s="2">
        <v>25.36</v>
      </c>
      <c r="F79" s="2"/>
    </row>
    <row r="80" spans="1:6" hidden="1" x14ac:dyDescent="0.2">
      <c r="A80" s="1" t="s">
        <v>148</v>
      </c>
      <c r="B80" s="1"/>
      <c r="C80" s="14"/>
      <c r="D80" s="2"/>
      <c r="E80" s="2">
        <v>163.03</v>
      </c>
      <c r="F80" s="2"/>
    </row>
    <row r="81" spans="1:6" hidden="1" x14ac:dyDescent="0.2">
      <c r="A81" s="1" t="s">
        <v>149</v>
      </c>
      <c r="B81" s="1"/>
      <c r="C81" s="14"/>
      <c r="D81" s="2"/>
      <c r="E81" s="2">
        <v>119.56</v>
      </c>
      <c r="F81" s="2"/>
    </row>
    <row r="82" spans="1:6" hidden="1" x14ac:dyDescent="0.2">
      <c r="A82" s="1" t="s">
        <v>150</v>
      </c>
      <c r="B82" s="1"/>
      <c r="C82" s="14"/>
      <c r="D82" s="2"/>
      <c r="E82" s="2">
        <v>7.25</v>
      </c>
      <c r="F82" s="2"/>
    </row>
    <row r="83" spans="1:6" hidden="1" x14ac:dyDescent="0.2">
      <c r="A83" s="1" t="s">
        <v>151</v>
      </c>
      <c r="B83" s="1"/>
      <c r="C83" s="14"/>
      <c r="D83" s="2"/>
      <c r="E83" s="2">
        <v>503.59</v>
      </c>
      <c r="F83" s="2"/>
    </row>
    <row r="84" spans="1:6" hidden="1" x14ac:dyDescent="0.2">
      <c r="A84" s="1" t="s">
        <v>152</v>
      </c>
      <c r="B84" s="1"/>
      <c r="C84" s="210"/>
      <c r="D84" s="2"/>
      <c r="E84" s="2">
        <v>76.08</v>
      </c>
      <c r="F84" s="2"/>
    </row>
    <row r="85" spans="1:6" ht="13.5" hidden="1" thickBot="1" x14ac:dyDescent="0.25">
      <c r="A85" s="1" t="s">
        <v>12</v>
      </c>
      <c r="B85" s="1"/>
      <c r="C85" s="210"/>
      <c r="D85" s="133">
        <f>SUM(D68:D84)</f>
        <v>0</v>
      </c>
      <c r="E85" s="133">
        <f>SUM(E68:E84)</f>
        <v>3622.95</v>
      </c>
      <c r="F85" s="36">
        <f>SUM(F68:F84)</f>
        <v>0</v>
      </c>
    </row>
    <row r="86" spans="1:6" hidden="1" x14ac:dyDescent="0.2"/>
    <row r="87" spans="1:6" hidden="1" x14ac:dyDescent="0.2">
      <c r="A87" s="1"/>
      <c r="B87" s="1"/>
      <c r="C87" s="1"/>
      <c r="D87" s="9">
        <f>J9</f>
        <v>2002678.81</v>
      </c>
      <c r="E87" s="1"/>
      <c r="F87" s="1"/>
    </row>
    <row r="88" spans="1:6" hidden="1" x14ac:dyDescent="0.2"/>
    <row r="89" spans="1:6" hidden="1" x14ac:dyDescent="0.2"/>
    <row r="90" spans="1:6" hidden="1" x14ac:dyDescent="0.2"/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2:20" hidden="1" x14ac:dyDescent="0.2">
      <c r="L97" s="410" t="s">
        <v>683</v>
      </c>
      <c r="M97" s="410"/>
      <c r="N97" s="410"/>
      <c r="O97" s="410"/>
      <c r="P97" s="410"/>
      <c r="Q97" s="410"/>
      <c r="R97" s="410"/>
      <c r="S97" s="410"/>
    </row>
    <row r="98" spans="12:20" hidden="1" x14ac:dyDescent="0.2">
      <c r="M98" s="1"/>
      <c r="N98" s="1"/>
      <c r="O98" s="1"/>
      <c r="P98" s="265" t="s">
        <v>72</v>
      </c>
      <c r="Q98" s="120" t="s">
        <v>119</v>
      </c>
      <c r="R98" s="120" t="s">
        <v>120</v>
      </c>
      <c r="S98" s="120" t="s">
        <v>121</v>
      </c>
    </row>
    <row r="99" spans="12:20" hidden="1" x14ac:dyDescent="0.2">
      <c r="M99" s="40" t="s">
        <v>128</v>
      </c>
      <c r="N99" s="40" t="s">
        <v>129</v>
      </c>
      <c r="O99" s="40" t="s">
        <v>130</v>
      </c>
      <c r="P99" s="266" t="s">
        <v>131</v>
      </c>
      <c r="Q99" s="98" t="s">
        <v>132</v>
      </c>
      <c r="R99" s="98" t="s">
        <v>133</v>
      </c>
      <c r="S99" s="40" t="s">
        <v>235</v>
      </c>
    </row>
    <row r="100" spans="12:20" hidden="1" x14ac:dyDescent="0.2">
      <c r="L100" s="156" t="s">
        <v>684</v>
      </c>
      <c r="M100" s="221">
        <f>+s3a!J51</f>
        <v>5511.05</v>
      </c>
      <c r="N100" s="221">
        <f>+R108</f>
        <v>10378.040000000001</v>
      </c>
      <c r="O100" s="221">
        <f>+$R$109*s3c!F113</f>
        <v>11192.93</v>
      </c>
      <c r="P100" s="274">
        <f>+M100+N100+O100</f>
        <v>27082.02</v>
      </c>
      <c r="Q100" s="221">
        <f>+R111</f>
        <v>74873.679999999993</v>
      </c>
      <c r="R100" s="221">
        <f>ROUND(+$R$112*s3c!I113,2)</f>
        <v>2212.02</v>
      </c>
      <c r="S100" s="221">
        <f>+P100+Q100+R100</f>
        <v>104167.72</v>
      </c>
    </row>
    <row r="101" spans="12:20" hidden="1" x14ac:dyDescent="0.2">
      <c r="L101" s="156" t="s">
        <v>685</v>
      </c>
      <c r="M101" s="221">
        <f>+s3a!J52</f>
        <v>6747.21</v>
      </c>
      <c r="N101" s="221"/>
      <c r="O101" s="221">
        <f>+$R$109*s3c!F114-0.01</f>
        <v>6015.66</v>
      </c>
      <c r="P101" s="274">
        <f>+M101+N101+O101</f>
        <v>12762.87</v>
      </c>
      <c r="Q101" s="221"/>
      <c r="R101" s="221">
        <f>ROUND(+$R$112*s3c!I114,2)</f>
        <v>4370.12</v>
      </c>
      <c r="S101" s="221">
        <f>+P101+Q101+R101</f>
        <v>17132.990000000002</v>
      </c>
    </row>
    <row r="102" spans="12:20" hidden="1" x14ac:dyDescent="0.2">
      <c r="L102" s="156" t="s">
        <v>686</v>
      </c>
      <c r="M102" s="221">
        <f>+s3a!J53</f>
        <v>2301.9699999999998</v>
      </c>
      <c r="N102" s="221"/>
      <c r="O102" s="221">
        <f>+$R$109*s3c!F115</f>
        <v>2339.3000000000002</v>
      </c>
      <c r="P102" s="274">
        <f>+M102+N102+O102</f>
        <v>4641.2700000000004</v>
      </c>
      <c r="Q102" s="221"/>
      <c r="R102" s="221">
        <f>ROUND(+$R$112*s3c!I115,2)</f>
        <v>1751.27</v>
      </c>
      <c r="S102" s="221">
        <f>+P102+Q102+R102</f>
        <v>6392.54</v>
      </c>
    </row>
    <row r="103" spans="12:20" hidden="1" x14ac:dyDescent="0.2">
      <c r="L103" s="360" t="s">
        <v>687</v>
      </c>
      <c r="M103" s="361">
        <f>+M100+M101+M102</f>
        <v>14560.23</v>
      </c>
      <c r="N103" s="361">
        <f>+N100+N101+N102</f>
        <v>10378.040000000001</v>
      </c>
      <c r="O103" s="361">
        <f>SUM(O100:O102)</f>
        <v>19547.89</v>
      </c>
      <c r="P103" s="362">
        <f>SUM(P100:P102)</f>
        <v>44486.16</v>
      </c>
      <c r="Q103" s="361">
        <f>+Q100+Q101+Q102</f>
        <v>74873.679999999993</v>
      </c>
      <c r="R103" s="361">
        <f>+R100+R101+R102</f>
        <v>8333.41</v>
      </c>
      <c r="S103" s="361">
        <f>+P103+Q103+R103</f>
        <v>127693.25</v>
      </c>
    </row>
    <row r="104" spans="12:20" hidden="1" x14ac:dyDescent="0.2">
      <c r="M104" s="221"/>
      <c r="N104" s="221"/>
      <c r="O104" s="221"/>
      <c r="P104" s="274"/>
      <c r="Q104" s="221"/>
      <c r="R104" s="221"/>
      <c r="S104" s="221">
        <f>+S100+S101+S102</f>
        <v>127693.25</v>
      </c>
      <c r="T104" s="221">
        <f>+S103-S104</f>
        <v>0</v>
      </c>
    </row>
    <row r="105" spans="12:20" hidden="1" x14ac:dyDescent="0.2">
      <c r="P105" s="363"/>
      <c r="Q105" s="283"/>
      <c r="R105" s="283"/>
      <c r="S105" s="283"/>
    </row>
    <row r="106" spans="12:20" hidden="1" x14ac:dyDescent="0.2">
      <c r="L106" t="s">
        <v>688</v>
      </c>
      <c r="M106" t="s">
        <v>605</v>
      </c>
      <c r="N106" t="s">
        <v>673</v>
      </c>
      <c r="O106" t="s">
        <v>689</v>
      </c>
      <c r="P106" s="363" t="s">
        <v>690</v>
      </c>
      <c r="Q106" s="283" t="s">
        <v>691</v>
      </c>
      <c r="R106" s="283" t="s">
        <v>692</v>
      </c>
      <c r="S106" s="283"/>
    </row>
    <row r="107" spans="12:20" hidden="1" x14ac:dyDescent="0.2">
      <c r="L107">
        <v>1.75</v>
      </c>
      <c r="M107" s="1">
        <v>1.7140200000000001E-2</v>
      </c>
      <c r="N107" s="364">
        <v>2.7400000000000001E-2</v>
      </c>
      <c r="O107" s="20">
        <f>ROUND(M107*N107,6)</f>
        <v>4.6999999999999999E-4</v>
      </c>
      <c r="P107" s="365">
        <f>O107/$O$113</f>
        <v>0.114025086</v>
      </c>
      <c r="Q107" s="221">
        <f>+J14</f>
        <v>127693.25</v>
      </c>
      <c r="R107" s="221">
        <f>+$Q$107*P107</f>
        <v>14560.23</v>
      </c>
    </row>
    <row r="108" spans="12:20" hidden="1" x14ac:dyDescent="0.2">
      <c r="L108">
        <v>1.25</v>
      </c>
      <c r="M108">
        <v>1.2243E-2</v>
      </c>
      <c r="N108" s="364">
        <v>2.7400000000000001E-2</v>
      </c>
      <c r="O108" s="20">
        <f>ROUND(M108*N108,6)</f>
        <v>3.3500000000000001E-4</v>
      </c>
      <c r="P108" s="365">
        <f>O108/$O$113</f>
        <v>8.1273199000000004E-2</v>
      </c>
      <c r="Q108" s="221" t="s">
        <v>81</v>
      </c>
      <c r="R108" s="221">
        <f>+$Q$107*P108</f>
        <v>10378.040000000001</v>
      </c>
    </row>
    <row r="109" spans="12:20" hidden="1" x14ac:dyDescent="0.2">
      <c r="L109">
        <v>2.35</v>
      </c>
      <c r="M109" s="1">
        <v>2.30168E-2</v>
      </c>
      <c r="N109" s="364">
        <v>2.7400000000000001E-2</v>
      </c>
      <c r="O109" s="20">
        <f>ROUND(M109*N109,6)</f>
        <v>6.3100000000000005E-4</v>
      </c>
      <c r="P109" s="365">
        <f>O109/$O$113</f>
        <v>0.153084742</v>
      </c>
      <c r="Q109" s="221" t="s">
        <v>81</v>
      </c>
      <c r="R109" s="221">
        <f>+$Q$107*P109</f>
        <v>19547.89</v>
      </c>
      <c r="S109" s="221" t="s">
        <v>81</v>
      </c>
      <c r="T109" s="221" t="str">
        <f>+S109</f>
        <v xml:space="preserve"> </v>
      </c>
    </row>
    <row r="110" spans="12:20" hidden="1" x14ac:dyDescent="0.2">
      <c r="L110" s="357" t="s">
        <v>693</v>
      </c>
      <c r="M110" s="366">
        <f>+M108+M109+M107</f>
        <v>5.2400000000000002E-2</v>
      </c>
      <c r="N110" s="343">
        <v>2.7400000000000001E-2</v>
      </c>
      <c r="O110" s="344">
        <f>ROUND(M110*N110,6)</f>
        <v>1.436E-3</v>
      </c>
      <c r="P110" s="345">
        <f>SUM(P107:P109)</f>
        <v>0.34838302700000001</v>
      </c>
      <c r="Q110" s="219" t="s">
        <v>81</v>
      </c>
      <c r="R110" s="219">
        <f>+R107+R108+R109</f>
        <v>44486.16</v>
      </c>
      <c r="S110" s="221">
        <f>+P103</f>
        <v>44486.16</v>
      </c>
      <c r="T110" s="221">
        <f>+R110-S110</f>
        <v>0</v>
      </c>
    </row>
    <row r="111" spans="12:20" hidden="1" x14ac:dyDescent="0.2">
      <c r="L111">
        <v>0.09</v>
      </c>
      <c r="M111" s="20">
        <v>8.8200000000000001E-2</v>
      </c>
      <c r="N111" s="367">
        <v>2.7400000000000001E-2</v>
      </c>
      <c r="O111" s="20">
        <f>ROUND(M111*N111,6)-0.0000001</f>
        <v>2.4169E-3</v>
      </c>
      <c r="P111" s="365">
        <f>O111/$O$113</f>
        <v>0.58635580700000001</v>
      </c>
      <c r="Q111" s="221" t="s">
        <v>81</v>
      </c>
      <c r="R111" s="221">
        <f>+$Q$107*P111</f>
        <v>74873.679999999993</v>
      </c>
    </row>
    <row r="112" spans="12:20" hidden="1" x14ac:dyDescent="0.2">
      <c r="L112">
        <v>0.01</v>
      </c>
      <c r="M112">
        <v>9.7999999999999997E-3</v>
      </c>
      <c r="N112" s="364">
        <v>2.7400000000000001E-2</v>
      </c>
      <c r="O112" s="20">
        <f>ROUND(M112*N112,6)</f>
        <v>2.6899999999999998E-4</v>
      </c>
      <c r="P112" s="365">
        <f>O112/$O$113</f>
        <v>6.5261165999999995E-2</v>
      </c>
      <c r="Q112" s="221" t="s">
        <v>81</v>
      </c>
      <c r="R112" s="221">
        <f>+$Q$107*P112</f>
        <v>8333.41</v>
      </c>
    </row>
    <row r="113" spans="1:19" hidden="1" x14ac:dyDescent="0.2">
      <c r="L113" s="357" t="s">
        <v>694</v>
      </c>
      <c r="M113" s="366">
        <f>+M110+M111+M112</f>
        <v>0.15040000000000001</v>
      </c>
      <c r="N113" s="368">
        <f>+N112</f>
        <v>2.7400000000000001E-2</v>
      </c>
      <c r="O113" s="369">
        <f>+O111+O112+O110</f>
        <v>4.1219000000000004E-3</v>
      </c>
      <c r="P113" s="345">
        <f>+P110+P111+P112</f>
        <v>1</v>
      </c>
      <c r="Q113" s="219" t="s">
        <v>81</v>
      </c>
      <c r="R113" s="219">
        <f>+R110+R111+R112</f>
        <v>127693.25</v>
      </c>
      <c r="S113" s="221">
        <f>+Q107-R113</f>
        <v>0</v>
      </c>
    </row>
    <row r="114" spans="1:19" hidden="1" x14ac:dyDescent="0.2"/>
    <row r="115" spans="1:19" ht="15.75" x14ac:dyDescent="0.25">
      <c r="A115" s="63" t="s">
        <v>431</v>
      </c>
      <c r="B115" s="63"/>
      <c r="D115" s="1"/>
      <c r="E115" s="262"/>
      <c r="F115" s="1"/>
      <c r="G115" s="1"/>
      <c r="H115" s="1"/>
    </row>
    <row r="116" spans="1:19" ht="15.75" x14ac:dyDescent="0.25">
      <c r="A116" s="77" t="str">
        <f>ReportMonth</f>
        <v>NOVEMBER 2004</v>
      </c>
      <c r="B116" s="63"/>
      <c r="C116" s="63"/>
      <c r="D116" s="1"/>
      <c r="E116" s="262"/>
      <c r="F116" s="1"/>
      <c r="G116" s="1"/>
      <c r="H116" s="1"/>
    </row>
    <row r="117" spans="1:19" ht="15.75" x14ac:dyDescent="0.25">
      <c r="A117" s="96" t="s">
        <v>113</v>
      </c>
      <c r="B117" s="43"/>
      <c r="C117" s="43"/>
      <c r="D117" s="43"/>
      <c r="E117" s="263"/>
      <c r="F117" s="43"/>
      <c r="G117" s="43"/>
      <c r="H117" s="43"/>
    </row>
    <row r="118" spans="1:19" x14ac:dyDescent="0.2">
      <c r="A118" s="1"/>
      <c r="B118" s="1"/>
      <c r="C118" s="1"/>
      <c r="D118" s="1"/>
      <c r="E118" s="265" t="s">
        <v>72</v>
      </c>
      <c r="F118" s="120" t="s">
        <v>119</v>
      </c>
      <c r="G118" s="120" t="s">
        <v>120</v>
      </c>
      <c r="H118" s="120" t="s">
        <v>121</v>
      </c>
    </row>
    <row r="119" spans="1:19" x14ac:dyDescent="0.2">
      <c r="A119" s="4"/>
      <c r="B119" s="40" t="s">
        <v>128</v>
      </c>
      <c r="C119" s="40" t="s">
        <v>129</v>
      </c>
      <c r="D119" s="40" t="s">
        <v>130</v>
      </c>
      <c r="E119" s="266" t="s">
        <v>131</v>
      </c>
      <c r="F119" s="98" t="s">
        <v>132</v>
      </c>
      <c r="G119" s="98" t="s">
        <v>133</v>
      </c>
      <c r="H119" s="40" t="s">
        <v>235</v>
      </c>
    </row>
    <row r="120" spans="1:19" x14ac:dyDescent="0.2">
      <c r="A120" s="1"/>
      <c r="B120" s="2"/>
      <c r="C120" s="1"/>
      <c r="D120" s="1"/>
      <c r="E120" s="262"/>
      <c r="F120" s="1"/>
      <c r="G120" s="1"/>
      <c r="H120" s="1"/>
    </row>
    <row r="121" spans="1:19" x14ac:dyDescent="0.2">
      <c r="A121" s="217" t="s">
        <v>21</v>
      </c>
      <c r="B121" s="218">
        <f>s3a!K8</f>
        <v>50770.14</v>
      </c>
      <c r="C121" s="218">
        <f>F37</f>
        <v>17943.919999999998</v>
      </c>
      <c r="D121" s="218">
        <f>s3c!G76</f>
        <v>33734.519999999997</v>
      </c>
      <c r="E121" s="270">
        <f>SUM(B121:D121)</f>
        <v>102448.58</v>
      </c>
      <c r="F121" s="218">
        <f>Q10</f>
        <v>264258.40000000002</v>
      </c>
      <c r="G121" s="218">
        <f>+s3c!H76</f>
        <v>29509.599999999999</v>
      </c>
      <c r="H121" s="219">
        <f t="shared" ref="H121:H158" si="11">SUM(E121:G121)</f>
        <v>396216.58</v>
      </c>
    </row>
    <row r="122" spans="1:19" x14ac:dyDescent="0.2">
      <c r="A122" s="156" t="s">
        <v>22</v>
      </c>
      <c r="B122" s="220">
        <f>s3a!K9</f>
        <v>7496.22</v>
      </c>
      <c r="C122" s="220">
        <f>F38</f>
        <v>28846.35</v>
      </c>
      <c r="D122" s="220">
        <f>s3c!G77</f>
        <v>47605.72</v>
      </c>
      <c r="E122" s="271">
        <f>SUM(B122:D122)</f>
        <v>83948.29</v>
      </c>
      <c r="F122" s="220">
        <f>Q11</f>
        <v>53104.92</v>
      </c>
      <c r="G122" s="220">
        <f>+s3c!H77</f>
        <v>4023.39</v>
      </c>
      <c r="H122" s="221">
        <f t="shared" si="11"/>
        <v>141076.6</v>
      </c>
    </row>
    <row r="123" spans="1:19" x14ac:dyDescent="0.2">
      <c r="A123" s="196" t="s">
        <v>379</v>
      </c>
      <c r="B123" s="220">
        <f>s3a!K10</f>
        <v>2702.72</v>
      </c>
      <c r="C123" s="220"/>
      <c r="D123" s="220">
        <f>s3c!G78</f>
        <v>6625.42</v>
      </c>
      <c r="E123" s="271">
        <f>SUM(B123:D123)</f>
        <v>9328.14</v>
      </c>
      <c r="F123" s="220"/>
      <c r="G123" s="220">
        <f>+s3c!H78</f>
        <v>1907.7</v>
      </c>
      <c r="H123" s="221">
        <f t="shared" si="11"/>
        <v>11235.84</v>
      </c>
    </row>
    <row r="124" spans="1:19" x14ac:dyDescent="0.2">
      <c r="A124" s="216" t="s">
        <v>432</v>
      </c>
      <c r="B124" s="218">
        <f>SUM(B122:B123)</f>
        <v>10198.94</v>
      </c>
      <c r="C124" s="218">
        <f>C122</f>
        <v>28846.35</v>
      </c>
      <c r="D124" s="218">
        <f>s3c!G79</f>
        <v>54231.14</v>
      </c>
      <c r="E124" s="270">
        <f>SUM(E122:E123)</f>
        <v>93276.43</v>
      </c>
      <c r="F124" s="218">
        <f>Q11</f>
        <v>53104.92</v>
      </c>
      <c r="G124" s="218">
        <f>SUM(G122:G123)</f>
        <v>5931.09</v>
      </c>
      <c r="H124" s="219">
        <f t="shared" si="11"/>
        <v>152312.44</v>
      </c>
    </row>
    <row r="125" spans="1:19" x14ac:dyDescent="0.2">
      <c r="A125" s="156" t="s">
        <v>23</v>
      </c>
      <c r="B125" s="220">
        <f>s3a!K12</f>
        <v>516622.57</v>
      </c>
      <c r="C125" s="220">
        <f>F39</f>
        <v>473600.62</v>
      </c>
      <c r="D125" s="220">
        <f>s3c!G80</f>
        <v>542732.18999999994</v>
      </c>
      <c r="E125" s="271">
        <f t="shared" ref="E125:E130" si="12">SUM(B125:D125)</f>
        <v>1532955.38</v>
      </c>
      <c r="F125" s="220">
        <f>Q12</f>
        <v>5246610.3899999997</v>
      </c>
      <c r="G125" s="220">
        <f>+s3c!H80</f>
        <v>252825.25</v>
      </c>
      <c r="H125" s="221">
        <f t="shared" si="11"/>
        <v>7032391.0199999996</v>
      </c>
    </row>
    <row r="126" spans="1:19" x14ac:dyDescent="0.2">
      <c r="A126" s="156" t="s">
        <v>380</v>
      </c>
      <c r="B126" s="220">
        <f>s3a!K13</f>
        <v>9878.83</v>
      </c>
      <c r="C126" s="220"/>
      <c r="D126" s="220">
        <f>s3c!G81</f>
        <v>12126.8</v>
      </c>
      <c r="E126" s="271">
        <f t="shared" si="12"/>
        <v>22005.63</v>
      </c>
      <c r="F126" s="220"/>
      <c r="G126" s="220">
        <f>+s3c!H81</f>
        <v>5394.86</v>
      </c>
      <c r="H126" s="221">
        <f t="shared" si="11"/>
        <v>27400.49</v>
      </c>
    </row>
    <row r="127" spans="1:19" x14ac:dyDescent="0.2">
      <c r="A127" s="156" t="s">
        <v>381</v>
      </c>
      <c r="B127" s="220">
        <f>s3a!K14</f>
        <v>152113.85</v>
      </c>
      <c r="C127" s="220"/>
      <c r="D127" s="220">
        <f>s3c!G82</f>
        <v>81335.039999999994</v>
      </c>
      <c r="E127" s="271">
        <f t="shared" si="12"/>
        <v>233448.89</v>
      </c>
      <c r="F127" s="220"/>
      <c r="G127" s="220">
        <f>+s3c!H82</f>
        <v>78555.070000000007</v>
      </c>
      <c r="H127" s="221">
        <f t="shared" si="11"/>
        <v>312003.96000000002</v>
      </c>
    </row>
    <row r="128" spans="1:19" x14ac:dyDescent="0.2">
      <c r="A128" s="156" t="s">
        <v>382</v>
      </c>
      <c r="B128" s="220">
        <f>s3a!K15</f>
        <v>255539.16</v>
      </c>
      <c r="C128" s="220"/>
      <c r="D128" s="220">
        <f>s3c!G83</f>
        <v>188072.25</v>
      </c>
      <c r="E128" s="271">
        <f t="shared" si="12"/>
        <v>443611.41</v>
      </c>
      <c r="F128" s="220"/>
      <c r="G128" s="220">
        <f>+s3c!H83</f>
        <v>190966.48</v>
      </c>
      <c r="H128" s="221">
        <f t="shared" si="11"/>
        <v>634577.89</v>
      </c>
    </row>
    <row r="129" spans="1:8" x14ac:dyDescent="0.2">
      <c r="A129" s="156" t="s">
        <v>383</v>
      </c>
      <c r="B129" s="220">
        <f>s3a!K16</f>
        <v>7157.11</v>
      </c>
      <c r="C129" s="220"/>
      <c r="D129" s="220">
        <f>s3c!G84</f>
        <v>5253.17</v>
      </c>
      <c r="E129" s="271">
        <f t="shared" si="12"/>
        <v>12410.28</v>
      </c>
      <c r="F129" s="220"/>
      <c r="G129" s="220">
        <f>+s3c!H84</f>
        <v>5019.55</v>
      </c>
      <c r="H129" s="221">
        <f t="shared" si="11"/>
        <v>17429.830000000002</v>
      </c>
    </row>
    <row r="130" spans="1:8" x14ac:dyDescent="0.2">
      <c r="A130" s="156" t="s">
        <v>384</v>
      </c>
      <c r="B130" s="220">
        <f>s3a!K17</f>
        <v>66732.52</v>
      </c>
      <c r="C130" s="220"/>
      <c r="D130" s="220">
        <f>s3c!G85</f>
        <v>60847.69</v>
      </c>
      <c r="E130" s="271">
        <f t="shared" si="12"/>
        <v>127580.21</v>
      </c>
      <c r="F130" s="220"/>
      <c r="G130" s="220">
        <f>+s3c!H85</f>
        <v>52745.36</v>
      </c>
      <c r="H130" s="221">
        <f t="shared" si="11"/>
        <v>180325.57</v>
      </c>
    </row>
    <row r="131" spans="1:8" x14ac:dyDescent="0.2">
      <c r="A131" s="216" t="s">
        <v>432</v>
      </c>
      <c r="B131" s="218">
        <f>SUM(B125:B130)</f>
        <v>1008044.04</v>
      </c>
      <c r="C131" s="222">
        <f>C125</f>
        <v>473600.62</v>
      </c>
      <c r="D131" s="218">
        <f>s3c!G86</f>
        <v>890367.14</v>
      </c>
      <c r="E131" s="270">
        <f>SUM(E125:E130)</f>
        <v>2372011.7999999998</v>
      </c>
      <c r="F131" s="218">
        <f>Q12</f>
        <v>5246610.3899999997</v>
      </c>
      <c r="G131" s="218">
        <f>SUM(G125:G130)</f>
        <v>585506.56999999995</v>
      </c>
      <c r="H131" s="219">
        <f t="shared" si="11"/>
        <v>8204128.7599999998</v>
      </c>
    </row>
    <row r="132" spans="1:8" x14ac:dyDescent="0.2">
      <c r="A132" s="217" t="s">
        <v>24</v>
      </c>
      <c r="B132" s="218">
        <f>s3a!K19</f>
        <v>32043.77</v>
      </c>
      <c r="C132" s="218">
        <f>F40</f>
        <v>16367.82</v>
      </c>
      <c r="D132" s="218">
        <f>s3c!G87</f>
        <v>30771.47</v>
      </c>
      <c r="E132" s="272">
        <f t="shared" ref="E132:E137" si="13">SUM(B132:D132)</f>
        <v>79183.06</v>
      </c>
      <c r="F132" s="219">
        <f>Q13</f>
        <v>74128.58</v>
      </c>
      <c r="G132" s="218">
        <f>+s3c!H87</f>
        <v>18625.38</v>
      </c>
      <c r="H132" s="219">
        <f t="shared" si="11"/>
        <v>171937.02</v>
      </c>
    </row>
    <row r="133" spans="1:8" x14ac:dyDescent="0.2">
      <c r="A133" s="156" t="s">
        <v>25</v>
      </c>
      <c r="B133" s="220">
        <f>s3a!K20</f>
        <v>19510.22</v>
      </c>
      <c r="C133" s="220">
        <f>F41</f>
        <v>68002.41</v>
      </c>
      <c r="D133" s="220">
        <f>s3c!G88</f>
        <v>99335.19</v>
      </c>
      <c r="E133" s="271">
        <f t="shared" si="13"/>
        <v>186847.82</v>
      </c>
      <c r="F133" s="220">
        <f>Q14</f>
        <v>80584.479999999996</v>
      </c>
      <c r="G133" s="220">
        <f>+s3c!H88</f>
        <v>9416.2800000000007</v>
      </c>
      <c r="H133" s="221">
        <f t="shared" si="11"/>
        <v>276848.58</v>
      </c>
    </row>
    <row r="134" spans="1:8" x14ac:dyDescent="0.2">
      <c r="A134" s="156" t="s">
        <v>385</v>
      </c>
      <c r="B134" s="220">
        <f>s3a!K21</f>
        <v>734.99</v>
      </c>
      <c r="C134" s="220"/>
      <c r="D134" s="220">
        <f>s3c!G89</f>
        <v>2282.02</v>
      </c>
      <c r="E134" s="271">
        <f t="shared" si="13"/>
        <v>3017.01</v>
      </c>
      <c r="F134" s="220"/>
      <c r="G134" s="220">
        <f>+s3c!H89</f>
        <v>904.01</v>
      </c>
      <c r="H134" s="221">
        <f t="shared" si="11"/>
        <v>3921.02</v>
      </c>
    </row>
    <row r="135" spans="1:8" x14ac:dyDescent="0.2">
      <c r="A135" s="156" t="s">
        <v>140</v>
      </c>
      <c r="B135" s="220">
        <f>s3a!K22</f>
        <v>10641.62</v>
      </c>
      <c r="C135" s="220"/>
      <c r="D135" s="220">
        <f>s3c!G90</f>
        <v>20304.27</v>
      </c>
      <c r="E135" s="271">
        <f t="shared" si="13"/>
        <v>30945.89</v>
      </c>
      <c r="F135" s="220"/>
      <c r="G135" s="220">
        <f>+s3c!H90</f>
        <v>7229.41</v>
      </c>
      <c r="H135" s="221">
        <f t="shared" si="11"/>
        <v>38175.300000000003</v>
      </c>
    </row>
    <row r="136" spans="1:8" x14ac:dyDescent="0.2">
      <c r="A136" s="156" t="s">
        <v>386</v>
      </c>
      <c r="B136" s="220">
        <f>s3a!K23</f>
        <v>585.20000000000005</v>
      </c>
      <c r="C136" s="220"/>
      <c r="D136" s="220">
        <f>s3c!G91</f>
        <v>1885.71</v>
      </c>
      <c r="E136" s="271">
        <f t="shared" si="13"/>
        <v>2470.91</v>
      </c>
      <c r="F136" s="220"/>
      <c r="G136" s="220">
        <f>+s3c!H91</f>
        <v>606.95000000000005</v>
      </c>
      <c r="H136" s="221">
        <f t="shared" si="11"/>
        <v>3077.86</v>
      </c>
    </row>
    <row r="137" spans="1:8" x14ac:dyDescent="0.2">
      <c r="A137" s="156" t="s">
        <v>387</v>
      </c>
      <c r="B137" s="220">
        <f>s3a!K24</f>
        <v>3361.43</v>
      </c>
      <c r="C137" s="220"/>
      <c r="D137" s="220">
        <f>s3c!G92</f>
        <v>4037.33</v>
      </c>
      <c r="E137" s="271">
        <f t="shared" si="13"/>
        <v>7398.76</v>
      </c>
      <c r="F137" s="220"/>
      <c r="G137" s="220">
        <f>+s3c!H92</f>
        <v>2091.81</v>
      </c>
      <c r="H137" s="221">
        <f t="shared" si="11"/>
        <v>9490.57</v>
      </c>
    </row>
    <row r="138" spans="1:8" x14ac:dyDescent="0.2">
      <c r="A138" s="216" t="s">
        <v>432</v>
      </c>
      <c r="B138" s="218">
        <f>SUM(B133:B137)</f>
        <v>34833.46</v>
      </c>
      <c r="C138" s="222">
        <f>C133</f>
        <v>68002.41</v>
      </c>
      <c r="D138" s="218">
        <f>s3c!G93</f>
        <v>127844.52</v>
      </c>
      <c r="E138" s="270">
        <f>SUM(E133:E137)</f>
        <v>230680.39</v>
      </c>
      <c r="F138" s="218">
        <f>Q14</f>
        <v>80584.479999999996</v>
      </c>
      <c r="G138" s="218">
        <f>SUM(G133:G137)</f>
        <v>20248.46</v>
      </c>
      <c r="H138" s="219">
        <f t="shared" si="11"/>
        <v>331513.33</v>
      </c>
    </row>
    <row r="139" spans="1:8" x14ac:dyDescent="0.2">
      <c r="A139" s="217" t="s">
        <v>26</v>
      </c>
      <c r="B139" s="218">
        <f>s3a!K26</f>
        <v>520.26</v>
      </c>
      <c r="C139" s="218">
        <f>F42</f>
        <v>15829.05</v>
      </c>
      <c r="D139" s="218">
        <f>s3c!G94</f>
        <v>29758.6</v>
      </c>
      <c r="E139" s="272">
        <f>SUM(B139:D139)</f>
        <v>46107.91</v>
      </c>
      <c r="F139" s="219">
        <f>Q15</f>
        <v>1203.55</v>
      </c>
      <c r="G139" s="218">
        <f>+s3c!H94</f>
        <v>302.39999999999998</v>
      </c>
      <c r="H139" s="219">
        <f t="shared" si="11"/>
        <v>47613.86</v>
      </c>
    </row>
    <row r="140" spans="1:8" x14ac:dyDescent="0.2">
      <c r="A140" s="240" t="s">
        <v>27</v>
      </c>
      <c r="B140" s="241">
        <f>s3a!K27</f>
        <v>1653.85</v>
      </c>
      <c r="C140" s="241">
        <f>F43</f>
        <v>20202.86</v>
      </c>
      <c r="D140" s="241">
        <f>s3c!G95</f>
        <v>37981.370000000003</v>
      </c>
      <c r="E140" s="273">
        <f>SUM(B140:D140)</f>
        <v>59838.080000000002</v>
      </c>
      <c r="F140" s="242">
        <f>Q16</f>
        <v>3829.66</v>
      </c>
      <c r="G140" s="241">
        <f>+s3c!H95</f>
        <v>962.61</v>
      </c>
      <c r="H140" s="242">
        <f t="shared" si="11"/>
        <v>64630.35</v>
      </c>
    </row>
    <row r="141" spans="1:8" x14ac:dyDescent="0.2">
      <c r="A141" s="156" t="s">
        <v>28</v>
      </c>
      <c r="B141" s="220">
        <f>s3a!K28</f>
        <v>13311.21</v>
      </c>
      <c r="C141" s="220">
        <f>F44</f>
        <v>40822.269999999997</v>
      </c>
      <c r="D141" s="220">
        <f>s3c!G96</f>
        <v>64751.26</v>
      </c>
      <c r="E141" s="274">
        <f>SUM(B141:D141)</f>
        <v>118884.74</v>
      </c>
      <c r="F141" s="221">
        <f>Q17</f>
        <v>88900.71</v>
      </c>
      <c r="G141" s="220">
        <f>+s3c!H96</f>
        <v>5536.36</v>
      </c>
      <c r="H141" s="221">
        <f t="shared" si="11"/>
        <v>213321.81</v>
      </c>
    </row>
    <row r="142" spans="1:8" x14ac:dyDescent="0.2">
      <c r="A142" s="156" t="s">
        <v>388</v>
      </c>
      <c r="B142" s="220">
        <f>s3a!K29</f>
        <v>3765.39</v>
      </c>
      <c r="C142" s="221"/>
      <c r="D142" s="220">
        <f>s3c!G97</f>
        <v>11994.61</v>
      </c>
      <c r="E142" s="274">
        <f>SUM(B142:D142)</f>
        <v>15760</v>
      </c>
      <c r="F142" s="221"/>
      <c r="G142" s="220">
        <f>+s3c!H97</f>
        <v>4391.92</v>
      </c>
      <c r="H142" s="221">
        <f t="shared" si="11"/>
        <v>20151.919999999998</v>
      </c>
    </row>
    <row r="143" spans="1:8" x14ac:dyDescent="0.2">
      <c r="A143" s="216" t="s">
        <v>432</v>
      </c>
      <c r="B143" s="218">
        <f>SUM(B141:B142)</f>
        <v>17076.599999999999</v>
      </c>
      <c r="C143" s="222">
        <f>C141</f>
        <v>40822.269999999997</v>
      </c>
      <c r="D143" s="218">
        <f>s3c!G98</f>
        <v>76745.87</v>
      </c>
      <c r="E143" s="270">
        <f>SUM(E141:E142)</f>
        <v>134644.74</v>
      </c>
      <c r="F143" s="218">
        <f>Q17</f>
        <v>88900.71</v>
      </c>
      <c r="G143" s="218">
        <f>SUM(G141:G142)</f>
        <v>9928.2800000000007</v>
      </c>
      <c r="H143" s="219">
        <f t="shared" si="11"/>
        <v>233473.73</v>
      </c>
    </row>
    <row r="144" spans="1:8" x14ac:dyDescent="0.2">
      <c r="A144" s="156" t="s">
        <v>29</v>
      </c>
      <c r="B144" s="220">
        <f>s3a!K31</f>
        <v>3805.96</v>
      </c>
      <c r="C144" s="220">
        <f>F45</f>
        <v>25826.34</v>
      </c>
      <c r="D144" s="220">
        <f>s3c!G99</f>
        <v>48553.51</v>
      </c>
      <c r="E144" s="274">
        <f>SUM(B144:D144)</f>
        <v>78185.81</v>
      </c>
      <c r="F144" s="221">
        <f>Q18</f>
        <v>20013.32</v>
      </c>
      <c r="G144" s="220">
        <f>+s3c!H99</f>
        <v>2235.0300000000002</v>
      </c>
      <c r="H144" s="221">
        <f t="shared" si="11"/>
        <v>100434.16</v>
      </c>
    </row>
    <row r="145" spans="1:8" x14ac:dyDescent="0.2">
      <c r="A145" s="215" t="s">
        <v>389</v>
      </c>
      <c r="B145" s="220">
        <f>s3a!K32</f>
        <v>38.44</v>
      </c>
      <c r="C145" s="221"/>
      <c r="D145" s="221"/>
      <c r="E145" s="274">
        <f>SUM(B145:D145)</f>
        <v>38.44</v>
      </c>
      <c r="F145" s="221"/>
      <c r="G145" s="221"/>
      <c r="H145" s="221">
        <f t="shared" si="11"/>
        <v>38.44</v>
      </c>
    </row>
    <row r="146" spans="1:8" x14ac:dyDescent="0.2">
      <c r="A146" s="216" t="s">
        <v>432</v>
      </c>
      <c r="B146" s="218">
        <f>SUM(B144:B145)</f>
        <v>3844.4</v>
      </c>
      <c r="C146" s="222">
        <f>C144</f>
        <v>25826.34</v>
      </c>
      <c r="D146" s="218">
        <f>s3c!G99</f>
        <v>48553.51</v>
      </c>
      <c r="E146" s="270">
        <f>SUM(E144:E145)</f>
        <v>78224.25</v>
      </c>
      <c r="F146" s="218">
        <f>Q18</f>
        <v>20013.32</v>
      </c>
      <c r="G146" s="218">
        <f>SUM(G144:G145)</f>
        <v>2235.0300000000002</v>
      </c>
      <c r="H146" s="219">
        <f t="shared" si="11"/>
        <v>100472.6</v>
      </c>
    </row>
    <row r="147" spans="1:8" x14ac:dyDescent="0.2">
      <c r="A147" s="156" t="s">
        <v>30</v>
      </c>
      <c r="B147" s="220">
        <f>s3a!K34</f>
        <v>3525.24</v>
      </c>
      <c r="C147" s="220">
        <f>F46</f>
        <v>44987.81</v>
      </c>
      <c r="D147" s="220">
        <f>s3c!G100</f>
        <v>77393.100000000006</v>
      </c>
      <c r="E147" s="274">
        <f>SUM(B147:D147)</f>
        <v>125906.15</v>
      </c>
      <c r="F147" s="221">
        <f>Q19</f>
        <v>8892.2199999999993</v>
      </c>
      <c r="G147" s="220">
        <f>+s3c!H100</f>
        <v>1528.61</v>
      </c>
      <c r="H147" s="221">
        <f t="shared" si="11"/>
        <v>136326.98000000001</v>
      </c>
    </row>
    <row r="148" spans="1:8" x14ac:dyDescent="0.2">
      <c r="A148" s="156" t="s">
        <v>390</v>
      </c>
      <c r="B148" s="220">
        <f>s3a!K35</f>
        <v>318.66000000000003</v>
      </c>
      <c r="C148" s="221"/>
      <c r="D148" s="220">
        <f>s3c!G101</f>
        <v>7183.98</v>
      </c>
      <c r="E148" s="274">
        <f>SUM(B148:D148)</f>
        <v>7502.64</v>
      </c>
      <c r="F148" s="221"/>
      <c r="G148" s="220">
        <f>+s3c!H101</f>
        <v>705.61</v>
      </c>
      <c r="H148" s="221">
        <f t="shared" si="11"/>
        <v>8208.25</v>
      </c>
    </row>
    <row r="149" spans="1:8" x14ac:dyDescent="0.2">
      <c r="A149" s="216" t="s">
        <v>432</v>
      </c>
      <c r="B149" s="218">
        <f>SUM(B147:B148)</f>
        <v>3843.9</v>
      </c>
      <c r="C149" s="222">
        <f>C147</f>
        <v>44987.81</v>
      </c>
      <c r="D149" s="218">
        <f>s3c!G102</f>
        <v>84577.08</v>
      </c>
      <c r="E149" s="270">
        <f>SUM(E147:E148)</f>
        <v>133408.79</v>
      </c>
      <c r="F149" s="218">
        <f>Q19</f>
        <v>8892.2199999999993</v>
      </c>
      <c r="G149" s="218">
        <f>SUM(G147:G148)</f>
        <v>2234.2199999999998</v>
      </c>
      <c r="H149" s="219">
        <f t="shared" si="11"/>
        <v>144535.23000000001</v>
      </c>
    </row>
    <row r="150" spans="1:8" x14ac:dyDescent="0.2">
      <c r="A150" s="156" t="s">
        <v>31</v>
      </c>
      <c r="B150" s="220">
        <f>s3a!K37</f>
        <v>15457.12</v>
      </c>
      <c r="C150" s="220">
        <f>F47</f>
        <v>20123.689999999999</v>
      </c>
      <c r="D150" s="220">
        <f>s3c!G103</f>
        <v>30784.67</v>
      </c>
      <c r="E150" s="274">
        <f>SUM(B150:D150)</f>
        <v>66365.48</v>
      </c>
      <c r="F150" s="221">
        <f>Q20</f>
        <v>130588.4</v>
      </c>
      <c r="G150" s="220">
        <f>+s3c!H103</f>
        <v>9413.56</v>
      </c>
      <c r="H150" s="221">
        <f t="shared" si="11"/>
        <v>206367.44</v>
      </c>
    </row>
    <row r="151" spans="1:8" x14ac:dyDescent="0.2">
      <c r="A151" s="156" t="s">
        <v>391</v>
      </c>
      <c r="B151" s="220">
        <f>s3a!K39</f>
        <v>1159.0999999999999</v>
      </c>
      <c r="C151" s="221"/>
      <c r="D151" s="220">
        <f>s3c!G105</f>
        <v>1829.58</v>
      </c>
      <c r="E151" s="274">
        <f>SUM(B151:D151)</f>
        <v>2988.68</v>
      </c>
      <c r="F151" s="221"/>
      <c r="G151" s="220">
        <f>+s3c!H105</f>
        <v>1026.08</v>
      </c>
      <c r="H151" s="221">
        <f>SUM(E151:G151)</f>
        <v>4014.76</v>
      </c>
    </row>
    <row r="152" spans="1:8" x14ac:dyDescent="0.2">
      <c r="A152" s="156" t="s">
        <v>392</v>
      </c>
      <c r="B152" s="220">
        <f>s3a!K38</f>
        <v>8472.44</v>
      </c>
      <c r="C152" s="221"/>
      <c r="D152" s="220">
        <f>s3c!G104</f>
        <v>5218.2299999999996</v>
      </c>
      <c r="E152" s="274">
        <f>SUM(B152:D152)</f>
        <v>13690.67</v>
      </c>
      <c r="F152" s="221"/>
      <c r="G152" s="220">
        <f>+s3c!H104</f>
        <v>4143.18</v>
      </c>
      <c r="H152" s="221">
        <f>SUM(E152:G152)</f>
        <v>17833.849999999999</v>
      </c>
    </row>
    <row r="153" spans="1:8" x14ac:dyDescent="0.2">
      <c r="A153" s="216" t="s">
        <v>432</v>
      </c>
      <c r="B153" s="218">
        <f>SUM(B150:B152)</f>
        <v>25088.66</v>
      </c>
      <c r="C153" s="222">
        <f>C150</f>
        <v>20123.689999999999</v>
      </c>
      <c r="D153" s="218">
        <f>s3c!G106</f>
        <v>37832.480000000003</v>
      </c>
      <c r="E153" s="270">
        <f>SUM(E150:E152)</f>
        <v>83044.83</v>
      </c>
      <c r="F153" s="218">
        <f>Q20</f>
        <v>130588.4</v>
      </c>
      <c r="G153" s="218">
        <f>SUM(G150:G152)</f>
        <v>14582.82</v>
      </c>
      <c r="H153" s="219">
        <f t="shared" si="11"/>
        <v>228216.05</v>
      </c>
    </row>
    <row r="154" spans="1:8" x14ac:dyDescent="0.2">
      <c r="A154" s="217" t="s">
        <v>32</v>
      </c>
      <c r="B154" s="218">
        <f>s3a!K41</f>
        <v>3590.78</v>
      </c>
      <c r="C154" s="218">
        <f>F48</f>
        <v>14579.38</v>
      </c>
      <c r="D154" s="218">
        <f>s3c!G107</f>
        <v>27409.24</v>
      </c>
      <c r="E154" s="272">
        <f>SUM(B154:D154)</f>
        <v>45579.4</v>
      </c>
      <c r="F154" s="219">
        <f>Q21</f>
        <v>18728.060000000001</v>
      </c>
      <c r="G154" s="218">
        <f>+s3c!H107</f>
        <v>2093.11</v>
      </c>
      <c r="H154" s="219">
        <f t="shared" si="11"/>
        <v>66400.570000000007</v>
      </c>
    </row>
    <row r="155" spans="1:8" x14ac:dyDescent="0.2">
      <c r="A155" s="156" t="s">
        <v>33</v>
      </c>
      <c r="B155" s="220">
        <f>s3a!K42</f>
        <v>5685.32</v>
      </c>
      <c r="C155" s="220">
        <f>F49</f>
        <v>70501.73</v>
      </c>
      <c r="D155" s="220">
        <f>s3c!G108</f>
        <v>132543.25</v>
      </c>
      <c r="E155" s="274">
        <f>SUM(B155:D155)</f>
        <v>208730.3</v>
      </c>
      <c r="F155" s="221">
        <f>Q22</f>
        <v>74225.740000000005</v>
      </c>
      <c r="G155" s="220">
        <f>+s3c!H108</f>
        <v>18650.14</v>
      </c>
      <c r="H155" s="221">
        <f t="shared" si="11"/>
        <v>301606.18</v>
      </c>
    </row>
    <row r="156" spans="1:8" x14ac:dyDescent="0.2">
      <c r="A156" s="215" t="s">
        <v>393</v>
      </c>
      <c r="B156" s="220">
        <f>s3a!K43</f>
        <v>20906.060000000001</v>
      </c>
      <c r="C156" s="221"/>
      <c r="D156" s="221"/>
      <c r="E156" s="274">
        <f>SUM(B156:D156)</f>
        <v>20906.060000000001</v>
      </c>
      <c r="F156" s="221"/>
      <c r="G156" s="221"/>
      <c r="H156" s="221">
        <f t="shared" si="11"/>
        <v>20906.060000000001</v>
      </c>
    </row>
    <row r="157" spans="1:8" x14ac:dyDescent="0.2">
      <c r="A157" s="215" t="s">
        <v>394</v>
      </c>
      <c r="B157" s="220">
        <f>s3a!K44</f>
        <v>4684.29</v>
      </c>
      <c r="C157" s="221"/>
      <c r="D157" s="221"/>
      <c r="E157" s="274">
        <f>SUM(B157:D157)</f>
        <v>4684.29</v>
      </c>
      <c r="F157" s="221"/>
      <c r="G157" s="221"/>
      <c r="H157" s="221">
        <f t="shared" si="11"/>
        <v>4684.29</v>
      </c>
    </row>
    <row r="158" spans="1:8" x14ac:dyDescent="0.2">
      <c r="A158" s="215" t="s">
        <v>395</v>
      </c>
      <c r="B158" s="220">
        <f>s3a!K45</f>
        <v>808.52</v>
      </c>
      <c r="C158" s="221"/>
      <c r="D158" s="221"/>
      <c r="E158" s="274">
        <f>SUM(B158:D158)</f>
        <v>808.52</v>
      </c>
      <c r="F158" s="221"/>
      <c r="G158" s="221"/>
      <c r="H158" s="221">
        <f t="shared" si="11"/>
        <v>808.52</v>
      </c>
    </row>
    <row r="159" spans="1:8" x14ac:dyDescent="0.2">
      <c r="A159" s="216" t="s">
        <v>432</v>
      </c>
      <c r="B159" s="218">
        <f>SUM(B155:B158)</f>
        <v>32084.19</v>
      </c>
      <c r="C159" s="222">
        <f>C155</f>
        <v>70501.73</v>
      </c>
      <c r="D159" s="218">
        <f>s3c!G108</f>
        <v>132543.25</v>
      </c>
      <c r="E159" s="270">
        <f>SUM(E155:E158)</f>
        <v>235129.17</v>
      </c>
      <c r="F159" s="218">
        <f>Q22</f>
        <v>74225.740000000005</v>
      </c>
      <c r="G159" s="218">
        <f>SUM(G155:G158)</f>
        <v>18650.14</v>
      </c>
      <c r="H159" s="219">
        <f t="shared" ref="H159:H167" si="14">SUM(E159:G159)</f>
        <v>328005.05</v>
      </c>
    </row>
    <row r="160" spans="1:8" x14ac:dyDescent="0.2">
      <c r="A160" s="156" t="s">
        <v>34</v>
      </c>
      <c r="B160" s="220">
        <f>s3a!K47</f>
        <v>3069.06</v>
      </c>
      <c r="C160" s="220">
        <f>F50</f>
        <v>30414.83</v>
      </c>
      <c r="D160" s="220">
        <f>s3c!G109</f>
        <v>51185.05</v>
      </c>
      <c r="E160" s="274">
        <f>SUM(B160:D160)</f>
        <v>84668.94</v>
      </c>
      <c r="F160" s="221">
        <f>Q23</f>
        <v>18069.47</v>
      </c>
      <c r="G160" s="220">
        <f>+s3c!H109</f>
        <v>1321.41</v>
      </c>
      <c r="H160" s="221">
        <f t="shared" si="14"/>
        <v>104059.82</v>
      </c>
    </row>
    <row r="161" spans="1:8" x14ac:dyDescent="0.2">
      <c r="A161" s="156" t="s">
        <v>396</v>
      </c>
      <c r="B161" s="220">
        <f>s3a!K48</f>
        <v>401.55</v>
      </c>
      <c r="C161" s="221"/>
      <c r="D161" s="220">
        <f>s3c!G110</f>
        <v>5994.73</v>
      </c>
      <c r="E161" s="274">
        <f>SUM(B161:D161)</f>
        <v>6396.28</v>
      </c>
      <c r="F161" s="221"/>
      <c r="G161" s="220">
        <f>+s3c!H110</f>
        <v>696.62</v>
      </c>
      <c r="H161" s="221">
        <f t="shared" si="14"/>
        <v>7092.9</v>
      </c>
    </row>
    <row r="162" spans="1:8" x14ac:dyDescent="0.2">
      <c r="A162" s="216" t="s">
        <v>432</v>
      </c>
      <c r="B162" s="218">
        <f>SUM(B160:B161)</f>
        <v>3470.61</v>
      </c>
      <c r="C162" s="222">
        <f>C160</f>
        <v>30414.83</v>
      </c>
      <c r="D162" s="218">
        <f>s3c!G111</f>
        <v>57179.78</v>
      </c>
      <c r="E162" s="270">
        <f>SUM(E160:E161)</f>
        <v>91065.22</v>
      </c>
      <c r="F162" s="218">
        <f>Q23</f>
        <v>18069.47</v>
      </c>
      <c r="G162" s="218">
        <f>SUM(G160:G161)</f>
        <v>2018.03</v>
      </c>
      <c r="H162" s="219">
        <f t="shared" si="14"/>
        <v>111152.72</v>
      </c>
    </row>
    <row r="163" spans="1:8" x14ac:dyDescent="0.2">
      <c r="A163" s="217" t="s">
        <v>35</v>
      </c>
      <c r="B163" s="218">
        <f>s3a!K50</f>
        <v>430.82</v>
      </c>
      <c r="C163" s="218">
        <f>F51</f>
        <v>2291.0500000000002</v>
      </c>
      <c r="D163" s="218">
        <f>s3c!G112</f>
        <v>4307.17</v>
      </c>
      <c r="E163" s="272">
        <f>SUM(B163:D163)</f>
        <v>7029.04</v>
      </c>
      <c r="F163" s="219">
        <f>Q24</f>
        <v>996.63</v>
      </c>
      <c r="G163" s="218">
        <f>+s3c!H112</f>
        <v>250.41</v>
      </c>
      <c r="H163" s="219">
        <f t="shared" si="14"/>
        <v>8276.08</v>
      </c>
    </row>
    <row r="164" spans="1:8" x14ac:dyDescent="0.2">
      <c r="A164" s="156" t="s">
        <v>36</v>
      </c>
      <c r="B164" s="220">
        <f>s3a!K51</f>
        <v>96424.74</v>
      </c>
      <c r="C164" s="220">
        <f>F52</f>
        <v>131021.08</v>
      </c>
      <c r="D164" s="220">
        <f>s3c!G113</f>
        <v>141039.96</v>
      </c>
      <c r="E164" s="274">
        <f>SUM(B164:D164)</f>
        <v>368485.78</v>
      </c>
      <c r="F164" s="221">
        <f>Q25</f>
        <v>1325482.73</v>
      </c>
      <c r="G164" s="220">
        <f>+s3c!H113</f>
        <v>39289.49</v>
      </c>
      <c r="H164" s="221">
        <f t="shared" si="14"/>
        <v>1733258</v>
      </c>
    </row>
    <row r="165" spans="1:8" x14ac:dyDescent="0.2">
      <c r="A165" s="156" t="s">
        <v>397</v>
      </c>
      <c r="B165" s="220">
        <f>s3a!K52</f>
        <v>118053.43</v>
      </c>
      <c r="C165" s="221"/>
      <c r="D165" s="220">
        <f>s3c!G114</f>
        <v>75802.3</v>
      </c>
      <c r="E165" s="274">
        <f>SUM(B165:D165)</f>
        <v>193855.73</v>
      </c>
      <c r="F165" s="221"/>
      <c r="G165" s="220">
        <f>+s3c!H114</f>
        <v>77621.320000000007</v>
      </c>
      <c r="H165" s="221">
        <f t="shared" si="14"/>
        <v>271477.05</v>
      </c>
    </row>
    <row r="166" spans="1:8" x14ac:dyDescent="0.2">
      <c r="A166" s="156" t="s">
        <v>398</v>
      </c>
      <c r="B166" s="220">
        <f>s3a!K53</f>
        <v>40276.75</v>
      </c>
      <c r="C166" s="221"/>
      <c r="D166" s="220">
        <f>s3c!G115</f>
        <v>29477.03</v>
      </c>
      <c r="E166" s="274">
        <f>SUM(B166:D166)</f>
        <v>69753.78</v>
      </c>
      <c r="F166" s="221"/>
      <c r="G166" s="220">
        <f>+s3c!H115</f>
        <v>31105.66</v>
      </c>
      <c r="H166" s="221">
        <f t="shared" si="14"/>
        <v>100859.44</v>
      </c>
    </row>
    <row r="167" spans="1:8" x14ac:dyDescent="0.2">
      <c r="A167" s="216" t="s">
        <v>432</v>
      </c>
      <c r="B167" s="218">
        <f>SUM(B164:B166)</f>
        <v>254754.92</v>
      </c>
      <c r="C167" s="222">
        <f>C164</f>
        <v>131021.08</v>
      </c>
      <c r="D167" s="218">
        <f>s3c!G116</f>
        <v>246319.29</v>
      </c>
      <c r="E167" s="270">
        <f>SUM(E164:E166)</f>
        <v>632095.29</v>
      </c>
      <c r="F167" s="218">
        <f>Q25</f>
        <v>1325482.73</v>
      </c>
      <c r="G167" s="218">
        <f>SUM(G164:G166)</f>
        <v>148016.47</v>
      </c>
      <c r="H167" s="219">
        <f t="shared" si="14"/>
        <v>2105594.4900000002</v>
      </c>
    </row>
    <row r="168" spans="1:8" x14ac:dyDescent="0.2">
      <c r="A168" s="156" t="s">
        <v>37</v>
      </c>
      <c r="B168" s="220">
        <f>s3a!K55</f>
        <v>3966.7</v>
      </c>
      <c r="C168" s="220">
        <f>F53</f>
        <v>41967.8</v>
      </c>
      <c r="D168" s="220">
        <f>s3c!G117</f>
        <v>68634.63</v>
      </c>
      <c r="E168" s="274">
        <f>SUM(B168:D168)</f>
        <v>114569.13</v>
      </c>
      <c r="F168" s="221">
        <f>Q26</f>
        <v>33380.79</v>
      </c>
      <c r="G168" s="220">
        <f>+s3c!H117</f>
        <v>2113.63</v>
      </c>
      <c r="H168" s="221">
        <f>SUM(E168:G168)</f>
        <v>150063.54999999999</v>
      </c>
    </row>
    <row r="169" spans="1:8" x14ac:dyDescent="0.2">
      <c r="A169" s="156" t="s">
        <v>399</v>
      </c>
      <c r="B169" s="220">
        <f>s3a!K56</f>
        <v>2444.64</v>
      </c>
      <c r="C169" s="221"/>
      <c r="D169" s="220">
        <f>s3c!G118</f>
        <v>10264.82</v>
      </c>
      <c r="E169" s="274">
        <f>SUM(B169:D169)</f>
        <v>12709.46</v>
      </c>
      <c r="F169" s="221"/>
      <c r="G169" s="220">
        <f>+s3c!H118</f>
        <v>1614.42</v>
      </c>
      <c r="H169" s="221">
        <f>SUM(E169:G169)</f>
        <v>14323.88</v>
      </c>
    </row>
    <row r="170" spans="1:8" x14ac:dyDescent="0.2">
      <c r="A170" s="216" t="s">
        <v>432</v>
      </c>
      <c r="B170" s="218">
        <f>SUM(B168:B169)</f>
        <v>6411.34</v>
      </c>
      <c r="C170" s="222">
        <f>C168</f>
        <v>41967.8</v>
      </c>
      <c r="D170" s="218">
        <f>s3c!G120</f>
        <v>78899.45</v>
      </c>
      <c r="E170" s="270">
        <f>SUM(E168:E169)</f>
        <v>127278.59</v>
      </c>
      <c r="F170" s="218">
        <f>Q26</f>
        <v>33380.79</v>
      </c>
      <c r="G170" s="218">
        <f>SUM(G168:G169)</f>
        <v>3728.05</v>
      </c>
      <c r="H170" s="219">
        <f>SUM(E170:G170)</f>
        <v>164387.43</v>
      </c>
    </row>
    <row r="171" spans="1:8" x14ac:dyDescent="0.2">
      <c r="E171" s="264"/>
    </row>
    <row r="172" spans="1:8" ht="13.5" thickBot="1" x14ac:dyDescent="0.25">
      <c r="A172" s="235" t="s">
        <v>250</v>
      </c>
      <c r="B172" s="236">
        <f t="shared" ref="B172:H172" si="15">SUM(B170,B167,B163,B162,B159,B154,B153,B149,B146,B143,B138,B140,B139,B131,B124,B121,B132)</f>
        <v>1488660.68</v>
      </c>
      <c r="C172" s="236">
        <f t="shared" si="15"/>
        <v>1063329.01</v>
      </c>
      <c r="D172" s="236">
        <f t="shared" si="15"/>
        <v>1999055.88</v>
      </c>
      <c r="E172" s="275">
        <f t="shared" si="15"/>
        <v>4551045.57</v>
      </c>
      <c r="F172" s="236">
        <f t="shared" si="15"/>
        <v>7442998.0499999998</v>
      </c>
      <c r="G172" s="236">
        <f t="shared" si="15"/>
        <v>864822.67</v>
      </c>
      <c r="H172" s="236">
        <f t="shared" si="15"/>
        <v>12858866.289999999</v>
      </c>
    </row>
    <row r="173" spans="1:8" ht="13.5" thickTop="1" x14ac:dyDescent="0.2">
      <c r="E173" s="264"/>
      <c r="H173" s="221">
        <f>SUM(E172:G172)</f>
        <v>12858866.289999999</v>
      </c>
    </row>
    <row r="174" spans="1:8" x14ac:dyDescent="0.2">
      <c r="A174" s="156" t="s">
        <v>684</v>
      </c>
      <c r="B174" s="221">
        <f>+M100</f>
        <v>5511.05</v>
      </c>
      <c r="C174" s="221">
        <f>+N100</f>
        <v>10378.040000000001</v>
      </c>
      <c r="D174" s="221">
        <f>+O100</f>
        <v>11192.93</v>
      </c>
      <c r="E174" s="274">
        <f>SUM(B174:D174)</f>
        <v>27082.02</v>
      </c>
      <c r="F174" s="221">
        <f>+Q100</f>
        <v>74873.679999999993</v>
      </c>
      <c r="G174" s="221">
        <f>+R100</f>
        <v>2212.02</v>
      </c>
      <c r="H174" s="221">
        <f>+S100</f>
        <v>104167.72</v>
      </c>
    </row>
    <row r="175" spans="1:8" x14ac:dyDescent="0.2">
      <c r="A175" s="156" t="s">
        <v>685</v>
      </c>
      <c r="B175" s="221">
        <f>+M101</f>
        <v>6747.21</v>
      </c>
      <c r="C175" s="221"/>
      <c r="D175" s="221">
        <f>+O101+T110</f>
        <v>6015.66</v>
      </c>
      <c r="E175" s="274">
        <f>SUM(B175:D175)</f>
        <v>12762.87</v>
      </c>
      <c r="F175" s="221"/>
      <c r="G175" s="221">
        <f>+R101</f>
        <v>4370.12</v>
      </c>
      <c r="H175" s="221">
        <f>+S101</f>
        <v>17132.990000000002</v>
      </c>
    </row>
    <row r="176" spans="1:8" x14ac:dyDescent="0.2">
      <c r="A176" s="156" t="s">
        <v>686</v>
      </c>
      <c r="B176" s="221">
        <f>+M102</f>
        <v>2301.9699999999998</v>
      </c>
      <c r="C176" s="221"/>
      <c r="D176" s="221">
        <f>+O102</f>
        <v>2339.3000000000002</v>
      </c>
      <c r="E176" s="274">
        <f>SUM(B176:D176)</f>
        <v>4641.2700000000004</v>
      </c>
      <c r="F176" s="221"/>
      <c r="G176" s="221">
        <f>+R102</f>
        <v>1751.27</v>
      </c>
      <c r="H176" s="221">
        <f>+S102</f>
        <v>6392.54</v>
      </c>
    </row>
    <row r="177" spans="1:8" x14ac:dyDescent="0.2">
      <c r="A177" s="360" t="s">
        <v>687</v>
      </c>
      <c r="B177" s="218">
        <f t="shared" ref="B177:H177" si="16">SUM(B174:B176)</f>
        <v>14560.23</v>
      </c>
      <c r="C177" s="218">
        <f t="shared" si="16"/>
        <v>10378.040000000001</v>
      </c>
      <c r="D177" s="218">
        <f t="shared" si="16"/>
        <v>19547.89</v>
      </c>
      <c r="E177" s="270">
        <f t="shared" si="16"/>
        <v>44486.16</v>
      </c>
      <c r="F177" s="218">
        <f t="shared" si="16"/>
        <v>74873.679999999993</v>
      </c>
      <c r="G177" s="218">
        <f t="shared" si="16"/>
        <v>8333.41</v>
      </c>
      <c r="H177" s="218">
        <f t="shared" si="16"/>
        <v>127693.25</v>
      </c>
    </row>
    <row r="178" spans="1:8" ht="13.5" thickBot="1" x14ac:dyDescent="0.25">
      <c r="A178" s="205" t="s">
        <v>696</v>
      </c>
      <c r="B178" s="373">
        <f>+B172+B177</f>
        <v>1503220.91</v>
      </c>
      <c r="C178" s="373">
        <f t="shared" ref="C178:H178" si="17">+C172+C177</f>
        <v>1073707.05</v>
      </c>
      <c r="D178" s="373">
        <f t="shared" si="17"/>
        <v>2018603.77</v>
      </c>
      <c r="E178" s="374">
        <f t="shared" si="17"/>
        <v>4595531.7300000004</v>
      </c>
      <c r="F178" s="373">
        <f t="shared" si="17"/>
        <v>7517871.7300000004</v>
      </c>
      <c r="G178" s="373">
        <f t="shared" si="17"/>
        <v>873156.08</v>
      </c>
      <c r="H178" s="373">
        <f t="shared" si="17"/>
        <v>12986559.539999999</v>
      </c>
    </row>
    <row r="179" spans="1:8" ht="13.5" thickTop="1" x14ac:dyDescent="0.2">
      <c r="E179" s="264"/>
    </row>
  </sheetData>
  <mergeCells count="1">
    <mergeCell ref="L97:S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3" sqref="A3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4" customWidth="1"/>
    <col min="9" max="9" width="18.42578125" style="145" bestFit="1" customWidth="1"/>
    <col min="10" max="10" width="18.42578125" style="145" customWidth="1"/>
    <col min="11" max="11" width="15.5703125" style="152" bestFit="1" customWidth="1"/>
    <col min="12" max="12" width="0" hidden="1" customWidth="1"/>
    <col min="13" max="13" width="11.28515625" hidden="1" customWidth="1"/>
    <col min="14" max="14" width="10.140625" hidden="1" customWidth="1"/>
    <col min="15" max="15" width="9.28515625" hidden="1" customWidth="1"/>
    <col min="16" max="16" width="0" hidden="1" customWidth="1"/>
  </cols>
  <sheetData>
    <row r="1" spans="1:15" ht="15.75" x14ac:dyDescent="0.25">
      <c r="A1" s="63" t="s">
        <v>429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3" t="str">
        <f>ReportMonth</f>
        <v>NOVEMBER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411" t="s">
        <v>427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</row>
    <row r="7" spans="1:15" s="89" customFormat="1" ht="30.75" customHeight="1" thickBot="1" x14ac:dyDescent="0.25">
      <c r="A7" s="195" t="s">
        <v>374</v>
      </c>
      <c r="B7" s="195" t="s">
        <v>375</v>
      </c>
      <c r="C7" s="195" t="s">
        <v>376</v>
      </c>
      <c r="D7" s="209" t="s">
        <v>5</v>
      </c>
      <c r="E7" s="207" t="s">
        <v>418</v>
      </c>
      <c r="F7" s="208" t="s">
        <v>419</v>
      </c>
      <c r="G7" s="209" t="s">
        <v>420</v>
      </c>
      <c r="H7" s="188" t="s">
        <v>422</v>
      </c>
      <c r="I7" s="189" t="s">
        <v>378</v>
      </c>
      <c r="J7" s="189" t="s">
        <v>695</v>
      </c>
      <c r="K7" s="223" t="s">
        <v>421</v>
      </c>
      <c r="L7" s="196"/>
      <c r="M7" s="196"/>
      <c r="N7" s="196"/>
      <c r="O7" s="196"/>
    </row>
    <row r="8" spans="1:15" x14ac:dyDescent="0.2">
      <c r="A8" s="156" t="s">
        <v>21</v>
      </c>
      <c r="B8" s="156"/>
      <c r="C8" s="156"/>
      <c r="D8" s="204">
        <f>'s3, s3b, s3d'!B10</f>
        <v>3011183</v>
      </c>
      <c r="E8" s="237">
        <f>D8/$D$58</f>
        <v>3.4042880999999997E-2</v>
      </c>
      <c r="F8" s="224">
        <f>'s3, s3b, s3d'!D10</f>
        <v>50770.14</v>
      </c>
      <c r="G8" s="224">
        <f>'s3, s3b, s3d'!E10</f>
        <v>0</v>
      </c>
      <c r="H8" s="225">
        <f>'s3, s3b, s3d'!F10</f>
        <v>50770.14</v>
      </c>
      <c r="I8" s="197">
        <v>1</v>
      </c>
      <c r="J8" s="197"/>
      <c r="K8" s="226">
        <f>$H$8*I8</f>
        <v>50770.14</v>
      </c>
      <c r="L8" s="156"/>
      <c r="M8" s="200"/>
      <c r="N8" s="156"/>
      <c r="O8" s="156"/>
    </row>
    <row r="9" spans="1:15" ht="26.25" customHeight="1" x14ac:dyDescent="0.2">
      <c r="A9" s="156" t="s">
        <v>22</v>
      </c>
      <c r="B9" s="156"/>
      <c r="C9" s="156"/>
      <c r="D9" s="204">
        <f>'s3, s3b, s3d'!B11</f>
        <v>623493</v>
      </c>
      <c r="E9" s="237">
        <f>D9/$D$58</f>
        <v>7.0488900000000004E-3</v>
      </c>
      <c r="F9" s="224">
        <f>'s3, s3b, s3d'!D11</f>
        <v>10512.42</v>
      </c>
      <c r="G9" s="224">
        <f>'s3, s3b, s3d'!E11</f>
        <v>313.48</v>
      </c>
      <c r="H9" s="225">
        <f>'s3, s3b, s3d'!$F11</f>
        <v>10198.94</v>
      </c>
      <c r="I9" s="198">
        <v>0.73499999999999999</v>
      </c>
      <c r="J9" s="198"/>
      <c r="K9" s="226">
        <f>$H$9*I9+O11</f>
        <v>7496.22</v>
      </c>
      <c r="L9" s="156"/>
      <c r="M9" s="200">
        <f>$H$9*I9</f>
        <v>7496.22</v>
      </c>
      <c r="N9" s="156"/>
      <c r="O9" s="156"/>
    </row>
    <row r="10" spans="1:15" s="89" customFormat="1" x14ac:dyDescent="0.2">
      <c r="A10" s="196"/>
      <c r="B10" s="196" t="s">
        <v>379</v>
      </c>
      <c r="C10" s="196"/>
      <c r="D10" s="196"/>
      <c r="E10" s="238"/>
      <c r="F10" s="227"/>
      <c r="G10" s="227"/>
      <c r="H10" s="225"/>
      <c r="I10" s="199">
        <v>0.26500000000000001</v>
      </c>
      <c r="J10" s="370"/>
      <c r="K10" s="226">
        <f>$H$9*I10</f>
        <v>2702.72</v>
      </c>
      <c r="L10" s="196"/>
      <c r="M10" s="200">
        <f>$H$9*I10</f>
        <v>2702.72</v>
      </c>
      <c r="N10" s="196"/>
      <c r="O10" s="196"/>
    </row>
    <row r="11" spans="1:15" x14ac:dyDescent="0.2">
      <c r="A11" s="156"/>
      <c r="B11" s="156"/>
      <c r="C11" s="156"/>
      <c r="D11" s="156"/>
      <c r="E11" s="237"/>
      <c r="F11" s="224"/>
      <c r="G11" s="224"/>
      <c r="H11" s="225"/>
      <c r="I11" s="197">
        <f>SUM(I9:I10)</f>
        <v>1</v>
      </c>
      <c r="J11" s="197"/>
      <c r="K11" s="226"/>
      <c r="L11" s="156"/>
      <c r="M11" s="200">
        <f>SUM(M9:M10)</f>
        <v>10198.94</v>
      </c>
      <c r="N11" s="228">
        <f>H9</f>
        <v>10198.94</v>
      </c>
      <c r="O11" s="203">
        <f>N11-M11</f>
        <v>0</v>
      </c>
    </row>
    <row r="12" spans="1:15" ht="26.25" customHeight="1" x14ac:dyDescent="0.2">
      <c r="A12" s="156" t="s">
        <v>23</v>
      </c>
      <c r="B12" s="156"/>
      <c r="C12" s="156"/>
      <c r="D12" s="204">
        <f>'s3, s3b, s3d'!B12</f>
        <v>59803830</v>
      </c>
      <c r="E12" s="237">
        <f>D12/$D$58</f>
        <v>0.67611124499999997</v>
      </c>
      <c r="F12" s="224">
        <f>'s3, s3b, s3d'!D12</f>
        <v>1008324.33</v>
      </c>
      <c r="G12" s="224">
        <f>'s3, s3b, s3d'!E12</f>
        <v>280.29000000000002</v>
      </c>
      <c r="H12" s="225">
        <f>'s3, s3b, s3d'!$F12</f>
        <v>1008044.04</v>
      </c>
      <c r="I12" s="197">
        <v>0.51249999999999996</v>
      </c>
      <c r="J12" s="197"/>
      <c r="K12" s="226">
        <f>$H$12*I12+O18</f>
        <v>516622.57</v>
      </c>
      <c r="L12" s="156"/>
      <c r="M12" s="200">
        <f t="shared" ref="M12:M17" si="0">$H$12*I12</f>
        <v>516622.57</v>
      </c>
      <c r="N12" s="156"/>
      <c r="O12" s="156"/>
    </row>
    <row r="13" spans="1:15" x14ac:dyDescent="0.2">
      <c r="A13" s="156"/>
      <c r="B13" s="156" t="s">
        <v>380</v>
      </c>
      <c r="C13" s="156"/>
      <c r="D13" s="156"/>
      <c r="E13" s="237"/>
      <c r="F13" s="224"/>
      <c r="G13" s="224"/>
      <c r="H13" s="224"/>
      <c r="I13" s="197">
        <v>9.7999999999999997E-3</v>
      </c>
      <c r="J13" s="197"/>
      <c r="K13" s="226">
        <f>$H$12*I13</f>
        <v>9878.83</v>
      </c>
      <c r="L13" s="156"/>
      <c r="M13" s="200">
        <f t="shared" si="0"/>
        <v>9878.83</v>
      </c>
      <c r="N13" s="156"/>
      <c r="O13" s="156"/>
    </row>
    <row r="14" spans="1:15" x14ac:dyDescent="0.2">
      <c r="A14" s="156"/>
      <c r="B14" s="156" t="s">
        <v>381</v>
      </c>
      <c r="C14" s="156"/>
      <c r="D14" s="156"/>
      <c r="E14" s="237"/>
      <c r="F14" s="224"/>
      <c r="G14" s="224"/>
      <c r="H14" s="224"/>
      <c r="I14" s="197">
        <v>0.15090000000000001</v>
      </c>
      <c r="J14" s="197"/>
      <c r="K14" s="226">
        <f>$H$12*I14</f>
        <v>152113.85</v>
      </c>
      <c r="L14" s="156"/>
      <c r="M14" s="200">
        <f t="shared" si="0"/>
        <v>152113.85</v>
      </c>
      <c r="N14" s="156"/>
      <c r="O14" s="156"/>
    </row>
    <row r="15" spans="1:15" x14ac:dyDescent="0.2">
      <c r="A15" s="156"/>
      <c r="B15" s="156" t="s">
        <v>382</v>
      </c>
      <c r="C15" s="156"/>
      <c r="D15" s="156"/>
      <c r="E15" s="237"/>
      <c r="F15" s="224"/>
      <c r="G15" s="224"/>
      <c r="H15" s="224"/>
      <c r="I15" s="197">
        <v>0.2535</v>
      </c>
      <c r="J15" s="197"/>
      <c r="K15" s="226">
        <f>$H$12*I15</f>
        <v>255539.16</v>
      </c>
      <c r="L15" s="156"/>
      <c r="M15" s="200">
        <f t="shared" si="0"/>
        <v>255539.16</v>
      </c>
      <c r="N15" s="156"/>
      <c r="O15" s="156"/>
    </row>
    <row r="16" spans="1:15" x14ac:dyDescent="0.2">
      <c r="A16" s="156"/>
      <c r="B16" s="156" t="s">
        <v>383</v>
      </c>
      <c r="C16" s="156"/>
      <c r="D16" s="156"/>
      <c r="E16" s="237"/>
      <c r="F16" s="224"/>
      <c r="G16" s="224"/>
      <c r="H16" s="224"/>
      <c r="I16" s="197">
        <v>7.1000000000000004E-3</v>
      </c>
      <c r="J16" s="197"/>
      <c r="K16" s="226">
        <f>$H$12*I16</f>
        <v>7157.11</v>
      </c>
      <c r="L16" s="156"/>
      <c r="M16" s="200">
        <f t="shared" si="0"/>
        <v>7157.11</v>
      </c>
      <c r="N16" s="156"/>
      <c r="O16" s="156"/>
    </row>
    <row r="17" spans="1:15" ht="12" customHeight="1" x14ac:dyDescent="0.2">
      <c r="A17" s="156"/>
      <c r="B17" s="156" t="s">
        <v>384</v>
      </c>
      <c r="C17" s="156"/>
      <c r="D17" s="156"/>
      <c r="E17" s="237"/>
      <c r="F17" s="224"/>
      <c r="G17" s="224"/>
      <c r="H17" s="224"/>
      <c r="I17" s="199">
        <v>6.6199999999999995E-2</v>
      </c>
      <c r="J17" s="370"/>
      <c r="K17" s="226">
        <f>$H$12*I17</f>
        <v>66732.52</v>
      </c>
      <c r="L17" s="156"/>
      <c r="M17" s="200">
        <f t="shared" si="0"/>
        <v>66732.52</v>
      </c>
      <c r="N17" s="156"/>
      <c r="O17" s="156"/>
    </row>
    <row r="18" spans="1:15" x14ac:dyDescent="0.2">
      <c r="A18" s="156"/>
      <c r="B18" s="156"/>
      <c r="C18" s="156"/>
      <c r="D18" s="156"/>
      <c r="E18" s="237"/>
      <c r="F18" s="224"/>
      <c r="G18" s="224"/>
      <c r="H18" s="224"/>
      <c r="I18" s="197">
        <f>SUM(I12:I17)</f>
        <v>1</v>
      </c>
      <c r="J18" s="197"/>
      <c r="K18" s="226"/>
      <c r="L18" s="156"/>
      <c r="M18" s="200">
        <f>SUM(M12:M17)</f>
        <v>1008044.04</v>
      </c>
      <c r="N18" s="228">
        <f>H12</f>
        <v>1008044.04</v>
      </c>
      <c r="O18" s="200">
        <f>N18-M18</f>
        <v>0</v>
      </c>
    </row>
    <row r="19" spans="1:15" ht="26.25" customHeight="1" x14ac:dyDescent="0.2">
      <c r="A19" s="156" t="s">
        <v>24</v>
      </c>
      <c r="B19" s="156"/>
      <c r="C19" s="156"/>
      <c r="D19" s="204">
        <f>'s3, s3b, s3d'!B13</f>
        <v>1902105</v>
      </c>
      <c r="E19" s="237">
        <f>D19/$D$58</f>
        <v>2.1504217999999999E-2</v>
      </c>
      <c r="F19" s="224">
        <f>'s3, s3b, s3d'!D13</f>
        <v>32070.5</v>
      </c>
      <c r="G19" s="224">
        <f>'s3, s3b, s3d'!E13</f>
        <v>26.73</v>
      </c>
      <c r="H19" s="225">
        <f>'s3, s3b, s3d'!$F13</f>
        <v>32043.77</v>
      </c>
      <c r="I19" s="197">
        <v>1</v>
      </c>
      <c r="J19" s="197"/>
      <c r="K19" s="226">
        <f>$H$19*I19</f>
        <v>32043.77</v>
      </c>
      <c r="L19" s="156"/>
      <c r="M19" s="200"/>
      <c r="N19" s="228"/>
      <c r="O19" s="156"/>
    </row>
    <row r="20" spans="1:15" ht="24.75" customHeight="1" x14ac:dyDescent="0.2">
      <c r="A20" s="156" t="s">
        <v>25</v>
      </c>
      <c r="B20" s="156"/>
      <c r="C20" s="156"/>
      <c r="D20" s="204">
        <f>'s3, s3b, s3d'!B14</f>
        <v>2088973</v>
      </c>
      <c r="E20" s="237">
        <f>D20/$D$58</f>
        <v>2.3616851000000001E-2</v>
      </c>
      <c r="F20" s="224">
        <f>'s3, s3b, s3d'!D14</f>
        <v>35221.19</v>
      </c>
      <c r="G20" s="224">
        <f>'s3, s3b, s3d'!E14</f>
        <v>387.73</v>
      </c>
      <c r="H20" s="225">
        <f>'s3, s3b, s3d'!$F$14</f>
        <v>34833.46</v>
      </c>
      <c r="I20" s="197">
        <v>0.56010000000000004</v>
      </c>
      <c r="J20" s="197"/>
      <c r="K20" s="226">
        <f>$H$20*I20+O25</f>
        <v>19510.22</v>
      </c>
      <c r="L20" s="156"/>
      <c r="M20" s="200">
        <f>$H$20*I20</f>
        <v>19510.22</v>
      </c>
      <c r="N20" s="228"/>
      <c r="O20" s="156"/>
    </row>
    <row r="21" spans="1:15" x14ac:dyDescent="0.2">
      <c r="A21" s="156"/>
      <c r="B21" s="156" t="s">
        <v>385</v>
      </c>
      <c r="C21" s="156"/>
      <c r="D21" s="156"/>
      <c r="E21" s="237"/>
      <c r="F21" s="224"/>
      <c r="G21" s="224"/>
      <c r="H21" s="224"/>
      <c r="I21" s="197">
        <v>2.1100000000000001E-2</v>
      </c>
      <c r="J21" s="197"/>
      <c r="K21" s="226">
        <f>$H$20*I21</f>
        <v>734.99</v>
      </c>
      <c r="L21" s="156"/>
      <c r="M21" s="200">
        <f>$H$20*I21</f>
        <v>734.99</v>
      </c>
      <c r="N21" s="228"/>
      <c r="O21" s="156"/>
    </row>
    <row r="22" spans="1:15" x14ac:dyDescent="0.2">
      <c r="A22" s="156"/>
      <c r="B22" s="156" t="s">
        <v>140</v>
      </c>
      <c r="C22" s="156"/>
      <c r="D22" s="156"/>
      <c r="E22" s="237"/>
      <c r="F22" s="224"/>
      <c r="G22" s="224"/>
      <c r="H22" s="224"/>
      <c r="I22" s="197">
        <v>0.30549999999999999</v>
      </c>
      <c r="J22" s="197"/>
      <c r="K22" s="226">
        <f>$H$20*I22</f>
        <v>10641.62</v>
      </c>
      <c r="L22" s="156"/>
      <c r="M22" s="200">
        <f>$H$20*I22</f>
        <v>10641.62</v>
      </c>
      <c r="N22" s="228"/>
      <c r="O22" s="156"/>
    </row>
    <row r="23" spans="1:15" x14ac:dyDescent="0.2">
      <c r="A23" s="156"/>
      <c r="B23" s="156" t="s">
        <v>386</v>
      </c>
      <c r="C23" s="156"/>
      <c r="D23" s="156"/>
      <c r="E23" s="237"/>
      <c r="F23" s="224"/>
      <c r="G23" s="224"/>
      <c r="H23" s="224"/>
      <c r="I23" s="197">
        <v>1.6799999999999999E-2</v>
      </c>
      <c r="J23" s="197"/>
      <c r="K23" s="226">
        <f>$H$20*I23</f>
        <v>585.20000000000005</v>
      </c>
      <c r="L23" s="156"/>
      <c r="M23" s="200">
        <f>$H$20*I23</f>
        <v>585.20000000000005</v>
      </c>
      <c r="N23" s="228"/>
      <c r="O23" s="156"/>
    </row>
    <row r="24" spans="1:15" x14ac:dyDescent="0.2">
      <c r="A24" s="156"/>
      <c r="B24" s="156" t="s">
        <v>387</v>
      </c>
      <c r="C24" s="156"/>
      <c r="D24" s="156"/>
      <c r="E24" s="237"/>
      <c r="F24" s="224"/>
      <c r="G24" s="224"/>
      <c r="H24" s="224"/>
      <c r="I24" s="199">
        <v>9.6500000000000002E-2</v>
      </c>
      <c r="J24" s="370"/>
      <c r="K24" s="226">
        <f>$H$20*I24</f>
        <v>3361.43</v>
      </c>
      <c r="L24" s="156"/>
      <c r="M24" s="200">
        <f>$H$20*I24</f>
        <v>3361.43</v>
      </c>
      <c r="N24" s="228"/>
      <c r="O24" s="156"/>
    </row>
    <row r="25" spans="1:15" x14ac:dyDescent="0.2">
      <c r="A25" s="156"/>
      <c r="B25" s="156"/>
      <c r="C25" s="156"/>
      <c r="D25" s="156"/>
      <c r="E25" s="237"/>
      <c r="F25" s="224"/>
      <c r="G25" s="224"/>
      <c r="H25" s="224"/>
      <c r="I25" s="197">
        <f>SUM(I20:I24)</f>
        <v>1</v>
      </c>
      <c r="J25" s="197"/>
      <c r="K25" s="226"/>
      <c r="L25" s="156"/>
      <c r="M25" s="200">
        <f>SUM(M20:M24)</f>
        <v>34833.46</v>
      </c>
      <c r="N25" s="228">
        <f>H20</f>
        <v>34833.46</v>
      </c>
      <c r="O25" s="200">
        <f>N25-M25</f>
        <v>0</v>
      </c>
    </row>
    <row r="26" spans="1:15" ht="25.5" customHeight="1" x14ac:dyDescent="0.2">
      <c r="A26" s="156" t="s">
        <v>26</v>
      </c>
      <c r="B26" s="156"/>
      <c r="C26" s="156"/>
      <c r="D26" s="204">
        <f>'s3, s3b, s3d'!B15</f>
        <v>30857</v>
      </c>
      <c r="E26" s="237">
        <f>D26/$D$58</f>
        <v>3.4885299999999999E-4</v>
      </c>
      <c r="F26" s="224">
        <f>'s3, s3b, s3d'!D15</f>
        <v>520.26</v>
      </c>
      <c r="G26" s="224">
        <f>'s3, s3b, s3d'!E15</f>
        <v>0</v>
      </c>
      <c r="H26" s="225">
        <f>'s3, s3b, s3d'!$F$15</f>
        <v>520.26</v>
      </c>
      <c r="I26" s="197">
        <v>1</v>
      </c>
      <c r="J26" s="197"/>
      <c r="K26" s="226">
        <f>$H$26*I26</f>
        <v>520.26</v>
      </c>
      <c r="L26" s="156"/>
      <c r="M26" s="200"/>
      <c r="N26" s="228"/>
      <c r="O26" s="156"/>
    </row>
    <row r="27" spans="1:15" ht="25.5" customHeight="1" x14ac:dyDescent="0.2">
      <c r="A27" s="156" t="s">
        <v>27</v>
      </c>
      <c r="B27" s="156"/>
      <c r="C27" s="156"/>
      <c r="D27" s="204">
        <f>'s3, s3b, s3d'!B16</f>
        <v>106126</v>
      </c>
      <c r="E27" s="237">
        <f>D27/$D$58</f>
        <v>1.1998060000000001E-3</v>
      </c>
      <c r="F27" s="224">
        <f>'s3, s3b, s3d'!D16</f>
        <v>1789.34</v>
      </c>
      <c r="G27" s="224">
        <f>'s3, s3b, s3d'!E16</f>
        <v>135.49</v>
      </c>
      <c r="H27" s="225">
        <f>'s3, s3b, s3d'!$F$16</f>
        <v>1653.85</v>
      </c>
      <c r="I27" s="197">
        <v>1</v>
      </c>
      <c r="J27" s="197"/>
      <c r="K27" s="226">
        <f>$H$27*I27</f>
        <v>1653.85</v>
      </c>
      <c r="L27" s="156"/>
      <c r="M27" s="200"/>
      <c r="N27" s="228"/>
      <c r="O27" s="156"/>
    </row>
    <row r="28" spans="1:15" ht="25.5" customHeight="1" x14ac:dyDescent="0.2">
      <c r="A28" s="156" t="s">
        <v>28</v>
      </c>
      <c r="B28" s="156"/>
      <c r="C28" s="156"/>
      <c r="D28" s="204">
        <f>'s3, s3b, s3d'!B17</f>
        <v>1029103</v>
      </c>
      <c r="E28" s="237">
        <f>D28/$D$58</f>
        <v>1.1634508E-2</v>
      </c>
      <c r="F28" s="224">
        <f>'s3, s3b, s3d'!D17</f>
        <v>17351.22</v>
      </c>
      <c r="G28" s="224">
        <f>'s3, s3b, s3d'!E17</f>
        <v>274.62</v>
      </c>
      <c r="H28" s="225">
        <f>'s3, s3b, s3d'!$F$17</f>
        <v>17076.599999999999</v>
      </c>
      <c r="I28" s="198">
        <v>0.77949999999999997</v>
      </c>
      <c r="J28" s="198"/>
      <c r="K28" s="226">
        <f>$H$28*I28+O30</f>
        <v>13311.21</v>
      </c>
      <c r="L28" s="156"/>
      <c r="M28" s="200">
        <f>$H$28*I28</f>
        <v>13311.21</v>
      </c>
      <c r="N28" s="228"/>
      <c r="O28" s="156"/>
    </row>
    <row r="29" spans="1:15" x14ac:dyDescent="0.2">
      <c r="A29" s="156"/>
      <c r="B29" s="156" t="s">
        <v>388</v>
      </c>
      <c r="C29" s="156"/>
      <c r="D29" s="156"/>
      <c r="E29" s="237"/>
      <c r="F29" s="224"/>
      <c r="G29" s="224"/>
      <c r="H29" s="224"/>
      <c r="I29" s="202">
        <v>0.2205</v>
      </c>
      <c r="J29" s="371"/>
      <c r="K29" s="226">
        <f>$H$28*I29</f>
        <v>3765.39</v>
      </c>
      <c r="L29" s="156"/>
      <c r="M29" s="200">
        <f>$H$28*I29</f>
        <v>3765.39</v>
      </c>
      <c r="N29" s="228"/>
      <c r="O29" s="156"/>
    </row>
    <row r="30" spans="1:15" x14ac:dyDescent="0.2">
      <c r="A30" s="156"/>
      <c r="B30" s="156"/>
      <c r="C30" s="156"/>
      <c r="D30" s="156"/>
      <c r="E30" s="237"/>
      <c r="F30" s="224"/>
      <c r="G30" s="224"/>
      <c r="H30" s="224"/>
      <c r="I30" s="197">
        <f>SUM(I28:I29)</f>
        <v>1</v>
      </c>
      <c r="J30" s="197"/>
      <c r="K30" s="226"/>
      <c r="L30" s="156"/>
      <c r="M30" s="200">
        <f>SUM(M28:M29)</f>
        <v>17076.599999999999</v>
      </c>
      <c r="N30" s="228">
        <f>H28</f>
        <v>17076.599999999999</v>
      </c>
      <c r="O30" s="200">
        <f>N30-M30</f>
        <v>0</v>
      </c>
    </row>
    <row r="31" spans="1:15" ht="25.5" customHeight="1" x14ac:dyDescent="0.2">
      <c r="A31" s="156" t="s">
        <v>29</v>
      </c>
      <c r="B31" s="156"/>
      <c r="C31" s="156"/>
      <c r="D31" s="204">
        <f>'s3, s3b, s3d'!B18</f>
        <v>231126</v>
      </c>
      <c r="E31" s="237">
        <f>D31/$D$58</f>
        <v>2.6129909999999998E-3</v>
      </c>
      <c r="F31" s="224">
        <f>'s3, s3b, s3d'!D18</f>
        <v>3896.91</v>
      </c>
      <c r="G31" s="224">
        <f>'s3, s3b, s3d'!E18</f>
        <v>52.51</v>
      </c>
      <c r="H31" s="225">
        <f>'s3, s3b, s3d'!$F$18</f>
        <v>3844.4</v>
      </c>
      <c r="I31" s="197">
        <v>0.99</v>
      </c>
      <c r="J31" s="197"/>
      <c r="K31" s="226">
        <f>$H$31*I31+O33</f>
        <v>3805.96</v>
      </c>
      <c r="L31" s="156"/>
      <c r="M31" s="200">
        <f>$H$31*I31</f>
        <v>3805.96</v>
      </c>
      <c r="N31" s="228"/>
      <c r="O31" s="156"/>
    </row>
    <row r="32" spans="1:15" x14ac:dyDescent="0.2">
      <c r="A32" s="156"/>
      <c r="B32" s="156"/>
      <c r="C32" s="156" t="s">
        <v>389</v>
      </c>
      <c r="D32" s="156"/>
      <c r="E32" s="237"/>
      <c r="F32" s="224"/>
      <c r="G32" s="224"/>
      <c r="H32" s="224"/>
      <c r="I32" s="199">
        <v>0.01</v>
      </c>
      <c r="J32" s="370"/>
      <c r="K32" s="226">
        <f>$H$31*I32</f>
        <v>38.44</v>
      </c>
      <c r="L32" s="156"/>
      <c r="M32" s="200">
        <f>$H$31*I32</f>
        <v>38.44</v>
      </c>
      <c r="N32" s="228"/>
      <c r="O32" s="156"/>
    </row>
    <row r="33" spans="1:15" x14ac:dyDescent="0.2">
      <c r="A33" s="156"/>
      <c r="B33" s="156"/>
      <c r="C33" s="156"/>
      <c r="D33" s="156"/>
      <c r="E33" s="237"/>
      <c r="F33" s="224"/>
      <c r="G33" s="224"/>
      <c r="H33" s="224"/>
      <c r="I33" s="197">
        <f>SUM(I31:I32)</f>
        <v>1</v>
      </c>
      <c r="J33" s="197"/>
      <c r="K33" s="226"/>
      <c r="L33" s="156"/>
      <c r="M33" s="200">
        <f>SUM(M31:M32)</f>
        <v>3844.4</v>
      </c>
      <c r="N33" s="228">
        <f>H31</f>
        <v>3844.4</v>
      </c>
      <c r="O33" s="200">
        <f>N33-M33</f>
        <v>0</v>
      </c>
    </row>
    <row r="34" spans="1:15" ht="25.5" customHeight="1" x14ac:dyDescent="0.2">
      <c r="A34" s="156" t="s">
        <v>30</v>
      </c>
      <c r="B34" s="156"/>
      <c r="C34" s="156"/>
      <c r="D34" s="204">
        <f>'s3, s3b, s3d'!B19</f>
        <v>227982</v>
      </c>
      <c r="E34" s="237">
        <f>D34/$D$58</f>
        <v>2.5774470000000001E-3</v>
      </c>
      <c r="F34" s="224">
        <f>'s3, s3b, s3d'!D19</f>
        <v>3843.9</v>
      </c>
      <c r="G34" s="224">
        <f>'s3, s3b, s3d'!E19</f>
        <v>0</v>
      </c>
      <c r="H34" s="225">
        <f>'s3, s3b, s3d'!$F$19</f>
        <v>3843.9</v>
      </c>
      <c r="I34" s="197">
        <v>0.91710000000000003</v>
      </c>
      <c r="J34" s="197"/>
      <c r="K34" s="226">
        <f>$H$34*I34+O36</f>
        <v>3525.24</v>
      </c>
      <c r="L34" s="156"/>
      <c r="M34" s="200">
        <f>$H$34*I34</f>
        <v>3525.24</v>
      </c>
      <c r="N34" s="228"/>
      <c r="O34" s="156"/>
    </row>
    <row r="35" spans="1:15" x14ac:dyDescent="0.2">
      <c r="A35" s="156"/>
      <c r="B35" s="156" t="s">
        <v>390</v>
      </c>
      <c r="C35" s="156"/>
      <c r="D35" s="156"/>
      <c r="E35" s="237"/>
      <c r="F35" s="224"/>
      <c r="G35" s="224"/>
      <c r="H35" s="224"/>
      <c r="I35" s="199">
        <v>8.2900000000000001E-2</v>
      </c>
      <c r="J35" s="370"/>
      <c r="K35" s="226">
        <f>$H$34*I35</f>
        <v>318.66000000000003</v>
      </c>
      <c r="L35" s="156"/>
      <c r="M35" s="200">
        <f>$H$34*I35</f>
        <v>318.66000000000003</v>
      </c>
      <c r="N35" s="228"/>
      <c r="O35" s="156"/>
    </row>
    <row r="36" spans="1:15" x14ac:dyDescent="0.2">
      <c r="A36" s="156"/>
      <c r="B36" s="156"/>
      <c r="C36" s="156"/>
      <c r="D36" s="156"/>
      <c r="E36" s="237"/>
      <c r="F36" s="224"/>
      <c r="G36" s="224"/>
      <c r="H36" s="224"/>
      <c r="I36" s="197">
        <f>SUM(I34:I35)</f>
        <v>1</v>
      </c>
      <c r="J36" s="197"/>
      <c r="K36" s="226"/>
      <c r="L36" s="156"/>
      <c r="M36" s="200">
        <f>SUM(M34:M35)</f>
        <v>3843.9</v>
      </c>
      <c r="N36" s="228">
        <f>H34</f>
        <v>3843.9</v>
      </c>
      <c r="O36" s="200">
        <f>N36-M36</f>
        <v>0</v>
      </c>
    </row>
    <row r="37" spans="1:15" ht="24.75" customHeight="1" x14ac:dyDescent="0.2">
      <c r="A37" s="156" t="s">
        <v>31</v>
      </c>
      <c r="B37" s="156"/>
      <c r="C37" s="156"/>
      <c r="D37" s="204">
        <f>'s3, s3b, s3d'!B20</f>
        <v>1490001</v>
      </c>
      <c r="E37" s="237">
        <f>D37/$D$58</f>
        <v>1.6845183E-2</v>
      </c>
      <c r="F37" s="224">
        <f>'s3, s3b, s3d'!D20</f>
        <v>25122.23</v>
      </c>
      <c r="G37" s="224">
        <f>'s3, s3b, s3d'!E20</f>
        <v>33.57</v>
      </c>
      <c r="H37" s="225">
        <f>'s3, s3b, s3d'!$F$20</f>
        <v>25088.66</v>
      </c>
      <c r="I37" s="197">
        <v>0.61609999999999998</v>
      </c>
      <c r="J37" s="197"/>
      <c r="K37" s="226">
        <f>$H$37*I37+O40</f>
        <v>15457.12</v>
      </c>
      <c r="L37" s="156"/>
      <c r="M37" s="200">
        <f>$H$37*I37</f>
        <v>15457.12</v>
      </c>
      <c r="N37" s="228"/>
      <c r="O37" s="156"/>
    </row>
    <row r="38" spans="1:15" x14ac:dyDescent="0.2">
      <c r="A38" s="156"/>
      <c r="B38" s="156" t="s">
        <v>392</v>
      </c>
      <c r="C38" s="156"/>
      <c r="D38" s="156"/>
      <c r="E38" s="237"/>
      <c r="F38" s="224"/>
      <c r="G38" s="224"/>
      <c r="H38" s="224"/>
      <c r="I38" s="197">
        <v>0.3377</v>
      </c>
      <c r="J38" s="197"/>
      <c r="K38" s="226">
        <f>$H$37*I38</f>
        <v>8472.44</v>
      </c>
      <c r="L38" s="156"/>
      <c r="M38" s="200">
        <f>$H$37*I38</f>
        <v>8472.44</v>
      </c>
      <c r="N38" s="228"/>
      <c r="O38" s="156"/>
    </row>
    <row r="39" spans="1:15" x14ac:dyDescent="0.2">
      <c r="A39" s="156"/>
      <c r="B39" s="156" t="s">
        <v>391</v>
      </c>
      <c r="C39" s="156"/>
      <c r="D39" s="156"/>
      <c r="E39" s="237"/>
      <c r="F39" s="224"/>
      <c r="G39" s="224"/>
      <c r="H39" s="224"/>
      <c r="I39" s="199">
        <v>4.6199999999999998E-2</v>
      </c>
      <c r="J39" s="370"/>
      <c r="K39" s="226">
        <f>$H$37*I39</f>
        <v>1159.0999999999999</v>
      </c>
      <c r="L39" s="156"/>
      <c r="M39" s="200">
        <f>$H$37*I39</f>
        <v>1159.0999999999999</v>
      </c>
      <c r="N39" s="228"/>
      <c r="O39" s="156"/>
    </row>
    <row r="40" spans="1:15" x14ac:dyDescent="0.2">
      <c r="A40" s="156"/>
      <c r="B40" s="156"/>
      <c r="C40" s="156"/>
      <c r="D40" s="156"/>
      <c r="E40" s="237"/>
      <c r="F40" s="224"/>
      <c r="G40" s="224"/>
      <c r="H40" s="224"/>
      <c r="I40" s="197">
        <f>SUM(I37:I39)</f>
        <v>1</v>
      </c>
      <c r="J40" s="197"/>
      <c r="K40" s="226"/>
      <c r="L40" s="156"/>
      <c r="M40" s="200">
        <f>SUM(M37:M39)</f>
        <v>25088.66</v>
      </c>
      <c r="N40" s="228">
        <f>H37</f>
        <v>25088.66</v>
      </c>
      <c r="O40" s="200">
        <f>N40-M40</f>
        <v>0</v>
      </c>
    </row>
    <row r="41" spans="1:15" ht="25.5" customHeight="1" x14ac:dyDescent="0.2">
      <c r="A41" s="156" t="s">
        <v>32</v>
      </c>
      <c r="B41" s="156"/>
      <c r="C41" s="156"/>
      <c r="D41" s="204">
        <f>'s3, s3b, s3d'!B21</f>
        <v>249317</v>
      </c>
      <c r="E41" s="237">
        <f>D41/$D$58</f>
        <v>2.8186489999999999E-3</v>
      </c>
      <c r="F41" s="224">
        <f>'s3, s3b, s3d'!D21</f>
        <v>4203.62</v>
      </c>
      <c r="G41" s="224">
        <f>'s3, s3b, s3d'!E21</f>
        <v>612.84</v>
      </c>
      <c r="H41" s="225">
        <f>'s3, s3b, s3d'!$F$21</f>
        <v>3590.78</v>
      </c>
      <c r="I41" s="197">
        <v>1</v>
      </c>
      <c r="J41" s="197"/>
      <c r="K41" s="226">
        <f>$H$41*I41</f>
        <v>3590.78</v>
      </c>
      <c r="L41" s="156"/>
      <c r="M41" s="200"/>
      <c r="N41" s="228"/>
      <c r="O41" s="156"/>
    </row>
    <row r="42" spans="1:15" ht="26.25" customHeight="1" x14ac:dyDescent="0.2">
      <c r="A42" s="156" t="s">
        <v>33</v>
      </c>
      <c r="B42" s="156"/>
      <c r="C42" s="156"/>
      <c r="D42" s="204">
        <f>'s3, s3b, s3d'!B22</f>
        <v>1912276</v>
      </c>
      <c r="E42" s="237">
        <f>D42/$D$58</f>
        <v>2.1619205999999998E-2</v>
      </c>
      <c r="F42" s="224">
        <f>'s3, s3b, s3d'!D22</f>
        <v>32241.99</v>
      </c>
      <c r="G42" s="224">
        <f>'s3, s3b, s3d'!E22</f>
        <v>157.80000000000001</v>
      </c>
      <c r="H42" s="225">
        <f>'s3, s3b, s3d'!$F$22</f>
        <v>32084.19</v>
      </c>
      <c r="I42" s="197">
        <v>0.1772</v>
      </c>
      <c r="J42" s="197"/>
      <c r="K42" s="226">
        <f>$H$42*I42+O46</f>
        <v>5685.32</v>
      </c>
      <c r="L42" s="156"/>
      <c r="M42" s="200">
        <f>$H$42*I42</f>
        <v>5685.32</v>
      </c>
      <c r="N42" s="228"/>
      <c r="O42" s="156"/>
    </row>
    <row r="43" spans="1:15" x14ac:dyDescent="0.2">
      <c r="A43" s="156"/>
      <c r="B43" s="156"/>
      <c r="C43" s="156" t="s">
        <v>393</v>
      </c>
      <c r="D43" s="156"/>
      <c r="E43" s="237"/>
      <c r="F43" s="224"/>
      <c r="G43" s="224"/>
      <c r="H43" s="224"/>
      <c r="I43" s="197">
        <v>0.65159999999999996</v>
      </c>
      <c r="J43" s="197"/>
      <c r="K43" s="226">
        <f>$H$42*I43</f>
        <v>20906.060000000001</v>
      </c>
      <c r="L43" s="156"/>
      <c r="M43" s="200">
        <f>$H$42*I43</f>
        <v>20906.060000000001</v>
      </c>
      <c r="N43" s="228"/>
      <c r="O43" s="156"/>
    </row>
    <row r="44" spans="1:15" ht="12.75" customHeight="1" x14ac:dyDescent="0.2">
      <c r="A44" s="156"/>
      <c r="B44" s="156"/>
      <c r="C44" s="156" t="s">
        <v>394</v>
      </c>
      <c r="D44" s="156"/>
      <c r="E44" s="237"/>
      <c r="F44" s="224"/>
      <c r="G44" s="224"/>
      <c r="H44" s="224"/>
      <c r="I44" s="197">
        <v>0.14599999999999999</v>
      </c>
      <c r="J44" s="197"/>
      <c r="K44" s="226">
        <f>$H$42*I44</f>
        <v>4684.29</v>
      </c>
      <c r="L44" s="156"/>
      <c r="M44" s="200">
        <f>$H$42*I44</f>
        <v>4684.29</v>
      </c>
      <c r="N44" s="228"/>
      <c r="O44" s="156"/>
    </row>
    <row r="45" spans="1:15" x14ac:dyDescent="0.2">
      <c r="A45" s="156"/>
      <c r="B45" s="156"/>
      <c r="C45" s="156" t="s">
        <v>395</v>
      </c>
      <c r="D45" s="156"/>
      <c r="E45" s="237"/>
      <c r="F45" s="224"/>
      <c r="G45" s="224"/>
      <c r="H45" s="224"/>
      <c r="I45" s="199">
        <v>2.52E-2</v>
      </c>
      <c r="J45" s="370"/>
      <c r="K45" s="226">
        <f>$H$42*I45</f>
        <v>808.52</v>
      </c>
      <c r="L45" s="156"/>
      <c r="M45" s="200">
        <f>$H$42*I45</f>
        <v>808.52</v>
      </c>
      <c r="N45" s="228"/>
      <c r="O45" s="156"/>
    </row>
    <row r="46" spans="1:15" x14ac:dyDescent="0.2">
      <c r="A46" s="156"/>
      <c r="B46" s="156"/>
      <c r="C46" s="156"/>
      <c r="D46" s="156"/>
      <c r="E46" s="237"/>
      <c r="F46" s="224"/>
      <c r="G46" s="224"/>
      <c r="H46" s="224"/>
      <c r="I46" s="197">
        <f>SUM(I42:I45)</f>
        <v>1</v>
      </c>
      <c r="J46" s="197"/>
      <c r="K46" s="226"/>
      <c r="L46" s="156"/>
      <c r="M46" s="200">
        <f>SUM(M42:M45)</f>
        <v>32084.19</v>
      </c>
      <c r="N46" s="228">
        <f>H42</f>
        <v>32084.19</v>
      </c>
      <c r="O46" s="200">
        <f>N46-M46</f>
        <v>0</v>
      </c>
    </row>
    <row r="47" spans="1:15" ht="26.25" customHeight="1" x14ac:dyDescent="0.2">
      <c r="A47" s="156" t="s">
        <v>34</v>
      </c>
      <c r="B47" s="156"/>
      <c r="C47" s="156"/>
      <c r="D47" s="204">
        <f>'s3, s3b, s3d'!B23</f>
        <v>210562</v>
      </c>
      <c r="E47" s="237">
        <f>D47/$D$58</f>
        <v>2.3805050000000002E-3</v>
      </c>
      <c r="F47" s="224">
        <f>'s3, s3b, s3d'!D23</f>
        <v>3550.19</v>
      </c>
      <c r="G47" s="224">
        <f>'s3, s3b, s3d'!E23</f>
        <v>79.58</v>
      </c>
      <c r="H47" s="225">
        <f>'s3, s3b, s3d'!$F$23</f>
        <v>3470.61</v>
      </c>
      <c r="I47" s="197">
        <v>0.88429999999999997</v>
      </c>
      <c r="J47" s="197"/>
      <c r="K47" s="226">
        <f>$H$47*I47+O49</f>
        <v>3069.06</v>
      </c>
      <c r="L47" s="156"/>
      <c r="M47" s="200">
        <f>$H$47*I47</f>
        <v>3069.06</v>
      </c>
      <c r="N47" s="228"/>
      <c r="O47" s="156"/>
    </row>
    <row r="48" spans="1:15" x14ac:dyDescent="0.2">
      <c r="A48" s="156"/>
      <c r="B48" s="156" t="s">
        <v>396</v>
      </c>
      <c r="C48" s="156"/>
      <c r="D48" s="156"/>
      <c r="E48" s="237"/>
      <c r="F48" s="224"/>
      <c r="G48" s="224"/>
      <c r="H48" s="224"/>
      <c r="I48" s="199">
        <v>0.1157</v>
      </c>
      <c r="J48" s="370"/>
      <c r="K48" s="226">
        <f>$H$47*I48</f>
        <v>401.55</v>
      </c>
      <c r="L48" s="156"/>
      <c r="M48" s="200">
        <f>$H$47*I48</f>
        <v>401.55</v>
      </c>
      <c r="N48" s="228"/>
      <c r="O48" s="156"/>
    </row>
    <row r="49" spans="1:15" x14ac:dyDescent="0.2">
      <c r="A49" s="156"/>
      <c r="B49" s="156"/>
      <c r="C49" s="156"/>
      <c r="D49" s="156"/>
      <c r="E49" s="237"/>
      <c r="F49" s="224"/>
      <c r="G49" s="224"/>
      <c r="H49" s="224"/>
      <c r="I49" s="197">
        <f>SUM(I47:I48)</f>
        <v>1</v>
      </c>
      <c r="J49" s="197"/>
      <c r="K49" s="226"/>
      <c r="L49" s="156"/>
      <c r="M49" s="200">
        <f>SUM(M47:M48)</f>
        <v>3470.61</v>
      </c>
      <c r="N49" s="228">
        <f>H47</f>
        <v>3470.61</v>
      </c>
      <c r="O49" s="200">
        <f>N49-M49</f>
        <v>0</v>
      </c>
    </row>
    <row r="50" spans="1:15" ht="25.5" customHeight="1" x14ac:dyDescent="0.2">
      <c r="A50" s="156" t="s">
        <v>35</v>
      </c>
      <c r="B50" s="156"/>
      <c r="C50" s="156"/>
      <c r="D50" s="204">
        <f>'s3, s3b, s3d'!B24</f>
        <v>25552</v>
      </c>
      <c r="E50" s="237">
        <f>D50/$D$58</f>
        <v>2.8887800000000001E-4</v>
      </c>
      <c r="F50" s="224">
        <f>'s3, s3b, s3d'!D24</f>
        <v>430.82</v>
      </c>
      <c r="G50" s="224">
        <f>'s3, s3b, s3d'!E24</f>
        <v>0</v>
      </c>
      <c r="H50" s="225">
        <f>'s3, s3b, s3d'!$F$24</f>
        <v>430.82</v>
      </c>
      <c r="I50" s="197">
        <v>1</v>
      </c>
      <c r="J50" s="197"/>
      <c r="K50" s="226">
        <f>$H$50*I50</f>
        <v>430.82</v>
      </c>
      <c r="L50" s="156"/>
      <c r="M50" s="200"/>
      <c r="N50" s="228"/>
      <c r="O50" s="156"/>
    </row>
    <row r="51" spans="1:15" ht="25.5" customHeight="1" x14ac:dyDescent="0.2">
      <c r="A51" s="156" t="s">
        <v>36</v>
      </c>
      <c r="B51" s="156"/>
      <c r="C51" s="156"/>
      <c r="D51" s="204">
        <f>'s3, s3b, s3d'!B25</f>
        <v>15120539</v>
      </c>
      <c r="E51" s="237">
        <f>D51/$D$58</f>
        <v>0.17094501200000001</v>
      </c>
      <c r="F51" s="224">
        <f>'s3, s3b, s3d'!D25</f>
        <v>254940.31</v>
      </c>
      <c r="G51" s="224">
        <f>'s3, s3b, s3d'!E25</f>
        <v>185.39</v>
      </c>
      <c r="H51" s="225">
        <f>'s3, s3b, s3d'!$F$25</f>
        <v>254754.92</v>
      </c>
      <c r="I51" s="197">
        <v>0.3785</v>
      </c>
      <c r="J51" s="372">
        <f>ROUND(+'s3, s3b, s3d'!$R$107*s3a!I51,2)</f>
        <v>5511.05</v>
      </c>
      <c r="K51" s="375">
        <f>$H$51*I51+O54</f>
        <v>96424.737219999995</v>
      </c>
      <c r="L51" s="156"/>
      <c r="M51" s="200">
        <f>$H$51*I51</f>
        <v>96424.74</v>
      </c>
      <c r="N51" s="228"/>
      <c r="O51" s="156"/>
    </row>
    <row r="52" spans="1:15" x14ac:dyDescent="0.2">
      <c r="A52" s="156"/>
      <c r="B52" s="156" t="s">
        <v>397</v>
      </c>
      <c r="C52" s="156"/>
      <c r="D52" s="156"/>
      <c r="E52" s="237"/>
      <c r="F52" s="224"/>
      <c r="G52" s="224"/>
      <c r="H52" s="224"/>
      <c r="I52" s="197">
        <v>0.46339999999999998</v>
      </c>
      <c r="J52" s="372">
        <f>ROUND(+'s3, s3b, s3d'!$R$107*s3a!I52,2)</f>
        <v>6747.21</v>
      </c>
      <c r="K52" s="375">
        <f>$H$51*I52+O55</f>
        <v>118053.429928</v>
      </c>
      <c r="L52" s="156"/>
      <c r="M52" s="200">
        <f>$H$51*I52</f>
        <v>118053.43</v>
      </c>
      <c r="N52" s="228"/>
      <c r="O52" s="156"/>
    </row>
    <row r="53" spans="1:15" x14ac:dyDescent="0.2">
      <c r="A53" s="156"/>
      <c r="B53" s="156" t="s">
        <v>398</v>
      </c>
      <c r="C53" s="156"/>
      <c r="D53" s="156"/>
      <c r="E53" s="237"/>
      <c r="F53" s="224"/>
      <c r="G53" s="224"/>
      <c r="H53" s="224"/>
      <c r="I53" s="199">
        <v>0.15809999999999999</v>
      </c>
      <c r="J53" s="372">
        <f>ROUND(+'s3, s3b, s3d'!$R$107*s3a!I53,2)</f>
        <v>2301.9699999999998</v>
      </c>
      <c r="K53" s="375">
        <f>$H$51*I53+O56</f>
        <v>40276.752851999998</v>
      </c>
      <c r="L53" s="156"/>
      <c r="M53" s="200">
        <f>$H$51*I53</f>
        <v>40276.75</v>
      </c>
      <c r="N53" s="228"/>
      <c r="O53" s="156"/>
    </row>
    <row r="54" spans="1:15" x14ac:dyDescent="0.2">
      <c r="A54" s="156"/>
      <c r="B54" s="156"/>
      <c r="C54" s="156"/>
      <c r="D54" s="156"/>
      <c r="E54" s="237"/>
      <c r="F54" s="224"/>
      <c r="G54" s="224"/>
      <c r="H54" s="224"/>
      <c r="I54" s="197">
        <f>SUM(I51:I53)</f>
        <v>1</v>
      </c>
      <c r="J54" s="372">
        <f>+J51+J52+J53</f>
        <v>14560.23</v>
      </c>
      <c r="K54" s="376" t="s">
        <v>81</v>
      </c>
      <c r="L54" s="156"/>
      <c r="M54" s="200">
        <f>SUM(M51:M53)</f>
        <v>254754.92</v>
      </c>
      <c r="N54" s="228">
        <f>H51</f>
        <v>254754.92</v>
      </c>
      <c r="O54" s="200">
        <f>N54-M54</f>
        <v>0</v>
      </c>
    </row>
    <row r="55" spans="1:15" ht="24.75" customHeight="1" x14ac:dyDescent="0.2">
      <c r="A55" s="156" t="s">
        <v>37</v>
      </c>
      <c r="B55" s="156"/>
      <c r="C55" s="156"/>
      <c r="D55" s="204">
        <f>'s3, s3b, s3d'!B26</f>
        <v>389623</v>
      </c>
      <c r="E55" s="237">
        <f>D55/$D$58</f>
        <v>4.4048769999999998E-3</v>
      </c>
      <c r="F55" s="224">
        <f>'s3, s3b, s3d'!D26</f>
        <v>6569.25</v>
      </c>
      <c r="G55" s="224">
        <f>'s3, s3b, s3d'!E26</f>
        <v>157.91</v>
      </c>
      <c r="H55" s="225">
        <f>'s3, s3b, s3d'!$F$26</f>
        <v>6411.34</v>
      </c>
      <c r="I55" s="197">
        <v>0.61870000000000003</v>
      </c>
      <c r="J55" s="197"/>
      <c r="K55" s="226">
        <f>$H$55*I55+O57</f>
        <v>3966.7</v>
      </c>
      <c r="L55" s="156"/>
      <c r="M55" s="200">
        <f>$H$55*I55</f>
        <v>3966.7</v>
      </c>
      <c r="N55" s="228"/>
      <c r="O55" s="156"/>
    </row>
    <row r="56" spans="1:15" x14ac:dyDescent="0.2">
      <c r="A56" s="156"/>
      <c r="B56" s="156" t="s">
        <v>399</v>
      </c>
      <c r="C56" s="156"/>
      <c r="D56" s="156"/>
      <c r="E56" s="237"/>
      <c r="F56" s="224"/>
      <c r="G56" s="224"/>
      <c r="H56" s="224"/>
      <c r="I56" s="199">
        <v>0.38129999999999997</v>
      </c>
      <c r="J56" s="370"/>
      <c r="K56" s="226">
        <f>$H$55*I56</f>
        <v>2444.64</v>
      </c>
      <c r="L56" s="156"/>
      <c r="M56" s="200">
        <f>$H$55*I56</f>
        <v>2444.64</v>
      </c>
      <c r="N56" s="228"/>
      <c r="O56" s="156"/>
    </row>
    <row r="57" spans="1:15" x14ac:dyDescent="0.2">
      <c r="A57" s="156"/>
      <c r="B57" s="156"/>
      <c r="C57" s="156"/>
      <c r="D57" s="156"/>
      <c r="E57" s="237"/>
      <c r="F57" s="224"/>
      <c r="G57" s="224"/>
      <c r="H57" s="224"/>
      <c r="I57" s="197">
        <f>SUM(I55:I56)</f>
        <v>1</v>
      </c>
      <c r="J57" s="197"/>
      <c r="K57" s="226"/>
      <c r="L57" s="156"/>
      <c r="M57" s="200">
        <f>SUM(M55:M56)</f>
        <v>6411.34</v>
      </c>
      <c r="N57" s="228">
        <f>H55</f>
        <v>6411.34</v>
      </c>
      <c r="O57" s="200">
        <f>N57-M57</f>
        <v>0</v>
      </c>
    </row>
    <row r="58" spans="1:15" s="143" customFormat="1" ht="13.5" thickBot="1" x14ac:dyDescent="0.25">
      <c r="A58" s="205" t="s">
        <v>250</v>
      </c>
      <c r="B58" s="205"/>
      <c r="C58" s="205"/>
      <c r="D58" s="206">
        <f>SUM(D8:D57)</f>
        <v>88452648</v>
      </c>
      <c r="E58" s="239">
        <f>SUM(E8:E57)</f>
        <v>1</v>
      </c>
      <c r="F58" s="229">
        <f>SUM(F8:F57)</f>
        <v>1491358.62</v>
      </c>
      <c r="G58" s="229">
        <f>SUM(G8:G57)</f>
        <v>2697.94</v>
      </c>
      <c r="H58" s="229">
        <f>SUM(H8:H57)</f>
        <v>1488660.68</v>
      </c>
      <c r="I58" s="229"/>
      <c r="J58" s="229"/>
      <c r="K58" s="229">
        <f>SUM(K8:K56)</f>
        <v>1488660.68</v>
      </c>
      <c r="L58" s="151"/>
      <c r="M58" s="151"/>
      <c r="N58" s="151"/>
      <c r="O58" s="151"/>
    </row>
    <row r="59" spans="1:15" ht="13.5" thickTop="1" x14ac:dyDescent="0.2">
      <c r="A59" s="156"/>
      <c r="B59" s="156"/>
      <c r="C59" s="156"/>
      <c r="D59" s="156"/>
      <c r="E59" s="156"/>
      <c r="F59" s="156"/>
      <c r="G59" s="156"/>
      <c r="H59" s="201"/>
      <c r="I59" s="197"/>
      <c r="J59" s="197"/>
      <c r="K59" s="226"/>
      <c r="L59" s="156"/>
      <c r="M59" s="156"/>
      <c r="N59" s="156"/>
      <c r="O59" s="156"/>
    </row>
    <row r="61" spans="1:15" x14ac:dyDescent="0.2">
      <c r="B61" s="156"/>
      <c r="C61" s="156"/>
    </row>
    <row r="62" spans="1:15" x14ac:dyDescent="0.2">
      <c r="B62" s="156"/>
      <c r="C62" s="156"/>
    </row>
    <row r="63" spans="1:15" x14ac:dyDescent="0.2">
      <c r="C63" s="196"/>
    </row>
    <row r="64" spans="1:15" x14ac:dyDescent="0.2">
      <c r="B64" s="156"/>
      <c r="C64" s="156"/>
    </row>
    <row r="65" spans="2:3" x14ac:dyDescent="0.2">
      <c r="B65" s="156"/>
      <c r="C65" s="156"/>
    </row>
    <row r="66" spans="2:3" x14ac:dyDescent="0.2">
      <c r="C66" s="156"/>
    </row>
    <row r="67" spans="2:3" x14ac:dyDescent="0.2">
      <c r="C67" s="156"/>
    </row>
    <row r="68" spans="2:3" x14ac:dyDescent="0.2">
      <c r="C68" s="156"/>
    </row>
    <row r="69" spans="2:3" x14ac:dyDescent="0.2">
      <c r="C69" s="156"/>
    </row>
    <row r="70" spans="2:3" x14ac:dyDescent="0.2">
      <c r="C70" s="156"/>
    </row>
    <row r="71" spans="2:3" x14ac:dyDescent="0.2">
      <c r="B71" s="156"/>
    </row>
    <row r="72" spans="2:3" x14ac:dyDescent="0.2">
      <c r="B72" s="156"/>
    </row>
    <row r="73" spans="2:3" x14ac:dyDescent="0.2">
      <c r="B73" s="156"/>
    </row>
    <row r="74" spans="2:3" x14ac:dyDescent="0.2">
      <c r="B74" s="156"/>
    </row>
    <row r="75" spans="2:3" x14ac:dyDescent="0.2">
      <c r="B75" s="156"/>
    </row>
    <row r="76" spans="2:3" x14ac:dyDescent="0.2">
      <c r="B76" s="156"/>
    </row>
    <row r="77" spans="2:3" x14ac:dyDescent="0.2">
      <c r="B77" s="156"/>
    </row>
    <row r="78" spans="2:3" x14ac:dyDescent="0.2">
      <c r="B78" s="156"/>
    </row>
    <row r="79" spans="2:3" x14ac:dyDescent="0.2">
      <c r="B79" s="156"/>
    </row>
    <row r="80" spans="2:3" x14ac:dyDescent="0.2">
      <c r="B80" s="156"/>
    </row>
    <row r="81" spans="2:3" x14ac:dyDescent="0.2">
      <c r="B81" s="156"/>
    </row>
    <row r="82" spans="2:3" x14ac:dyDescent="0.2">
      <c r="B82" s="156"/>
    </row>
    <row r="83" spans="2:3" x14ac:dyDescent="0.2">
      <c r="B83" s="156"/>
    </row>
    <row r="84" spans="2:3" x14ac:dyDescent="0.2">
      <c r="B84" s="156"/>
    </row>
    <row r="85" spans="2:3" x14ac:dyDescent="0.2">
      <c r="B85" s="156"/>
    </row>
    <row r="86" spans="2:3" x14ac:dyDescent="0.2">
      <c r="B86" s="156"/>
      <c r="C86" s="156"/>
    </row>
    <row r="87" spans="2:3" x14ac:dyDescent="0.2">
      <c r="B87" s="156"/>
      <c r="C87" s="156"/>
    </row>
    <row r="88" spans="2:3" x14ac:dyDescent="0.2">
      <c r="B88" s="156"/>
    </row>
    <row r="89" spans="2:3" x14ac:dyDescent="0.2">
      <c r="B89" s="156"/>
    </row>
    <row r="90" spans="2:3" x14ac:dyDescent="0.2">
      <c r="B90" s="156"/>
    </row>
    <row r="91" spans="2:3" x14ac:dyDescent="0.2">
      <c r="B91" s="156"/>
      <c r="C91" s="156"/>
    </row>
    <row r="92" spans="2:3" x14ac:dyDescent="0.2">
      <c r="B92" s="156"/>
      <c r="C92" s="156"/>
    </row>
    <row r="93" spans="2:3" x14ac:dyDescent="0.2">
      <c r="C93" s="156"/>
    </row>
    <row r="94" spans="2:3" x14ac:dyDescent="0.2">
      <c r="C94" s="156"/>
    </row>
    <row r="95" spans="2:3" x14ac:dyDescent="0.2">
      <c r="C95" s="156"/>
    </row>
    <row r="96" spans="2:3" x14ac:dyDescent="0.2">
      <c r="C96" s="156"/>
    </row>
    <row r="97" spans="2:3" x14ac:dyDescent="0.2">
      <c r="B97" s="156"/>
    </row>
    <row r="98" spans="2:3" x14ac:dyDescent="0.2">
      <c r="B98" s="156"/>
    </row>
    <row r="99" spans="2:3" x14ac:dyDescent="0.2">
      <c r="B99" s="156"/>
    </row>
    <row r="100" spans="2:3" x14ac:dyDescent="0.2">
      <c r="B100" s="156"/>
    </row>
    <row r="101" spans="2:3" x14ac:dyDescent="0.2">
      <c r="B101" s="156"/>
      <c r="C101" s="156"/>
    </row>
    <row r="102" spans="2:3" x14ac:dyDescent="0.2">
      <c r="B102" s="156"/>
      <c r="C102" s="156"/>
    </row>
    <row r="103" spans="2:3" x14ac:dyDescent="0.2">
      <c r="B103" s="156"/>
    </row>
    <row r="104" spans="2:3" x14ac:dyDescent="0.2">
      <c r="B104" s="156"/>
    </row>
    <row r="105" spans="2:3" x14ac:dyDescent="0.2">
      <c r="B105" s="156"/>
      <c r="C105" s="156"/>
    </row>
    <row r="106" spans="2:3" x14ac:dyDescent="0.2">
      <c r="B106" s="156"/>
      <c r="C106" s="156"/>
    </row>
    <row r="107" spans="2:3" x14ac:dyDescent="0.2">
      <c r="B107" s="156"/>
    </row>
    <row r="108" spans="2:3" x14ac:dyDescent="0.2">
      <c r="B108" s="156"/>
    </row>
    <row r="109" spans="2:3" x14ac:dyDescent="0.2">
      <c r="B109" s="156"/>
      <c r="C109" s="156"/>
    </row>
    <row r="110" spans="2:3" x14ac:dyDescent="0.2">
      <c r="B110" s="156"/>
      <c r="C110" s="156"/>
    </row>
    <row r="111" spans="2:3" x14ac:dyDescent="0.2">
      <c r="C111" s="156"/>
    </row>
    <row r="112" spans="2:3" x14ac:dyDescent="0.2">
      <c r="B112" s="156"/>
      <c r="C112" s="156"/>
    </row>
    <row r="113" spans="2:3" x14ac:dyDescent="0.2">
      <c r="B113" s="156"/>
      <c r="C113" s="156"/>
    </row>
    <row r="114" spans="2:3" x14ac:dyDescent="0.2">
      <c r="B114" s="156"/>
    </row>
    <row r="115" spans="2:3" x14ac:dyDescent="0.2">
      <c r="B115" s="156"/>
    </row>
    <row r="116" spans="2:3" x14ac:dyDescent="0.2">
      <c r="B116" s="156"/>
    </row>
    <row r="117" spans="2:3" x14ac:dyDescent="0.2">
      <c r="B117" s="156"/>
      <c r="C117" s="156"/>
    </row>
    <row r="118" spans="2:3" x14ac:dyDescent="0.2">
      <c r="B118" s="156"/>
      <c r="C118" s="156"/>
    </row>
    <row r="119" spans="2:3" x14ac:dyDescent="0.2">
      <c r="C119" s="156"/>
    </row>
    <row r="120" spans="2:3" x14ac:dyDescent="0.2">
      <c r="B120" s="156"/>
    </row>
    <row r="121" spans="2:3" x14ac:dyDescent="0.2">
      <c r="B121" s="156"/>
    </row>
    <row r="122" spans="2:3" x14ac:dyDescent="0.2">
      <c r="B122" s="156"/>
    </row>
    <row r="123" spans="2:3" x14ac:dyDescent="0.2">
      <c r="B123" s="156"/>
      <c r="C123" s="156"/>
    </row>
    <row r="124" spans="2:3" x14ac:dyDescent="0.2">
      <c r="B124" s="156"/>
      <c r="C124" s="156"/>
    </row>
    <row r="125" spans="2:3" x14ac:dyDescent="0.2">
      <c r="C125" s="156"/>
    </row>
    <row r="126" spans="2:3" x14ac:dyDescent="0.2">
      <c r="C126" s="156"/>
    </row>
    <row r="127" spans="2:3" x14ac:dyDescent="0.2">
      <c r="B127" s="156"/>
      <c r="C127" s="156"/>
    </row>
    <row r="128" spans="2:3" x14ac:dyDescent="0.2">
      <c r="B128" s="156"/>
      <c r="C128" s="156"/>
    </row>
    <row r="129" spans="2:3" x14ac:dyDescent="0.2">
      <c r="B129" s="156"/>
    </row>
    <row r="130" spans="2:3" x14ac:dyDescent="0.2">
      <c r="B130" s="156"/>
    </row>
    <row r="131" spans="2:3" x14ac:dyDescent="0.2">
      <c r="B131" s="156"/>
    </row>
    <row r="132" spans="2:3" x14ac:dyDescent="0.2">
      <c r="B132" s="156"/>
    </row>
    <row r="133" spans="2:3" x14ac:dyDescent="0.2">
      <c r="B133" s="156"/>
      <c r="C133" s="156"/>
    </row>
    <row r="134" spans="2:3" x14ac:dyDescent="0.2">
      <c r="B134" s="156"/>
      <c r="C134" s="156"/>
    </row>
    <row r="135" spans="2:3" x14ac:dyDescent="0.2">
      <c r="B135" s="156"/>
    </row>
    <row r="136" spans="2:3" x14ac:dyDescent="0.2">
      <c r="B136" s="156"/>
    </row>
    <row r="137" spans="2:3" x14ac:dyDescent="0.2">
      <c r="B137" s="156"/>
    </row>
    <row r="138" spans="2:3" x14ac:dyDescent="0.2">
      <c r="B138" s="156"/>
    </row>
    <row r="139" spans="2:3" x14ac:dyDescent="0.2">
      <c r="B139" s="156"/>
    </row>
    <row r="140" spans="2:3" x14ac:dyDescent="0.2">
      <c r="B140" s="156"/>
    </row>
    <row r="141" spans="2:3" x14ac:dyDescent="0.2">
      <c r="B141" s="156"/>
    </row>
    <row r="142" spans="2:3" x14ac:dyDescent="0.2">
      <c r="B142" s="156"/>
      <c r="C142" s="156"/>
    </row>
    <row r="143" spans="2:3" x14ac:dyDescent="0.2">
      <c r="B143" s="156"/>
      <c r="C143" s="156"/>
    </row>
    <row r="144" spans="2:3" x14ac:dyDescent="0.2">
      <c r="C144" s="156"/>
    </row>
    <row r="145" spans="2:3" x14ac:dyDescent="0.2">
      <c r="B145" s="156"/>
    </row>
    <row r="146" spans="2:3" x14ac:dyDescent="0.2">
      <c r="B146" s="156"/>
      <c r="C146" s="156"/>
    </row>
    <row r="147" spans="2:3" x14ac:dyDescent="0.2">
      <c r="B147" s="156"/>
      <c r="C147" s="156"/>
    </row>
    <row r="148" spans="2:3" x14ac:dyDescent="0.2">
      <c r="B148" s="156"/>
    </row>
    <row r="149" spans="2:3" x14ac:dyDescent="0.2">
      <c r="B149" s="156"/>
    </row>
    <row r="150" spans="2:3" x14ac:dyDescent="0.2">
      <c r="B150" s="156"/>
      <c r="C150" s="156"/>
    </row>
    <row r="151" spans="2:3" x14ac:dyDescent="0.2">
      <c r="B151" s="156"/>
      <c r="C151" s="156"/>
    </row>
    <row r="152" spans="2:3" x14ac:dyDescent="0.2">
      <c r="C152" s="156"/>
    </row>
    <row r="153" spans="2:3" x14ac:dyDescent="0.2">
      <c r="C153" s="156"/>
    </row>
    <row r="154" spans="2:3" x14ac:dyDescent="0.2">
      <c r="B154" s="156"/>
      <c r="C154" s="156"/>
    </row>
    <row r="155" spans="2:3" x14ac:dyDescent="0.2">
      <c r="B155" s="156"/>
      <c r="C155" s="156"/>
    </row>
    <row r="156" spans="2:3" x14ac:dyDescent="0.2">
      <c r="C156" s="156"/>
    </row>
    <row r="157" spans="2:3" x14ac:dyDescent="0.2">
      <c r="B157" s="156"/>
    </row>
    <row r="158" spans="2:3" x14ac:dyDescent="0.2">
      <c r="B158" s="156"/>
    </row>
    <row r="159" spans="2:3" x14ac:dyDescent="0.2">
      <c r="B159" s="156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80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zoomScaleNormal="100" workbookViewId="0">
      <selection activeCell="D42" sqref="D42"/>
    </sheetView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6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2" t="s">
        <v>400</v>
      </c>
      <c r="B1" s="149"/>
      <c r="C1" s="149"/>
      <c r="D1" s="150"/>
      <c r="E1" s="416" t="s">
        <v>706</v>
      </c>
      <c r="F1" s="416"/>
      <c r="G1" s="143"/>
      <c r="H1" s="143"/>
      <c r="I1" s="143"/>
      <c r="J1" s="151"/>
      <c r="K1" s="143"/>
      <c r="L1" s="143"/>
      <c r="M1" s="143"/>
      <c r="N1" s="143"/>
      <c r="O1" s="143"/>
      <c r="P1" s="143"/>
      <c r="Q1" s="143"/>
      <c r="R1" s="143"/>
      <c r="S1" s="143"/>
      <c r="T1" s="143"/>
    </row>
    <row r="2" spans="1:20" ht="38.25" x14ac:dyDescent="0.2">
      <c r="A2" s="151" t="s">
        <v>645</v>
      </c>
      <c r="C2" s="157">
        <v>1041384.54</v>
      </c>
      <c r="E2" s="415" t="s">
        <v>415</v>
      </c>
      <c r="F2" s="415"/>
      <c r="G2" s="160">
        <f>IF(C4&lt;0,0,IF(C4&lt;C2,B3,0))</f>
        <v>0</v>
      </c>
      <c r="J2"/>
    </row>
    <row r="3" spans="1:20" ht="25.5" x14ac:dyDescent="0.2">
      <c r="A3" s="151" t="s">
        <v>705</v>
      </c>
      <c r="B3" s="157">
        <f>'s3, s3b, s3d'!$J$8</f>
        <v>1065256.1399999999</v>
      </c>
      <c r="E3" s="161" t="s">
        <v>402</v>
      </c>
      <c r="F3" s="162" t="s">
        <v>642</v>
      </c>
      <c r="G3" s="162" t="s">
        <v>707</v>
      </c>
      <c r="H3" s="162" t="s">
        <v>403</v>
      </c>
      <c r="I3" s="162" t="s">
        <v>404</v>
      </c>
      <c r="J3"/>
    </row>
    <row r="4" spans="1:20" ht="25.5" x14ac:dyDescent="0.2">
      <c r="A4" s="191" t="s">
        <v>401</v>
      </c>
      <c r="B4" s="152">
        <f>'s3, s3b, s3d'!E54</f>
        <v>1927.1</v>
      </c>
      <c r="C4" s="159">
        <f>B3-B4</f>
        <v>1063329.04</v>
      </c>
      <c r="E4" s="156" t="s">
        <v>21</v>
      </c>
      <c r="F4" s="154">
        <v>1.67E-2</v>
      </c>
      <c r="G4" s="163">
        <f t="shared" ref="G4:G20" si="0">$G$2*F4</f>
        <v>0</v>
      </c>
      <c r="H4" s="152">
        <f>'s3, s3b, s3d'!E37</f>
        <v>38.54</v>
      </c>
      <c r="I4" s="163">
        <f t="shared" ref="I4:I20" si="1">G4-H4</f>
        <v>-38.54</v>
      </c>
      <c r="J4"/>
    </row>
    <row r="5" spans="1:20" ht="49.5" customHeight="1" x14ac:dyDescent="0.2">
      <c r="E5" s="156" t="s">
        <v>22</v>
      </c>
      <c r="F5" s="154">
        <v>2.7699999999999999E-2</v>
      </c>
      <c r="G5" s="163">
        <f t="shared" si="0"/>
        <v>0</v>
      </c>
      <c r="H5" s="152">
        <f>'s3, s3b, s3d'!E38</f>
        <v>32.76</v>
      </c>
      <c r="I5" s="163">
        <f t="shared" si="1"/>
        <v>-32.76</v>
      </c>
      <c r="J5"/>
    </row>
    <row r="6" spans="1:20" ht="35.25" customHeight="1" x14ac:dyDescent="0.2">
      <c r="E6" s="156" t="s">
        <v>23</v>
      </c>
      <c r="F6" s="154">
        <v>0.43830000000000002</v>
      </c>
      <c r="G6" s="163">
        <f t="shared" si="0"/>
        <v>0</v>
      </c>
      <c r="H6" s="152">
        <f>'s3, s3b, s3d'!E39</f>
        <v>1054.1300000000001</v>
      </c>
      <c r="I6" s="163">
        <f>(G6-H6)+J21</f>
        <v>-1054.1300000000001</v>
      </c>
      <c r="J6"/>
    </row>
    <row r="7" spans="1:20" x14ac:dyDescent="0.2">
      <c r="E7" s="156" t="s">
        <v>24</v>
      </c>
      <c r="F7" s="154">
        <v>1.55E-2</v>
      </c>
      <c r="G7" s="163">
        <f t="shared" si="0"/>
        <v>0</v>
      </c>
      <c r="H7" s="152">
        <f>'s3, s3b, s3d'!E40</f>
        <v>32.76</v>
      </c>
      <c r="I7" s="163">
        <f t="shared" si="1"/>
        <v>-32.76</v>
      </c>
      <c r="J7"/>
    </row>
    <row r="8" spans="1:20" x14ac:dyDescent="0.2">
      <c r="E8" s="156" t="s">
        <v>25</v>
      </c>
      <c r="F8" s="154">
        <v>6.5299999999999997E-2</v>
      </c>
      <c r="G8" s="163">
        <f t="shared" si="0"/>
        <v>0</v>
      </c>
      <c r="H8" s="152">
        <f>'s3, s3b, s3d'!E41</f>
        <v>63.59</v>
      </c>
      <c r="I8" s="163">
        <f t="shared" si="1"/>
        <v>-63.59</v>
      </c>
      <c r="J8"/>
    </row>
    <row r="9" spans="1:20" x14ac:dyDescent="0.2">
      <c r="E9" s="156" t="s">
        <v>26</v>
      </c>
      <c r="F9" s="154">
        <v>1.52E-2</v>
      </c>
      <c r="G9" s="163">
        <f t="shared" si="0"/>
        <v>0</v>
      </c>
      <c r="H9" s="152">
        <f>'s3, s3b, s3d'!E42</f>
        <v>15.42</v>
      </c>
      <c r="I9" s="163">
        <f t="shared" si="1"/>
        <v>-15.42</v>
      </c>
      <c r="J9"/>
    </row>
    <row r="10" spans="1:20" x14ac:dyDescent="0.2">
      <c r="E10" s="156" t="s">
        <v>27</v>
      </c>
      <c r="F10" s="154">
        <v>1.9400000000000001E-2</v>
      </c>
      <c r="G10" s="163">
        <f t="shared" si="0"/>
        <v>0</v>
      </c>
      <c r="H10" s="152">
        <f>'s3, s3b, s3d'!E43</f>
        <v>30.83</v>
      </c>
      <c r="I10" s="163">
        <f t="shared" si="1"/>
        <v>-30.83</v>
      </c>
      <c r="J10"/>
    </row>
    <row r="11" spans="1:20" x14ac:dyDescent="0.2">
      <c r="E11" s="156" t="s">
        <v>28</v>
      </c>
      <c r="F11" s="154">
        <v>3.9199999999999999E-2</v>
      </c>
      <c r="G11" s="163">
        <f t="shared" si="0"/>
        <v>0</v>
      </c>
      <c r="H11" s="152">
        <f>'s3, s3b, s3d'!E44</f>
        <v>40.47</v>
      </c>
      <c r="I11" s="163">
        <f t="shared" si="1"/>
        <v>-40.47</v>
      </c>
      <c r="J11"/>
    </row>
    <row r="12" spans="1:20" x14ac:dyDescent="0.2">
      <c r="E12" s="156" t="s">
        <v>29</v>
      </c>
      <c r="F12" s="154">
        <v>2.4799999999999999E-2</v>
      </c>
      <c r="G12" s="163">
        <f t="shared" si="0"/>
        <v>0</v>
      </c>
      <c r="H12" s="152">
        <f>'s3, s3b, s3d'!E45</f>
        <v>40.47</v>
      </c>
      <c r="I12" s="163">
        <f t="shared" si="1"/>
        <v>-40.47</v>
      </c>
      <c r="J12"/>
    </row>
    <row r="13" spans="1:20" x14ac:dyDescent="0.2">
      <c r="E13" s="156" t="s">
        <v>30</v>
      </c>
      <c r="F13" s="154">
        <v>4.3200000000000002E-2</v>
      </c>
      <c r="G13" s="163">
        <f t="shared" si="0"/>
        <v>0</v>
      </c>
      <c r="H13" s="152">
        <f>'s3, s3b, s3d'!E46</f>
        <v>61.67</v>
      </c>
      <c r="I13" s="163">
        <f t="shared" si="1"/>
        <v>-61.67</v>
      </c>
      <c r="J13"/>
    </row>
    <row r="14" spans="1:20" x14ac:dyDescent="0.2">
      <c r="E14" s="156" t="s">
        <v>31</v>
      </c>
      <c r="F14" s="154">
        <v>1.89E-2</v>
      </c>
      <c r="G14" s="163">
        <f t="shared" si="0"/>
        <v>0</v>
      </c>
      <c r="H14" s="152">
        <f>'s3, s3b, s3d'!E47</f>
        <v>40.47</v>
      </c>
      <c r="I14" s="163">
        <f t="shared" si="1"/>
        <v>-40.47</v>
      </c>
      <c r="J14"/>
    </row>
    <row r="15" spans="1:20" x14ac:dyDescent="0.2">
      <c r="E15" s="156" t="s">
        <v>405</v>
      </c>
      <c r="F15" s="154">
        <v>1.4E-2</v>
      </c>
      <c r="G15" s="163">
        <f t="shared" si="0"/>
        <v>0</v>
      </c>
      <c r="H15" s="152">
        <f>'s3, s3b, s3d'!E48</f>
        <v>13.49</v>
      </c>
      <c r="I15" s="163">
        <f t="shared" si="1"/>
        <v>-13.49</v>
      </c>
      <c r="J15"/>
    </row>
    <row r="16" spans="1:20" x14ac:dyDescent="0.2">
      <c r="E16" s="156" t="s">
        <v>33</v>
      </c>
      <c r="F16" s="154">
        <v>6.7699999999999996E-2</v>
      </c>
      <c r="G16" s="163">
        <f t="shared" si="0"/>
        <v>0</v>
      </c>
      <c r="H16" s="152">
        <f>'s3, s3b, s3d'!E49</f>
        <v>86.72</v>
      </c>
      <c r="I16" s="163">
        <f t="shared" si="1"/>
        <v>-86.72</v>
      </c>
      <c r="J16"/>
    </row>
    <row r="17" spans="1:22" x14ac:dyDescent="0.2">
      <c r="E17" s="156" t="s">
        <v>34</v>
      </c>
      <c r="F17" s="154">
        <v>2.8400000000000002E-2</v>
      </c>
      <c r="G17" s="163">
        <f t="shared" si="0"/>
        <v>0</v>
      </c>
      <c r="H17" s="152">
        <f>'s3, s3b, s3d'!E50</f>
        <v>63.59</v>
      </c>
      <c r="I17" s="163">
        <f t="shared" si="1"/>
        <v>-63.59</v>
      </c>
      <c r="J17"/>
    </row>
    <row r="18" spans="1:22" x14ac:dyDescent="0.2">
      <c r="E18" s="156" t="s">
        <v>35</v>
      </c>
      <c r="F18" s="154">
        <v>2.2000000000000001E-3</v>
      </c>
      <c r="G18" s="163">
        <f t="shared" si="0"/>
        <v>0</v>
      </c>
      <c r="H18" s="152">
        <f>'s3, s3b, s3d'!E51</f>
        <v>3.85</v>
      </c>
      <c r="I18" s="163">
        <f t="shared" si="1"/>
        <v>-3.85</v>
      </c>
      <c r="J18"/>
    </row>
    <row r="19" spans="1:22" x14ac:dyDescent="0.2">
      <c r="E19" s="156" t="s">
        <v>36</v>
      </c>
      <c r="F19" s="154">
        <v>0.1232</v>
      </c>
      <c r="G19" s="163">
        <f t="shared" si="0"/>
        <v>0</v>
      </c>
      <c r="H19" s="152">
        <f>'s3, s3b, s3d'!E52</f>
        <v>267.87</v>
      </c>
      <c r="I19" s="163">
        <f t="shared" si="1"/>
        <v>-267.87</v>
      </c>
      <c r="J19"/>
    </row>
    <row r="20" spans="1:22" x14ac:dyDescent="0.2">
      <c r="E20" s="156" t="s">
        <v>37</v>
      </c>
      <c r="F20" s="154">
        <v>4.0300000000000002E-2</v>
      </c>
      <c r="G20" s="163">
        <f t="shared" si="0"/>
        <v>0</v>
      </c>
      <c r="H20" s="152">
        <f>'s3, s3b, s3d'!E53</f>
        <v>40.47</v>
      </c>
      <c r="I20" s="163">
        <f t="shared" si="1"/>
        <v>-40.47</v>
      </c>
      <c r="J20"/>
    </row>
    <row r="21" spans="1:22" ht="13.5" thickBot="1" x14ac:dyDescent="0.25">
      <c r="E21" s="151" t="s">
        <v>250</v>
      </c>
      <c r="F21" s="164">
        <f>SUM(F4:F20)</f>
        <v>1</v>
      </c>
      <c r="G21" s="165">
        <f>SUM(G4:G20)</f>
        <v>0</v>
      </c>
      <c r="H21" s="166">
        <f>SUM(H4:H20)</f>
        <v>1927.1</v>
      </c>
      <c r="I21" s="165">
        <f>SUM(I4:I20)</f>
        <v>-1927.1</v>
      </c>
      <c r="J21" s="163">
        <f>G2-G21</f>
        <v>0</v>
      </c>
    </row>
    <row r="22" spans="1:22" ht="26.25" customHeight="1" thickTop="1" thickBot="1" x14ac:dyDescent="0.25">
      <c r="A22" s="417" t="s">
        <v>708</v>
      </c>
      <c r="B22" s="417"/>
      <c r="C22" s="417"/>
      <c r="J22"/>
    </row>
    <row r="23" spans="1:22" ht="37.5" customHeight="1" thickBot="1" x14ac:dyDescent="0.25">
      <c r="A23" s="415" t="s">
        <v>416</v>
      </c>
      <c r="B23" s="415"/>
      <c r="C23" s="152">
        <f>IF(C4&gt;C2,B3,0)</f>
        <v>1065256.1399999999</v>
      </c>
      <c r="D23" s="152"/>
      <c r="E23" s="152"/>
      <c r="F23" s="152"/>
      <c r="J23"/>
      <c r="L23" s="412" t="s">
        <v>665</v>
      </c>
      <c r="M23" s="413"/>
      <c r="N23" s="413"/>
      <c r="O23" s="414"/>
      <c r="R23" s="151" t="s">
        <v>710</v>
      </c>
    </row>
    <row r="24" spans="1:22" ht="89.25" x14ac:dyDescent="0.2">
      <c r="A24" s="168" t="s">
        <v>406</v>
      </c>
      <c r="B24" s="168" t="s">
        <v>407</v>
      </c>
      <c r="C24" s="168" t="s">
        <v>408</v>
      </c>
      <c r="D24" s="168" t="s">
        <v>409</v>
      </c>
      <c r="E24" s="168" t="s">
        <v>410</v>
      </c>
      <c r="F24" s="168" t="s">
        <v>703</v>
      </c>
      <c r="G24" s="169" t="s">
        <v>704</v>
      </c>
      <c r="H24" s="168" t="s">
        <v>411</v>
      </c>
      <c r="I24" s="168" t="s">
        <v>412</v>
      </c>
      <c r="J24" s="168" t="s">
        <v>643</v>
      </c>
      <c r="K24" s="322" t="s">
        <v>644</v>
      </c>
      <c r="L24" s="321" t="s">
        <v>666</v>
      </c>
      <c r="M24" s="321" t="s">
        <v>667</v>
      </c>
      <c r="N24" s="321" t="s">
        <v>668</v>
      </c>
      <c r="O24" s="321" t="s">
        <v>669</v>
      </c>
      <c r="P24" s="168" t="s">
        <v>709</v>
      </c>
      <c r="Q24" s="169" t="s">
        <v>413</v>
      </c>
      <c r="R24" s="170">
        <f>IF(C4-C2&gt;0,C4-C2,0)</f>
        <v>21944.5</v>
      </c>
      <c r="S24" s="168" t="s">
        <v>114</v>
      </c>
      <c r="T24" s="331" t="s">
        <v>670</v>
      </c>
      <c r="U24" s="332" t="s">
        <v>671</v>
      </c>
    </row>
    <row r="25" spans="1:22" x14ac:dyDescent="0.2">
      <c r="A25" s="156" t="s">
        <v>21</v>
      </c>
      <c r="B25" s="171">
        <v>55220</v>
      </c>
      <c r="C25" s="145">
        <f>ROUND(B25/$B$42,4)</f>
        <v>2.4E-2</v>
      </c>
      <c r="D25" s="385">
        <v>248.51</v>
      </c>
      <c r="E25" s="145">
        <f>ROUND(D25/$D$42,4)</f>
        <v>1.24E-2</v>
      </c>
      <c r="F25" s="145">
        <f>ROUND((C25*2/3)+(E25/3),4)</f>
        <v>2.01E-2</v>
      </c>
      <c r="G25" s="163">
        <f t="shared" ref="G25:G41" si="2">$C$23*F25</f>
        <v>21411.65</v>
      </c>
      <c r="H25" s="163">
        <f t="shared" ref="H25:H41" si="3">H4</f>
        <v>38.54</v>
      </c>
      <c r="I25" s="163">
        <f t="shared" ref="I25:I41" si="4">G25-H25</f>
        <v>21373.11</v>
      </c>
      <c r="J25" s="154">
        <f t="shared" ref="J25:J41" si="5">F4</f>
        <v>1.67E-2</v>
      </c>
      <c r="K25" s="163">
        <f t="shared" ref="K25:K41" si="6">$C$2*J25</f>
        <v>17391.12</v>
      </c>
      <c r="L25" s="339">
        <f>IF((I25&gt;K25), I25-K25, 0)</f>
        <v>3981.99</v>
      </c>
      <c r="M25" s="340">
        <f>L25/$L$42</f>
        <v>2.5191000000000002E-2</v>
      </c>
      <c r="N25" s="341">
        <f>IF((K25&gt;I25), K25-I25, 0)</f>
        <v>0</v>
      </c>
      <c r="O25" s="342">
        <f>$O$42*M25</f>
        <v>552.79999999999995</v>
      </c>
      <c r="P25" s="145">
        <f t="shared" ref="P25:P41" si="7">IF(I25-K25&lt;=0,0,F25)</f>
        <v>2.01E-2</v>
      </c>
      <c r="Q25" s="145">
        <f t="shared" ref="Q25:Q41" si="8">IF(P25=0,0,P25/$P$42)</f>
        <v>2.5888000000000001E-2</v>
      </c>
      <c r="R25" s="163">
        <f t="shared" ref="R25:R41" si="9">Q25*$R$24</f>
        <v>568.1</v>
      </c>
      <c r="S25" s="163">
        <f>K25+R25</f>
        <v>17959.22</v>
      </c>
      <c r="T25" s="333">
        <f>K25+O25</f>
        <v>17943.919999999998</v>
      </c>
      <c r="U25" s="337">
        <f>+S25-T25</f>
        <v>15.3</v>
      </c>
      <c r="V25" s="163">
        <f t="shared" ref="V25:V42" si="10">K25+R25</f>
        <v>17959.22</v>
      </c>
    </row>
    <row r="26" spans="1:22" x14ac:dyDescent="0.2">
      <c r="A26" s="156" t="s">
        <v>22</v>
      </c>
      <c r="B26" s="171">
        <v>25808</v>
      </c>
      <c r="C26" s="145">
        <f t="shared" ref="C26:C41" si="11">ROUND(B26/$B$42,4)</f>
        <v>1.12E-2</v>
      </c>
      <c r="D26" s="385">
        <v>587.17999999999995</v>
      </c>
      <c r="E26" s="145">
        <f t="shared" ref="E26:E41" si="12">ROUND(D26/$D$42,4)</f>
        <v>2.9399999999999999E-2</v>
      </c>
      <c r="F26" s="145">
        <f t="shared" ref="F26:F41" si="13">ROUND((C26*2/3)+(E26/3),4)</f>
        <v>1.7299999999999999E-2</v>
      </c>
      <c r="G26" s="163">
        <f t="shared" si="2"/>
        <v>18428.93</v>
      </c>
      <c r="H26" s="163">
        <f t="shared" si="3"/>
        <v>32.76</v>
      </c>
      <c r="I26" s="163">
        <f t="shared" si="4"/>
        <v>18396.169999999998</v>
      </c>
      <c r="J26" s="154">
        <f t="shared" si="5"/>
        <v>2.7699999999999999E-2</v>
      </c>
      <c r="K26" s="163">
        <f t="shared" si="6"/>
        <v>28846.35</v>
      </c>
      <c r="L26" s="346">
        <f>IF((I26&gt;K26), I26-K26, 0)</f>
        <v>0</v>
      </c>
      <c r="M26" s="340"/>
      <c r="N26" s="347">
        <f>IF((K26&gt;I26), K26-I26, 0)</f>
        <v>10450.18</v>
      </c>
      <c r="O26" s="348"/>
      <c r="P26" s="145">
        <f t="shared" si="7"/>
        <v>0</v>
      </c>
      <c r="Q26" s="145">
        <f t="shared" si="8"/>
        <v>0</v>
      </c>
      <c r="R26" s="163">
        <f t="shared" si="9"/>
        <v>0</v>
      </c>
      <c r="S26" s="163">
        <f>K26+R26</f>
        <v>28846.35</v>
      </c>
      <c r="T26" s="333">
        <f t="shared" ref="T26:T41" si="14">K26+O26</f>
        <v>28846.35</v>
      </c>
      <c r="U26" s="337">
        <f t="shared" ref="U26:U41" si="15">+S26-T26</f>
        <v>0</v>
      </c>
      <c r="V26" s="163">
        <f t="shared" si="10"/>
        <v>28846.35</v>
      </c>
    </row>
    <row r="27" spans="1:22" x14ac:dyDescent="0.2">
      <c r="A27" s="215" t="s">
        <v>23</v>
      </c>
      <c r="B27" s="171">
        <v>1620748</v>
      </c>
      <c r="C27" s="145">
        <f t="shared" si="11"/>
        <v>0.70569999999999999</v>
      </c>
      <c r="D27" s="385">
        <v>4499.7700000000004</v>
      </c>
      <c r="E27" s="145">
        <f t="shared" si="12"/>
        <v>0.22509999999999999</v>
      </c>
      <c r="F27" s="387">
        <f>ROUND((C27*2/3)+(E27/3),4)+0.000014</f>
        <v>0.54551400000000005</v>
      </c>
      <c r="G27" s="163">
        <f t="shared" si="2"/>
        <v>581112.14</v>
      </c>
      <c r="H27" s="163">
        <f t="shared" si="3"/>
        <v>1054.1300000000001</v>
      </c>
      <c r="I27" s="163">
        <f t="shared" si="4"/>
        <v>580058.01</v>
      </c>
      <c r="J27" s="154">
        <f t="shared" si="5"/>
        <v>0.43830000000000002</v>
      </c>
      <c r="K27" s="163">
        <f t="shared" si="6"/>
        <v>456438.84</v>
      </c>
      <c r="L27" s="346">
        <f t="shared" ref="L27:L41" si="16">IF((I27&gt;K27), I27-K27, 0)</f>
        <v>123619.17</v>
      </c>
      <c r="M27" s="340">
        <f>L27/$L$42</f>
        <v>0.78205400000000003</v>
      </c>
      <c r="N27" s="347">
        <f t="shared" ref="N27:N41" si="17">IF((K27&gt;I27), K27-I27, 0)</f>
        <v>0</v>
      </c>
      <c r="O27" s="348">
        <f>$O$42*M27</f>
        <v>17161.78</v>
      </c>
      <c r="P27" s="145">
        <f t="shared" si="7"/>
        <v>0.54551400000000005</v>
      </c>
      <c r="Q27" s="145">
        <f t="shared" si="8"/>
        <v>0.70259400000000005</v>
      </c>
      <c r="R27" s="163">
        <f t="shared" si="9"/>
        <v>15418.07</v>
      </c>
      <c r="S27" s="163">
        <f>K27+R27-X42</f>
        <v>471856.91</v>
      </c>
      <c r="T27" s="333">
        <f t="shared" si="14"/>
        <v>473600.62</v>
      </c>
      <c r="U27" s="337">
        <f t="shared" si="15"/>
        <v>-1743.71</v>
      </c>
      <c r="V27" s="163">
        <f t="shared" si="10"/>
        <v>471856.91</v>
      </c>
    </row>
    <row r="28" spans="1:22" x14ac:dyDescent="0.2">
      <c r="A28" s="215" t="s">
        <v>24</v>
      </c>
      <c r="B28" s="171">
        <v>45603</v>
      </c>
      <c r="C28" s="145">
        <f t="shared" si="11"/>
        <v>1.9900000000000001E-2</v>
      </c>
      <c r="D28" s="385">
        <v>208</v>
      </c>
      <c r="E28" s="145">
        <f t="shared" si="12"/>
        <v>1.04E-2</v>
      </c>
      <c r="F28" s="387">
        <f>ROUND((C28*2/3)+(E28/3),4)+0.000014</f>
        <v>1.6714E-2</v>
      </c>
      <c r="G28" s="163">
        <f t="shared" si="2"/>
        <v>17804.689999999999</v>
      </c>
      <c r="H28" s="163">
        <f t="shared" si="3"/>
        <v>32.76</v>
      </c>
      <c r="I28" s="163">
        <f t="shared" si="4"/>
        <v>17771.93</v>
      </c>
      <c r="J28" s="154">
        <f t="shared" si="5"/>
        <v>1.55E-2</v>
      </c>
      <c r="K28" s="163">
        <f t="shared" si="6"/>
        <v>16141.46</v>
      </c>
      <c r="L28" s="346">
        <f t="shared" si="16"/>
        <v>1630.47</v>
      </c>
      <c r="M28" s="340">
        <f>L28/$L$42</f>
        <v>1.0315E-2</v>
      </c>
      <c r="N28" s="347">
        <f t="shared" si="17"/>
        <v>0</v>
      </c>
      <c r="O28" s="348">
        <f>$O$42*M28</f>
        <v>226.36</v>
      </c>
      <c r="P28" s="145">
        <f t="shared" si="7"/>
        <v>1.6714E-2</v>
      </c>
      <c r="Q28" s="145">
        <f t="shared" si="8"/>
        <v>2.1527000000000001E-2</v>
      </c>
      <c r="R28" s="163">
        <f t="shared" si="9"/>
        <v>472.4</v>
      </c>
      <c r="S28" s="163">
        <f t="shared" ref="S28:S41" si="18">K28+R28</f>
        <v>16613.86</v>
      </c>
      <c r="T28" s="333">
        <f t="shared" si="14"/>
        <v>16367.82</v>
      </c>
      <c r="U28" s="337">
        <f t="shared" si="15"/>
        <v>246.04</v>
      </c>
      <c r="V28" s="163">
        <f t="shared" si="10"/>
        <v>16613.86</v>
      </c>
    </row>
    <row r="29" spans="1:22" x14ac:dyDescent="0.2">
      <c r="A29" s="215" t="s">
        <v>25</v>
      </c>
      <c r="B29" s="171">
        <v>45805</v>
      </c>
      <c r="C29" s="145">
        <f t="shared" si="11"/>
        <v>1.9900000000000001E-2</v>
      </c>
      <c r="D29" s="385">
        <v>1170.3599999999999</v>
      </c>
      <c r="E29" s="145">
        <f t="shared" si="12"/>
        <v>5.8599999999999999E-2</v>
      </c>
      <c r="F29" s="387">
        <f>ROUND((C29*2/3)+(E29/3),4)+0.000014</f>
        <v>3.2814000000000003E-2</v>
      </c>
      <c r="G29" s="163">
        <f t="shared" si="2"/>
        <v>34955.31</v>
      </c>
      <c r="H29" s="163">
        <f t="shared" si="3"/>
        <v>63.59</v>
      </c>
      <c r="I29" s="163">
        <f t="shared" si="4"/>
        <v>34891.72</v>
      </c>
      <c r="J29" s="154">
        <f t="shared" si="5"/>
        <v>6.5299999999999997E-2</v>
      </c>
      <c r="K29" s="163">
        <f t="shared" si="6"/>
        <v>68002.41</v>
      </c>
      <c r="L29" s="346">
        <f t="shared" si="16"/>
        <v>0</v>
      </c>
      <c r="M29" s="340"/>
      <c r="N29" s="347">
        <f t="shared" si="17"/>
        <v>33110.69</v>
      </c>
      <c r="O29" s="348"/>
      <c r="P29" s="145">
        <f t="shared" si="7"/>
        <v>0</v>
      </c>
      <c r="Q29" s="145">
        <f t="shared" si="8"/>
        <v>0</v>
      </c>
      <c r="R29" s="163">
        <f t="shared" si="9"/>
        <v>0</v>
      </c>
      <c r="S29" s="163">
        <f t="shared" si="18"/>
        <v>68002.41</v>
      </c>
      <c r="T29" s="333">
        <f t="shared" si="14"/>
        <v>68002.41</v>
      </c>
      <c r="U29" s="337">
        <f t="shared" si="15"/>
        <v>0</v>
      </c>
      <c r="V29" s="163">
        <f t="shared" si="10"/>
        <v>68002.41</v>
      </c>
    </row>
    <row r="30" spans="1:22" x14ac:dyDescent="0.2">
      <c r="A30" s="156" t="s">
        <v>26</v>
      </c>
      <c r="B30" s="171">
        <v>1116</v>
      </c>
      <c r="C30" s="145">
        <f t="shared" si="11"/>
        <v>5.0000000000000001E-4</v>
      </c>
      <c r="D30" s="385">
        <v>469.33</v>
      </c>
      <c r="E30" s="145">
        <f t="shared" si="12"/>
        <v>2.35E-2</v>
      </c>
      <c r="F30" s="145">
        <f t="shared" si="13"/>
        <v>8.2000000000000007E-3</v>
      </c>
      <c r="G30" s="163">
        <f t="shared" si="2"/>
        <v>8735.1</v>
      </c>
      <c r="H30" s="163">
        <f t="shared" si="3"/>
        <v>15.42</v>
      </c>
      <c r="I30" s="163">
        <f t="shared" si="4"/>
        <v>8719.68</v>
      </c>
      <c r="J30" s="154">
        <f t="shared" si="5"/>
        <v>1.52E-2</v>
      </c>
      <c r="K30" s="163">
        <f t="shared" si="6"/>
        <v>15829.05</v>
      </c>
      <c r="L30" s="346">
        <f t="shared" si="16"/>
        <v>0</v>
      </c>
      <c r="M30" s="340"/>
      <c r="N30" s="347">
        <f t="shared" si="17"/>
        <v>7109.37</v>
      </c>
      <c r="O30" s="348"/>
      <c r="P30" s="145">
        <f t="shared" si="7"/>
        <v>0</v>
      </c>
      <c r="Q30" s="145">
        <f t="shared" si="8"/>
        <v>0</v>
      </c>
      <c r="R30" s="163">
        <f t="shared" si="9"/>
        <v>0</v>
      </c>
      <c r="S30" s="163">
        <f t="shared" si="18"/>
        <v>15829.05</v>
      </c>
      <c r="T30" s="333">
        <f t="shared" si="14"/>
        <v>15829.05</v>
      </c>
      <c r="U30" s="337">
        <f t="shared" si="15"/>
        <v>0</v>
      </c>
      <c r="V30" s="163">
        <f t="shared" si="10"/>
        <v>15829.05</v>
      </c>
    </row>
    <row r="31" spans="1:22" x14ac:dyDescent="0.2">
      <c r="A31" s="156" t="s">
        <v>27</v>
      </c>
      <c r="B31" s="171">
        <v>1420</v>
      </c>
      <c r="C31" s="145">
        <f t="shared" si="11"/>
        <v>5.9999999999999995E-4</v>
      </c>
      <c r="D31" s="385">
        <v>959.88</v>
      </c>
      <c r="E31" s="145">
        <f t="shared" si="12"/>
        <v>4.8000000000000001E-2</v>
      </c>
      <c r="F31" s="145">
        <f t="shared" si="13"/>
        <v>1.6400000000000001E-2</v>
      </c>
      <c r="G31" s="163">
        <f t="shared" si="2"/>
        <v>17470.2</v>
      </c>
      <c r="H31" s="163">
        <f t="shared" si="3"/>
        <v>30.83</v>
      </c>
      <c r="I31" s="163">
        <f t="shared" si="4"/>
        <v>17439.37</v>
      </c>
      <c r="J31" s="154">
        <f t="shared" si="5"/>
        <v>1.9400000000000001E-2</v>
      </c>
      <c r="K31" s="163">
        <f t="shared" si="6"/>
        <v>20202.86</v>
      </c>
      <c r="L31" s="346">
        <f t="shared" si="16"/>
        <v>0</v>
      </c>
      <c r="M31" s="340"/>
      <c r="N31" s="347">
        <f t="shared" si="17"/>
        <v>2763.49</v>
      </c>
      <c r="O31" s="348"/>
      <c r="P31" s="145">
        <f t="shared" si="7"/>
        <v>0</v>
      </c>
      <c r="Q31" s="145">
        <f t="shared" si="8"/>
        <v>0</v>
      </c>
      <c r="R31" s="163">
        <f t="shared" si="9"/>
        <v>0</v>
      </c>
      <c r="S31" s="163">
        <f t="shared" si="18"/>
        <v>20202.86</v>
      </c>
      <c r="T31" s="333">
        <f t="shared" si="14"/>
        <v>20202.86</v>
      </c>
      <c r="U31" s="337">
        <f t="shared" si="15"/>
        <v>0</v>
      </c>
      <c r="V31" s="163">
        <f t="shared" si="10"/>
        <v>20202.86</v>
      </c>
    </row>
    <row r="32" spans="1:22" x14ac:dyDescent="0.2">
      <c r="A32" s="156" t="s">
        <v>28</v>
      </c>
      <c r="B32" s="171">
        <v>16457</v>
      </c>
      <c r="C32" s="145">
        <f t="shared" si="11"/>
        <v>7.1999999999999998E-3</v>
      </c>
      <c r="D32" s="385">
        <v>1001.98</v>
      </c>
      <c r="E32" s="145">
        <f t="shared" si="12"/>
        <v>5.0099999999999999E-2</v>
      </c>
      <c r="F32" s="145">
        <f t="shared" si="13"/>
        <v>2.1499999999999998E-2</v>
      </c>
      <c r="G32" s="163">
        <f t="shared" si="2"/>
        <v>22903.01</v>
      </c>
      <c r="H32" s="163">
        <f t="shared" si="3"/>
        <v>40.47</v>
      </c>
      <c r="I32" s="163">
        <f t="shared" si="4"/>
        <v>22862.54</v>
      </c>
      <c r="J32" s="154">
        <f t="shared" si="5"/>
        <v>3.9199999999999999E-2</v>
      </c>
      <c r="K32" s="163">
        <f t="shared" si="6"/>
        <v>40822.269999999997</v>
      </c>
      <c r="L32" s="346">
        <f t="shared" si="16"/>
        <v>0</v>
      </c>
      <c r="M32" s="340"/>
      <c r="N32" s="347">
        <f t="shared" si="17"/>
        <v>17959.73</v>
      </c>
      <c r="O32" s="348"/>
      <c r="P32" s="145">
        <f t="shared" si="7"/>
        <v>0</v>
      </c>
      <c r="Q32" s="145">
        <f t="shared" si="8"/>
        <v>0</v>
      </c>
      <c r="R32" s="163">
        <f t="shared" si="9"/>
        <v>0</v>
      </c>
      <c r="S32" s="163">
        <f t="shared" si="18"/>
        <v>40822.269999999997</v>
      </c>
      <c r="T32" s="333">
        <f t="shared" si="14"/>
        <v>40822.269999999997</v>
      </c>
      <c r="U32" s="337">
        <f t="shared" si="15"/>
        <v>0</v>
      </c>
      <c r="V32" s="163">
        <f t="shared" si="10"/>
        <v>40822.269999999997</v>
      </c>
    </row>
    <row r="33" spans="1:24" x14ac:dyDescent="0.2">
      <c r="A33" s="215" t="s">
        <v>29</v>
      </c>
      <c r="B33" s="171">
        <v>5277</v>
      </c>
      <c r="C33" s="145">
        <f t="shared" si="11"/>
        <v>2.3E-3</v>
      </c>
      <c r="D33" s="385">
        <v>1148.6099999999999</v>
      </c>
      <c r="E33" s="145">
        <f t="shared" si="12"/>
        <v>5.7500000000000002E-2</v>
      </c>
      <c r="F33" s="387">
        <f>ROUND((C33*2/3)+(E33/3),4)+0.000014</f>
        <v>2.0714E-2</v>
      </c>
      <c r="G33" s="163">
        <f t="shared" si="2"/>
        <v>22065.72</v>
      </c>
      <c r="H33" s="163">
        <f t="shared" si="3"/>
        <v>40.47</v>
      </c>
      <c r="I33" s="163">
        <f t="shared" si="4"/>
        <v>22025.25</v>
      </c>
      <c r="J33" s="154">
        <f t="shared" si="5"/>
        <v>2.4799999999999999E-2</v>
      </c>
      <c r="K33" s="163">
        <f t="shared" si="6"/>
        <v>25826.34</v>
      </c>
      <c r="L33" s="346">
        <f t="shared" si="16"/>
        <v>0</v>
      </c>
      <c r="M33" s="340"/>
      <c r="N33" s="347">
        <f t="shared" si="17"/>
        <v>3801.09</v>
      </c>
      <c r="O33" s="348"/>
      <c r="P33" s="145">
        <f t="shared" si="7"/>
        <v>0</v>
      </c>
      <c r="Q33" s="145">
        <f t="shared" si="8"/>
        <v>0</v>
      </c>
      <c r="R33" s="163">
        <f t="shared" si="9"/>
        <v>0</v>
      </c>
      <c r="S33" s="163">
        <f t="shared" si="18"/>
        <v>25826.34</v>
      </c>
      <c r="T33" s="333">
        <f t="shared" si="14"/>
        <v>25826.34</v>
      </c>
      <c r="U33" s="337">
        <f t="shared" si="15"/>
        <v>0</v>
      </c>
      <c r="V33" s="163">
        <f t="shared" si="10"/>
        <v>25826.34</v>
      </c>
    </row>
    <row r="34" spans="1:24" x14ac:dyDescent="0.2">
      <c r="A34" s="156" t="s">
        <v>30</v>
      </c>
      <c r="B34" s="171">
        <v>3749</v>
      </c>
      <c r="C34" s="145">
        <f t="shared" si="11"/>
        <v>1.6000000000000001E-3</v>
      </c>
      <c r="D34" s="385">
        <v>1874.9</v>
      </c>
      <c r="E34" s="145">
        <f t="shared" si="12"/>
        <v>9.3799999999999994E-2</v>
      </c>
      <c r="F34" s="145">
        <f t="shared" si="13"/>
        <v>3.2300000000000002E-2</v>
      </c>
      <c r="G34" s="163">
        <f t="shared" si="2"/>
        <v>34407.769999999997</v>
      </c>
      <c r="H34" s="163">
        <f t="shared" si="3"/>
        <v>61.67</v>
      </c>
      <c r="I34" s="163">
        <f t="shared" si="4"/>
        <v>34346.1</v>
      </c>
      <c r="J34" s="154">
        <f t="shared" si="5"/>
        <v>4.3200000000000002E-2</v>
      </c>
      <c r="K34" s="163">
        <f t="shared" si="6"/>
        <v>44987.81</v>
      </c>
      <c r="L34" s="346">
        <f t="shared" si="16"/>
        <v>0</v>
      </c>
      <c r="M34" s="340"/>
      <c r="N34" s="347">
        <f t="shared" si="17"/>
        <v>10641.71</v>
      </c>
      <c r="O34" s="348"/>
      <c r="P34" s="145">
        <f t="shared" si="7"/>
        <v>0</v>
      </c>
      <c r="Q34" s="145">
        <f t="shared" si="8"/>
        <v>0</v>
      </c>
      <c r="R34" s="163">
        <f t="shared" si="9"/>
        <v>0</v>
      </c>
      <c r="S34" s="163">
        <f t="shared" si="18"/>
        <v>44987.81</v>
      </c>
      <c r="T34" s="333">
        <f t="shared" si="14"/>
        <v>44987.81</v>
      </c>
      <c r="U34" s="337">
        <f t="shared" si="15"/>
        <v>0</v>
      </c>
      <c r="V34" s="163">
        <f t="shared" si="10"/>
        <v>44987.81</v>
      </c>
    </row>
    <row r="35" spans="1:24" x14ac:dyDescent="0.2">
      <c r="A35" s="156" t="s">
        <v>31</v>
      </c>
      <c r="B35" s="171">
        <v>41244</v>
      </c>
      <c r="C35" s="145">
        <f t="shared" si="11"/>
        <v>1.7999999999999999E-2</v>
      </c>
      <c r="D35" s="385">
        <v>571.22</v>
      </c>
      <c r="E35" s="145">
        <f t="shared" si="12"/>
        <v>2.86E-2</v>
      </c>
      <c r="F35" s="145">
        <f t="shared" si="13"/>
        <v>2.1499999999999998E-2</v>
      </c>
      <c r="G35" s="163">
        <f t="shared" si="2"/>
        <v>22903.01</v>
      </c>
      <c r="H35" s="163">
        <f t="shared" si="3"/>
        <v>40.47</v>
      </c>
      <c r="I35" s="163">
        <f t="shared" si="4"/>
        <v>22862.54</v>
      </c>
      <c r="J35" s="154">
        <f t="shared" si="5"/>
        <v>1.89E-2</v>
      </c>
      <c r="K35" s="163">
        <f t="shared" si="6"/>
        <v>19682.169999999998</v>
      </c>
      <c r="L35" s="346">
        <f t="shared" si="16"/>
        <v>3180.37</v>
      </c>
      <c r="M35" s="340">
        <f>L35/$L$42</f>
        <v>2.0119999999999999E-2</v>
      </c>
      <c r="N35" s="347">
        <f t="shared" si="17"/>
        <v>0</v>
      </c>
      <c r="O35" s="348">
        <f>$O$42*M35</f>
        <v>441.52</v>
      </c>
      <c r="P35" s="145">
        <f t="shared" si="7"/>
        <v>2.1499999999999998E-2</v>
      </c>
      <c r="Q35" s="145">
        <f t="shared" si="8"/>
        <v>2.7691E-2</v>
      </c>
      <c r="R35" s="163">
        <f t="shared" si="9"/>
        <v>607.66999999999996</v>
      </c>
      <c r="S35" s="163">
        <f t="shared" si="18"/>
        <v>20289.84</v>
      </c>
      <c r="T35" s="333">
        <f t="shared" si="14"/>
        <v>20123.689999999999</v>
      </c>
      <c r="U35" s="337">
        <f t="shared" si="15"/>
        <v>166.15</v>
      </c>
      <c r="V35" s="163">
        <f t="shared" si="10"/>
        <v>20289.84</v>
      </c>
    </row>
    <row r="36" spans="1:24" x14ac:dyDescent="0.2">
      <c r="A36" s="215" t="s">
        <v>405</v>
      </c>
      <c r="B36" s="171">
        <v>4687</v>
      </c>
      <c r="C36" s="145">
        <f t="shared" si="11"/>
        <v>2E-3</v>
      </c>
      <c r="D36" s="385">
        <v>323.85000000000002</v>
      </c>
      <c r="E36" s="145">
        <f t="shared" si="12"/>
        <v>1.6199999999999999E-2</v>
      </c>
      <c r="F36" s="387">
        <f>ROUND((C36*2/3)+(E36/3),4)+0.000015</f>
        <v>6.7149999999999996E-3</v>
      </c>
      <c r="G36" s="163">
        <f t="shared" si="2"/>
        <v>7153.19</v>
      </c>
      <c r="H36" s="163">
        <f t="shared" si="3"/>
        <v>13.49</v>
      </c>
      <c r="I36" s="163">
        <f t="shared" si="4"/>
        <v>7139.7</v>
      </c>
      <c r="J36" s="154">
        <f t="shared" si="5"/>
        <v>1.4E-2</v>
      </c>
      <c r="K36" s="163">
        <f t="shared" si="6"/>
        <v>14579.38</v>
      </c>
      <c r="L36" s="346">
        <f t="shared" si="16"/>
        <v>0</v>
      </c>
      <c r="M36" s="340"/>
      <c r="N36" s="347">
        <f t="shared" si="17"/>
        <v>7439.68</v>
      </c>
      <c r="O36" s="348"/>
      <c r="P36" s="145">
        <f t="shared" si="7"/>
        <v>0</v>
      </c>
      <c r="Q36" s="145">
        <f t="shared" si="8"/>
        <v>0</v>
      </c>
      <c r="R36" s="163">
        <f t="shared" si="9"/>
        <v>0</v>
      </c>
      <c r="S36" s="163">
        <f t="shared" si="18"/>
        <v>14579.38</v>
      </c>
      <c r="T36" s="333">
        <f t="shared" si="14"/>
        <v>14579.38</v>
      </c>
      <c r="U36" s="337">
        <f t="shared" si="15"/>
        <v>0</v>
      </c>
      <c r="V36" s="163">
        <f t="shared" si="10"/>
        <v>14579.38</v>
      </c>
    </row>
    <row r="37" spans="1:24" x14ac:dyDescent="0.2">
      <c r="A37" s="215" t="s">
        <v>33</v>
      </c>
      <c r="B37" s="171">
        <v>36651</v>
      </c>
      <c r="C37" s="145">
        <f t="shared" si="11"/>
        <v>1.6E-2</v>
      </c>
      <c r="D37" s="385">
        <v>2037</v>
      </c>
      <c r="E37" s="145">
        <f t="shared" si="12"/>
        <v>0.1019</v>
      </c>
      <c r="F37" s="387">
        <f>ROUND((C37*2/3)+(E37/3),4)+0.000014</f>
        <v>4.4614000000000001E-2</v>
      </c>
      <c r="G37" s="163">
        <f t="shared" si="2"/>
        <v>47525.34</v>
      </c>
      <c r="H37" s="163">
        <f t="shared" si="3"/>
        <v>86.72</v>
      </c>
      <c r="I37" s="163">
        <f t="shared" si="4"/>
        <v>47438.62</v>
      </c>
      <c r="J37" s="154">
        <f t="shared" si="5"/>
        <v>6.7699999999999996E-2</v>
      </c>
      <c r="K37" s="163">
        <f t="shared" si="6"/>
        <v>70501.73</v>
      </c>
      <c r="L37" s="346">
        <f t="shared" si="16"/>
        <v>0</v>
      </c>
      <c r="M37" s="340"/>
      <c r="N37" s="347">
        <f t="shared" si="17"/>
        <v>23063.11</v>
      </c>
      <c r="O37" s="348"/>
      <c r="P37" s="145">
        <f t="shared" si="7"/>
        <v>0</v>
      </c>
      <c r="Q37" s="145">
        <f t="shared" si="8"/>
        <v>0</v>
      </c>
      <c r="R37" s="163">
        <f t="shared" si="9"/>
        <v>0</v>
      </c>
      <c r="S37" s="163">
        <f t="shared" si="18"/>
        <v>70501.73</v>
      </c>
      <c r="T37" s="333">
        <f t="shared" si="14"/>
        <v>70501.73</v>
      </c>
      <c r="U37" s="337">
        <f t="shared" si="15"/>
        <v>0</v>
      </c>
      <c r="V37" s="163">
        <f t="shared" si="10"/>
        <v>70501.73</v>
      </c>
    </row>
    <row r="38" spans="1:24" x14ac:dyDescent="0.2">
      <c r="A38" s="156" t="s">
        <v>34</v>
      </c>
      <c r="B38" s="171">
        <v>6967</v>
      </c>
      <c r="C38" s="145">
        <f t="shared" si="11"/>
        <v>3.0000000000000001E-3</v>
      </c>
      <c r="D38" s="385">
        <v>1887</v>
      </c>
      <c r="E38" s="145">
        <f t="shared" si="12"/>
        <v>9.4399999999999998E-2</v>
      </c>
      <c r="F38" s="145">
        <f t="shared" si="13"/>
        <v>3.3500000000000002E-2</v>
      </c>
      <c r="G38" s="163">
        <f t="shared" si="2"/>
        <v>35686.080000000002</v>
      </c>
      <c r="H38" s="163">
        <f t="shared" si="3"/>
        <v>63.59</v>
      </c>
      <c r="I38" s="163">
        <f t="shared" si="4"/>
        <v>35622.49</v>
      </c>
      <c r="J38" s="154">
        <f t="shared" si="5"/>
        <v>2.8400000000000002E-2</v>
      </c>
      <c r="K38" s="163">
        <f t="shared" si="6"/>
        <v>29575.32</v>
      </c>
      <c r="L38" s="346">
        <f t="shared" si="16"/>
        <v>6047.17</v>
      </c>
      <c r="M38" s="340">
        <f>L38/$L$42</f>
        <v>3.8255999999999998E-2</v>
      </c>
      <c r="N38" s="347">
        <f t="shared" si="17"/>
        <v>0</v>
      </c>
      <c r="O38" s="348">
        <f>$O$42*M38</f>
        <v>839.51</v>
      </c>
      <c r="P38" s="145">
        <f t="shared" si="7"/>
        <v>3.3500000000000002E-2</v>
      </c>
      <c r="Q38" s="145">
        <f t="shared" si="8"/>
        <v>4.3145999999999997E-2</v>
      </c>
      <c r="R38" s="163">
        <f t="shared" si="9"/>
        <v>946.82</v>
      </c>
      <c r="S38" s="163">
        <f t="shared" si="18"/>
        <v>30522.14</v>
      </c>
      <c r="T38" s="333">
        <f t="shared" si="14"/>
        <v>30414.83</v>
      </c>
      <c r="U38" s="337">
        <f t="shared" si="15"/>
        <v>107.31</v>
      </c>
      <c r="V38" s="163">
        <f t="shared" si="10"/>
        <v>30522.14</v>
      </c>
    </row>
    <row r="39" spans="1:24" x14ac:dyDescent="0.2">
      <c r="A39" s="215" t="s">
        <v>35</v>
      </c>
      <c r="B39" s="171">
        <v>3736</v>
      </c>
      <c r="C39" s="145">
        <f t="shared" si="11"/>
        <v>1.6000000000000001E-3</v>
      </c>
      <c r="D39" s="385">
        <v>49.39</v>
      </c>
      <c r="E39" s="145">
        <f t="shared" si="12"/>
        <v>2.5000000000000001E-3</v>
      </c>
      <c r="F39" s="387">
        <f>ROUND((C39*2/3)+(E39/3),4)+0.000015</f>
        <v>1.915E-3</v>
      </c>
      <c r="G39" s="163">
        <f t="shared" si="2"/>
        <v>2039.97</v>
      </c>
      <c r="H39" s="163">
        <f t="shared" si="3"/>
        <v>3.85</v>
      </c>
      <c r="I39" s="163">
        <f t="shared" si="4"/>
        <v>2036.12</v>
      </c>
      <c r="J39" s="154">
        <f t="shared" si="5"/>
        <v>2.2000000000000001E-3</v>
      </c>
      <c r="K39" s="163">
        <f t="shared" si="6"/>
        <v>2291.0500000000002</v>
      </c>
      <c r="L39" s="346">
        <f t="shared" si="16"/>
        <v>0</v>
      </c>
      <c r="M39" s="340"/>
      <c r="N39" s="347">
        <f t="shared" si="17"/>
        <v>254.93</v>
      </c>
      <c r="O39" s="348"/>
      <c r="P39" s="145">
        <f t="shared" si="7"/>
        <v>0</v>
      </c>
      <c r="Q39" s="145">
        <f t="shared" si="8"/>
        <v>0</v>
      </c>
      <c r="R39" s="163">
        <f t="shared" si="9"/>
        <v>0</v>
      </c>
      <c r="S39" s="163">
        <f t="shared" si="18"/>
        <v>2291.0500000000002</v>
      </c>
      <c r="T39" s="333">
        <f t="shared" si="14"/>
        <v>2291.0500000000002</v>
      </c>
      <c r="U39" s="337">
        <f t="shared" si="15"/>
        <v>0</v>
      </c>
      <c r="V39" s="163">
        <f t="shared" si="10"/>
        <v>2291.0500000000002</v>
      </c>
    </row>
    <row r="40" spans="1:24" x14ac:dyDescent="0.2">
      <c r="A40" s="156" t="s">
        <v>36</v>
      </c>
      <c r="B40" s="171">
        <v>373233</v>
      </c>
      <c r="C40" s="145">
        <f t="shared" si="11"/>
        <v>0.16250000000000001</v>
      </c>
      <c r="D40" s="385">
        <v>1842.02</v>
      </c>
      <c r="E40" s="145">
        <f t="shared" si="12"/>
        <v>9.2200000000000004E-2</v>
      </c>
      <c r="F40" s="145">
        <f t="shared" si="13"/>
        <v>0.1391</v>
      </c>
      <c r="G40" s="163">
        <f t="shared" si="2"/>
        <v>148177.13</v>
      </c>
      <c r="H40" s="163">
        <f t="shared" si="3"/>
        <v>267.87</v>
      </c>
      <c r="I40" s="163">
        <f t="shared" si="4"/>
        <v>147909.26</v>
      </c>
      <c r="J40" s="154">
        <f t="shared" si="5"/>
        <v>0.1232</v>
      </c>
      <c r="K40" s="163">
        <f t="shared" si="6"/>
        <v>128298.58</v>
      </c>
      <c r="L40" s="346">
        <f t="shared" si="16"/>
        <v>19610.68</v>
      </c>
      <c r="M40" s="340">
        <f>L40/$L$42</f>
        <v>0.12406300000000001</v>
      </c>
      <c r="N40" s="347">
        <f t="shared" si="17"/>
        <v>0</v>
      </c>
      <c r="O40" s="348">
        <f>$O$42*M40</f>
        <v>2722.5</v>
      </c>
      <c r="P40" s="145">
        <f t="shared" si="7"/>
        <v>0.1391</v>
      </c>
      <c r="Q40" s="145">
        <f t="shared" si="8"/>
        <v>0.17915400000000001</v>
      </c>
      <c r="R40" s="163">
        <f t="shared" si="9"/>
        <v>3931.44</v>
      </c>
      <c r="S40" s="163">
        <f t="shared" si="18"/>
        <v>132230.01999999999</v>
      </c>
      <c r="T40" s="333">
        <f t="shared" si="14"/>
        <v>131021.08</v>
      </c>
      <c r="U40" s="337">
        <f t="shared" si="15"/>
        <v>1208.94</v>
      </c>
      <c r="V40" s="163">
        <f t="shared" si="10"/>
        <v>132230.01999999999</v>
      </c>
    </row>
    <row r="41" spans="1:24" x14ac:dyDescent="0.2">
      <c r="A41" s="156" t="s">
        <v>37</v>
      </c>
      <c r="B41" s="171">
        <v>8842</v>
      </c>
      <c r="C41" s="145">
        <f t="shared" si="11"/>
        <v>3.8999999999999998E-3</v>
      </c>
      <c r="D41" s="385">
        <v>1108.27</v>
      </c>
      <c r="E41" s="145">
        <f t="shared" si="12"/>
        <v>5.5399999999999998E-2</v>
      </c>
      <c r="F41" s="145">
        <f t="shared" si="13"/>
        <v>2.1100000000000001E-2</v>
      </c>
      <c r="G41" s="152">
        <f t="shared" si="2"/>
        <v>22476.9</v>
      </c>
      <c r="H41" s="163">
        <f t="shared" si="3"/>
        <v>40.47</v>
      </c>
      <c r="I41" s="163">
        <f t="shared" si="4"/>
        <v>22436.43</v>
      </c>
      <c r="J41" s="172">
        <f t="shared" si="5"/>
        <v>4.0300000000000002E-2</v>
      </c>
      <c r="K41" s="152">
        <f t="shared" si="6"/>
        <v>41967.8</v>
      </c>
      <c r="L41" s="346">
        <f t="shared" si="16"/>
        <v>0</v>
      </c>
      <c r="M41" s="349"/>
      <c r="N41" s="347">
        <f t="shared" si="17"/>
        <v>19531.37</v>
      </c>
      <c r="O41" s="350"/>
      <c r="P41" s="145">
        <f t="shared" si="7"/>
        <v>0</v>
      </c>
      <c r="Q41" s="145">
        <f t="shared" si="8"/>
        <v>0</v>
      </c>
      <c r="R41" s="152">
        <f t="shared" si="9"/>
        <v>0</v>
      </c>
      <c r="S41" s="152">
        <f t="shared" si="18"/>
        <v>41967.8</v>
      </c>
      <c r="T41" s="333">
        <f t="shared" si="14"/>
        <v>41967.8</v>
      </c>
      <c r="U41" s="337">
        <f t="shared" si="15"/>
        <v>0</v>
      </c>
      <c r="V41" s="163">
        <f t="shared" si="10"/>
        <v>41967.8</v>
      </c>
      <c r="W41" s="155"/>
      <c r="X41" s="152"/>
    </row>
    <row r="42" spans="1:24" ht="13.5" thickBot="1" x14ac:dyDescent="0.25">
      <c r="A42" s="151" t="s">
        <v>404</v>
      </c>
      <c r="B42" s="174">
        <f t="shared" ref="B42:K42" si="19">SUM(B25:B41)</f>
        <v>2296563</v>
      </c>
      <c r="C42" s="175">
        <f t="shared" si="19"/>
        <v>0.99990000000000001</v>
      </c>
      <c r="D42" s="386">
        <f t="shared" si="19"/>
        <v>19987.27</v>
      </c>
      <c r="E42" s="176">
        <f t="shared" si="19"/>
        <v>1</v>
      </c>
      <c r="F42" s="176">
        <f t="shared" si="19"/>
        <v>1</v>
      </c>
      <c r="G42" s="165">
        <f t="shared" si="19"/>
        <v>1065256.1399999999</v>
      </c>
      <c r="H42" s="177">
        <f t="shared" si="19"/>
        <v>1927.1</v>
      </c>
      <c r="I42" s="178">
        <f t="shared" si="19"/>
        <v>1063329.04</v>
      </c>
      <c r="J42" s="179">
        <f t="shared" si="19"/>
        <v>1</v>
      </c>
      <c r="K42" s="165">
        <f t="shared" si="19"/>
        <v>1041384.54</v>
      </c>
      <c r="L42" s="351">
        <f>SUM(L25:L41)</f>
        <v>158069.85</v>
      </c>
      <c r="M42" s="352">
        <f>SUM(M25:M41)</f>
        <v>1</v>
      </c>
      <c r="N42" s="353">
        <f>SUM(N25:N41)</f>
        <v>136125.35</v>
      </c>
      <c r="O42" s="354">
        <f>L42-N42</f>
        <v>21944.5</v>
      </c>
      <c r="P42" s="180">
        <f t="shared" ref="P42:U42" si="20">SUM(P25:P41)</f>
        <v>0.77642800000000001</v>
      </c>
      <c r="Q42" s="180">
        <f t="shared" si="20"/>
        <v>1</v>
      </c>
      <c r="R42" s="165">
        <f t="shared" si="20"/>
        <v>21944.5</v>
      </c>
      <c r="S42" s="165">
        <f t="shared" si="20"/>
        <v>1063329.04</v>
      </c>
      <c r="T42" s="336">
        <f t="shared" si="20"/>
        <v>1063329.01</v>
      </c>
      <c r="U42" s="336">
        <f t="shared" si="20"/>
        <v>0.03</v>
      </c>
      <c r="V42" s="163">
        <f t="shared" si="10"/>
        <v>1063329.04</v>
      </c>
      <c r="W42" s="183">
        <f>C4</f>
        <v>1063329.04</v>
      </c>
      <c r="X42" s="184">
        <f>V42-W42</f>
        <v>0</v>
      </c>
    </row>
    <row r="43" spans="1:24" ht="13.5" thickTop="1" x14ac:dyDescent="0.2">
      <c r="E43" s="155"/>
      <c r="F43" s="181"/>
      <c r="G43" s="155"/>
      <c r="H43" s="153"/>
      <c r="I43" s="153"/>
      <c r="J43" s="182"/>
      <c r="K43" s="152"/>
      <c r="L43" s="152"/>
      <c r="M43" s="152"/>
      <c r="N43" s="152"/>
      <c r="O43" s="152"/>
      <c r="P43" s="155"/>
      <c r="R43" s="155"/>
      <c r="S43" s="152"/>
      <c r="T43" s="173"/>
    </row>
    <row r="44" spans="1:24" x14ac:dyDescent="0.2">
      <c r="J44"/>
    </row>
    <row r="45" spans="1:24" x14ac:dyDescent="0.2">
      <c r="A45" t="s">
        <v>698</v>
      </c>
      <c r="J45"/>
    </row>
    <row r="46" spans="1:24" x14ac:dyDescent="0.2">
      <c r="A46" t="s">
        <v>700</v>
      </c>
      <c r="J46"/>
    </row>
    <row r="47" spans="1:24" x14ac:dyDescent="0.2">
      <c r="A47" t="s">
        <v>701</v>
      </c>
      <c r="J47"/>
    </row>
    <row r="48" spans="1:24" x14ac:dyDescent="0.2">
      <c r="A48" t="s">
        <v>699</v>
      </c>
      <c r="J48"/>
    </row>
    <row r="49" spans="1:10" x14ac:dyDescent="0.2">
      <c r="A49" t="s">
        <v>702</v>
      </c>
      <c r="J49"/>
    </row>
    <row r="50" spans="1:10" x14ac:dyDescent="0.2">
      <c r="J50"/>
    </row>
    <row r="51" spans="1:10" x14ac:dyDescent="0.2">
      <c r="J51"/>
    </row>
    <row r="52" spans="1:10" x14ac:dyDescent="0.2">
      <c r="J52"/>
    </row>
    <row r="53" spans="1:10" x14ac:dyDescent="0.2">
      <c r="J53"/>
    </row>
    <row r="54" spans="1:10" x14ac:dyDescent="0.2"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6"/>
  <sheetViews>
    <sheetView topLeftCell="A68" zoomScaleNormal="100" workbookViewId="0">
      <selection activeCell="A71" sqref="A71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6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1.28515625" bestFit="1" customWidth="1"/>
    <col min="26" max="26" width="12.85546875" bestFit="1" customWidth="1"/>
  </cols>
  <sheetData>
    <row r="1" spans="1:22" ht="37.5" hidden="1" customHeight="1" x14ac:dyDescent="0.2">
      <c r="A1" s="192" t="s">
        <v>414</v>
      </c>
      <c r="B1" s="149"/>
      <c r="C1" s="149"/>
      <c r="D1" s="150"/>
      <c r="E1" s="212" t="s">
        <v>706</v>
      </c>
      <c r="F1" s="212"/>
      <c r="G1" s="143"/>
      <c r="H1" s="143"/>
      <c r="I1" s="143"/>
      <c r="L1" s="151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25.5" hidden="1" customHeight="1" x14ac:dyDescent="0.2">
      <c r="A2" s="156" t="s">
        <v>645</v>
      </c>
      <c r="C2" s="157">
        <v>1957802.76</v>
      </c>
      <c r="E2" s="211" t="s">
        <v>415</v>
      </c>
      <c r="F2" s="211"/>
      <c r="G2" s="160">
        <f>IF(C4&lt;0,0,IF(C4&lt;C2,B3,0))</f>
        <v>0</v>
      </c>
      <c r="L2"/>
    </row>
    <row r="3" spans="1:22" ht="25.5" hidden="1" x14ac:dyDescent="0.2">
      <c r="A3" s="156" t="s">
        <v>705</v>
      </c>
      <c r="B3" s="389">
        <f>'s3, s3b, s3d'!$J$9</f>
        <v>2002678.81</v>
      </c>
      <c r="E3" s="161" t="s">
        <v>402</v>
      </c>
      <c r="F3" s="162" t="s">
        <v>642</v>
      </c>
      <c r="G3" s="162" t="s">
        <v>707</v>
      </c>
      <c r="H3" s="162" t="s">
        <v>403</v>
      </c>
      <c r="I3" s="162" t="s">
        <v>404</v>
      </c>
      <c r="L3"/>
    </row>
    <row r="4" spans="1:22" ht="25.5" hidden="1" x14ac:dyDescent="0.2">
      <c r="A4" s="158" t="s">
        <v>401</v>
      </c>
      <c r="B4" s="152">
        <f>'s3, s3b, s3d'!E85</f>
        <v>3622.95</v>
      </c>
      <c r="C4" s="159">
        <f>B3-B4</f>
        <v>1999055.86</v>
      </c>
      <c r="E4" s="156" t="s">
        <v>21</v>
      </c>
      <c r="F4" s="154">
        <v>1.67E-2</v>
      </c>
      <c r="G4" s="163">
        <f t="shared" ref="G4:G20" si="0">$G$2*F4</f>
        <v>0</v>
      </c>
      <c r="H4" s="152">
        <f>'s3, s3b, s3d'!E68</f>
        <v>72.459999999999994</v>
      </c>
      <c r="I4" s="163">
        <f t="shared" ref="I4:I20" si="1">G4-H4</f>
        <v>-72.459999999999994</v>
      </c>
      <c r="L4"/>
    </row>
    <row r="5" spans="1:22" hidden="1" x14ac:dyDescent="0.2">
      <c r="E5" s="156" t="s">
        <v>22</v>
      </c>
      <c r="F5" s="154">
        <v>2.7699999999999999E-2</v>
      </c>
      <c r="G5" s="163">
        <f t="shared" si="0"/>
        <v>0</v>
      </c>
      <c r="H5" s="152">
        <f>'s3, s3b, s3d'!E69</f>
        <v>61.59</v>
      </c>
      <c r="I5" s="163">
        <f t="shared" si="1"/>
        <v>-61.59</v>
      </c>
      <c r="L5"/>
    </row>
    <row r="6" spans="1:22" hidden="1" x14ac:dyDescent="0.2">
      <c r="E6" s="156" t="s">
        <v>23</v>
      </c>
      <c r="F6" s="154">
        <v>0.43830000000000002</v>
      </c>
      <c r="G6" s="163">
        <f t="shared" si="0"/>
        <v>0</v>
      </c>
      <c r="H6" s="152">
        <f>'s3, s3b, s3d'!E70</f>
        <v>1981.76</v>
      </c>
      <c r="I6" s="163">
        <f>(G6-H6)+J21</f>
        <v>-1981.76</v>
      </c>
      <c r="L6"/>
    </row>
    <row r="7" spans="1:22" hidden="1" x14ac:dyDescent="0.2">
      <c r="E7" s="156" t="s">
        <v>24</v>
      </c>
      <c r="F7" s="154">
        <v>1.55E-2</v>
      </c>
      <c r="G7" s="163">
        <f t="shared" si="0"/>
        <v>0</v>
      </c>
      <c r="H7" s="152">
        <f>'s3, s3b, s3d'!E71</f>
        <v>61.59</v>
      </c>
      <c r="I7" s="163">
        <f t="shared" si="1"/>
        <v>-61.59</v>
      </c>
      <c r="L7"/>
    </row>
    <row r="8" spans="1:22" hidden="1" x14ac:dyDescent="0.2">
      <c r="E8" s="156" t="s">
        <v>25</v>
      </c>
      <c r="F8" s="154">
        <v>6.5299999999999997E-2</v>
      </c>
      <c r="G8" s="163">
        <f t="shared" si="0"/>
        <v>0</v>
      </c>
      <c r="H8" s="152">
        <f>'s3, s3b, s3d'!E72</f>
        <v>119.56</v>
      </c>
      <c r="I8" s="163">
        <f t="shared" si="1"/>
        <v>-119.56</v>
      </c>
      <c r="L8"/>
    </row>
    <row r="9" spans="1:22" hidden="1" x14ac:dyDescent="0.2">
      <c r="E9" s="156" t="s">
        <v>26</v>
      </c>
      <c r="F9" s="154">
        <v>1.52E-2</v>
      </c>
      <c r="G9" s="163">
        <f t="shared" si="0"/>
        <v>0</v>
      </c>
      <c r="H9" s="152">
        <f>'s3, s3b, s3d'!E73</f>
        <v>28.98</v>
      </c>
      <c r="I9" s="163">
        <f t="shared" si="1"/>
        <v>-28.98</v>
      </c>
      <c r="L9"/>
    </row>
    <row r="10" spans="1:22" hidden="1" x14ac:dyDescent="0.2">
      <c r="E10" s="156" t="s">
        <v>27</v>
      </c>
      <c r="F10" s="154">
        <v>1.9400000000000001E-2</v>
      </c>
      <c r="G10" s="163">
        <f t="shared" si="0"/>
        <v>0</v>
      </c>
      <c r="H10" s="152">
        <f>'s3, s3b, s3d'!E74</f>
        <v>57.97</v>
      </c>
      <c r="I10" s="163">
        <f t="shared" si="1"/>
        <v>-57.97</v>
      </c>
      <c r="L10"/>
    </row>
    <row r="11" spans="1:22" hidden="1" x14ac:dyDescent="0.2">
      <c r="E11" s="156" t="s">
        <v>28</v>
      </c>
      <c r="F11" s="154">
        <v>3.9199999999999999E-2</v>
      </c>
      <c r="G11" s="163">
        <f t="shared" si="0"/>
        <v>0</v>
      </c>
      <c r="H11" s="152">
        <f>'s3, s3b, s3d'!E75</f>
        <v>76.08</v>
      </c>
      <c r="I11" s="163">
        <f t="shared" si="1"/>
        <v>-76.08</v>
      </c>
      <c r="L11"/>
    </row>
    <row r="12" spans="1:22" hidden="1" x14ac:dyDescent="0.2">
      <c r="E12" s="156" t="s">
        <v>29</v>
      </c>
      <c r="F12" s="154">
        <v>2.4799999999999999E-2</v>
      </c>
      <c r="G12" s="163">
        <f t="shared" si="0"/>
        <v>0</v>
      </c>
      <c r="H12" s="152">
        <f>'s3, s3b, s3d'!E76</f>
        <v>76.08</v>
      </c>
      <c r="I12" s="163">
        <f t="shared" si="1"/>
        <v>-76.08</v>
      </c>
      <c r="L12"/>
    </row>
    <row r="13" spans="1:22" hidden="1" x14ac:dyDescent="0.2">
      <c r="E13" s="156" t="s">
        <v>30</v>
      </c>
      <c r="F13" s="154">
        <v>4.3200000000000002E-2</v>
      </c>
      <c r="G13" s="163">
        <f t="shared" si="0"/>
        <v>0</v>
      </c>
      <c r="H13" s="152">
        <f>'s3, s3b, s3d'!E77</f>
        <v>115.93</v>
      </c>
      <c r="I13" s="163">
        <f t="shared" si="1"/>
        <v>-115.93</v>
      </c>
      <c r="L13"/>
    </row>
    <row r="14" spans="1:22" hidden="1" x14ac:dyDescent="0.2">
      <c r="E14" s="156" t="s">
        <v>31</v>
      </c>
      <c r="F14" s="154">
        <v>1.89E-2</v>
      </c>
      <c r="G14" s="163">
        <f t="shared" si="0"/>
        <v>0</v>
      </c>
      <c r="H14" s="152">
        <f>'s3, s3b, s3d'!E78</f>
        <v>76.08</v>
      </c>
      <c r="I14" s="163">
        <f t="shared" si="1"/>
        <v>-76.08</v>
      </c>
      <c r="L14"/>
    </row>
    <row r="15" spans="1:22" hidden="1" x14ac:dyDescent="0.2">
      <c r="E15" s="156" t="s">
        <v>405</v>
      </c>
      <c r="F15" s="154">
        <v>1.4E-2</v>
      </c>
      <c r="G15" s="163">
        <f t="shared" si="0"/>
        <v>0</v>
      </c>
      <c r="H15" s="152">
        <f>'s3, s3b, s3d'!E79</f>
        <v>25.36</v>
      </c>
      <c r="I15" s="163">
        <f t="shared" si="1"/>
        <v>-25.36</v>
      </c>
      <c r="L15"/>
    </row>
    <row r="16" spans="1:22" hidden="1" x14ac:dyDescent="0.2">
      <c r="E16" s="156" t="s">
        <v>33</v>
      </c>
      <c r="F16" s="154">
        <v>6.7699999999999996E-2</v>
      </c>
      <c r="G16" s="163">
        <f t="shared" si="0"/>
        <v>0</v>
      </c>
      <c r="H16" s="152">
        <f>'s3, s3b, s3d'!E80</f>
        <v>163.03</v>
      </c>
      <c r="I16" s="163">
        <f t="shared" si="1"/>
        <v>-163.03</v>
      </c>
      <c r="L16"/>
    </row>
    <row r="17" spans="1:24" hidden="1" x14ac:dyDescent="0.2">
      <c r="E17" s="156" t="s">
        <v>34</v>
      </c>
      <c r="F17" s="154">
        <v>2.8400000000000002E-2</v>
      </c>
      <c r="G17" s="163">
        <f t="shared" si="0"/>
        <v>0</v>
      </c>
      <c r="H17" s="152">
        <f>'s3, s3b, s3d'!E81</f>
        <v>119.56</v>
      </c>
      <c r="I17" s="163">
        <f t="shared" si="1"/>
        <v>-119.56</v>
      </c>
      <c r="L17"/>
    </row>
    <row r="18" spans="1:24" hidden="1" x14ac:dyDescent="0.2">
      <c r="E18" s="156" t="s">
        <v>35</v>
      </c>
      <c r="F18" s="154">
        <v>2.2000000000000001E-3</v>
      </c>
      <c r="G18" s="163">
        <f t="shared" si="0"/>
        <v>0</v>
      </c>
      <c r="H18" s="152">
        <f>'s3, s3b, s3d'!E82</f>
        <v>7.25</v>
      </c>
      <c r="I18" s="163">
        <f t="shared" si="1"/>
        <v>-7.25</v>
      </c>
      <c r="L18"/>
    </row>
    <row r="19" spans="1:24" hidden="1" x14ac:dyDescent="0.2">
      <c r="E19" s="156" t="s">
        <v>36</v>
      </c>
      <c r="F19" s="154">
        <v>0.1232</v>
      </c>
      <c r="G19" s="163">
        <f t="shared" si="0"/>
        <v>0</v>
      </c>
      <c r="H19" s="152">
        <f>'s3, s3b, s3d'!E83</f>
        <v>503.59</v>
      </c>
      <c r="I19" s="163">
        <f t="shared" si="1"/>
        <v>-503.59</v>
      </c>
      <c r="L19"/>
    </row>
    <row r="20" spans="1:24" hidden="1" x14ac:dyDescent="0.2">
      <c r="E20" s="156" t="s">
        <v>37</v>
      </c>
      <c r="F20" s="154">
        <v>4.0300000000000002E-2</v>
      </c>
      <c r="G20" s="163">
        <f t="shared" si="0"/>
        <v>0</v>
      </c>
      <c r="H20" s="152">
        <f>'s3, s3b, s3d'!E84</f>
        <v>76.08</v>
      </c>
      <c r="I20" s="163">
        <f t="shared" si="1"/>
        <v>-76.08</v>
      </c>
      <c r="L20"/>
    </row>
    <row r="21" spans="1:24" ht="13.5" hidden="1" thickBot="1" x14ac:dyDescent="0.25">
      <c r="E21" s="151" t="s">
        <v>250</v>
      </c>
      <c r="F21" s="164">
        <f>SUM(F4:F20)</f>
        <v>1</v>
      </c>
      <c r="G21" s="165">
        <f>SUM(G4:G20)</f>
        <v>0</v>
      </c>
      <c r="H21" s="166">
        <f>SUM(H4:H20)</f>
        <v>3622.95</v>
      </c>
      <c r="I21" s="165">
        <f>SUM(I4:I20)</f>
        <v>-3622.95</v>
      </c>
      <c r="J21" s="163">
        <f>G2-G21</f>
        <v>0</v>
      </c>
      <c r="L21"/>
    </row>
    <row r="22" spans="1:24" ht="28.5" hidden="1" customHeight="1" thickTop="1" thickBot="1" x14ac:dyDescent="0.25">
      <c r="A22" s="417" t="s">
        <v>708</v>
      </c>
      <c r="B22" s="417"/>
      <c r="C22" s="417"/>
      <c r="D22" s="417"/>
      <c r="E22" s="417"/>
      <c r="G22" s="151"/>
      <c r="H22" s="167"/>
      <c r="I22" s="193"/>
      <c r="J22" s="194"/>
      <c r="K22" s="193"/>
      <c r="L22"/>
    </row>
    <row r="23" spans="1:24" ht="40.5" hidden="1" customHeight="1" thickBot="1" x14ac:dyDescent="0.25">
      <c r="A23" s="415" t="s">
        <v>416</v>
      </c>
      <c r="B23" s="415"/>
      <c r="C23" s="152">
        <f>IF(C4&gt;C2,B3,0)</f>
        <v>2002678.81</v>
      </c>
      <c r="D23" s="152"/>
      <c r="E23" s="152"/>
      <c r="F23" s="152"/>
      <c r="L23"/>
      <c r="N23" s="412" t="s">
        <v>665</v>
      </c>
      <c r="O23" s="413"/>
      <c r="P23" s="413"/>
      <c r="Q23" s="414"/>
      <c r="R23" s="151" t="s">
        <v>710</v>
      </c>
    </row>
    <row r="24" spans="1:24" ht="89.25" hidden="1" x14ac:dyDescent="0.2">
      <c r="A24" s="168" t="s">
        <v>406</v>
      </c>
      <c r="B24" s="168" t="s">
        <v>407</v>
      </c>
      <c r="C24" s="168" t="s">
        <v>408</v>
      </c>
      <c r="D24" s="168" t="s">
        <v>646</v>
      </c>
      <c r="E24" s="168" t="s">
        <v>647</v>
      </c>
      <c r="F24" s="168" t="s">
        <v>409</v>
      </c>
      <c r="G24" s="168" t="s">
        <v>410</v>
      </c>
      <c r="H24" s="168" t="s">
        <v>703</v>
      </c>
      <c r="I24" s="169" t="s">
        <v>704</v>
      </c>
      <c r="J24" s="168" t="s">
        <v>411</v>
      </c>
      <c r="K24" s="168" t="s">
        <v>412</v>
      </c>
      <c r="L24" s="168" t="s">
        <v>643</v>
      </c>
      <c r="M24" s="322" t="s">
        <v>644</v>
      </c>
      <c r="N24" s="321" t="s">
        <v>666</v>
      </c>
      <c r="O24" s="321" t="s">
        <v>667</v>
      </c>
      <c r="P24" s="321" t="s">
        <v>668</v>
      </c>
      <c r="Q24" s="321" t="s">
        <v>669</v>
      </c>
      <c r="R24" s="168" t="s">
        <v>709</v>
      </c>
      <c r="S24" s="169" t="s">
        <v>417</v>
      </c>
      <c r="T24" s="170">
        <f>IF(C4-C2&gt;0,C4-C2,0)</f>
        <v>41253.1</v>
      </c>
      <c r="U24" s="168" t="s">
        <v>114</v>
      </c>
      <c r="V24" s="331" t="s">
        <v>670</v>
      </c>
      <c r="W24" s="332" t="s">
        <v>671</v>
      </c>
    </row>
    <row r="25" spans="1:24" hidden="1" x14ac:dyDescent="0.2">
      <c r="A25" s="156" t="s">
        <v>21</v>
      </c>
      <c r="B25" s="171">
        <f>+s3b!B25</f>
        <v>55220</v>
      </c>
      <c r="C25" s="145">
        <f>ROUND(B25/$B$60,4)</f>
        <v>2.4E-2</v>
      </c>
      <c r="D25" s="390">
        <v>55220</v>
      </c>
      <c r="E25" s="391">
        <f>D25/$B$25</f>
        <v>1</v>
      </c>
      <c r="F25" s="385">
        <f>+s3b!D25</f>
        <v>248.51</v>
      </c>
      <c r="G25" s="145">
        <f>ROUND(F25/$F$60,4)</f>
        <v>1.24E-2</v>
      </c>
      <c r="H25" s="145">
        <f>ROUND((C25*2/3)+(G25/3),4)</f>
        <v>2.01E-2</v>
      </c>
      <c r="I25" s="163">
        <f>$C$23*H25</f>
        <v>40253.839999999997</v>
      </c>
      <c r="J25" s="163">
        <f>H4</f>
        <v>72.459999999999994</v>
      </c>
      <c r="K25" s="163">
        <f>I25-J25</f>
        <v>40181.379999999997</v>
      </c>
      <c r="L25" s="154">
        <f>F4</f>
        <v>1.67E-2</v>
      </c>
      <c r="M25" s="163">
        <f>$C$2*L25</f>
        <v>32695.31</v>
      </c>
      <c r="N25" s="323">
        <f>IF(K25&gt;M25, K25-M25,0)</f>
        <v>7486.07</v>
      </c>
      <c r="O25" s="324">
        <f>IF(N25&gt;0,ROUND((N25/$N$60),7),0)</f>
        <v>2.5191000000000002E-2</v>
      </c>
      <c r="P25" s="325">
        <f>IF(M25&gt;K25, M25-K25,0)</f>
        <v>0</v>
      </c>
      <c r="Q25" s="326">
        <f>O25*$Q$60</f>
        <v>1039.21</v>
      </c>
      <c r="R25" s="145">
        <f>IF(K25-M25&lt;=0,0,H25)</f>
        <v>2.01E-2</v>
      </c>
      <c r="S25" s="145">
        <f>IF(R25=0,0,R25/$R$60)</f>
        <v>2.5888000000000001E-2</v>
      </c>
      <c r="T25" s="163">
        <f>S25*$T$24</f>
        <v>1067.96</v>
      </c>
      <c r="U25" s="163">
        <f>M25+T25</f>
        <v>33763.269999999997</v>
      </c>
      <c r="V25" s="333">
        <f>M25+Q25</f>
        <v>33734.519999999997</v>
      </c>
      <c r="W25" s="337">
        <f>+U25-V25</f>
        <v>28.75</v>
      </c>
      <c r="X25" s="163">
        <f>M25+T25</f>
        <v>33763.269999999997</v>
      </c>
    </row>
    <row r="26" spans="1:24" hidden="1" x14ac:dyDescent="0.2">
      <c r="A26" s="156" t="s">
        <v>22</v>
      </c>
      <c r="B26" s="171">
        <f>+s3b!B26</f>
        <v>25808</v>
      </c>
      <c r="C26" s="145">
        <f>ROUND(B26/$B$60,4)</f>
        <v>1.12E-2</v>
      </c>
      <c r="D26" s="390">
        <v>17507</v>
      </c>
      <c r="E26" s="391">
        <f>+D26/$B$26</f>
        <v>0.67835599999999996</v>
      </c>
      <c r="F26" s="385">
        <f>+s3b!D26</f>
        <v>587.17999999999995</v>
      </c>
      <c r="G26" s="145">
        <f>ROUND(F26/$F$60,4)</f>
        <v>2.9399999999999999E-2</v>
      </c>
      <c r="H26" s="145">
        <f>ROUND((C26*2/3)+(G26/3),4)</f>
        <v>1.7299999999999999E-2</v>
      </c>
      <c r="I26" s="163">
        <f>$C$23*H26</f>
        <v>34646.339999999997</v>
      </c>
      <c r="J26" s="163">
        <f>H5</f>
        <v>61.59</v>
      </c>
      <c r="K26" s="163">
        <f>I26-J26</f>
        <v>34584.75</v>
      </c>
      <c r="L26" s="154">
        <f>F5</f>
        <v>2.7699999999999999E-2</v>
      </c>
      <c r="M26" s="163">
        <f>$C$2*L26</f>
        <v>54231.14</v>
      </c>
      <c r="N26" s="323">
        <f>IF(K26&gt;M26, K26-M26,0)</f>
        <v>0</v>
      </c>
      <c r="O26" s="324">
        <f>IF(N26&gt;0,ROUND((N26/$N$60),7),0)</f>
        <v>0</v>
      </c>
      <c r="P26" s="325">
        <f>IF(M26&gt;K26, M26-K26,0)</f>
        <v>19646.39</v>
      </c>
      <c r="Q26" s="326">
        <f>O26*$Q$60</f>
        <v>0</v>
      </c>
      <c r="R26" s="145">
        <f>IF(K26-M26&lt;=0,0,H26)</f>
        <v>0</v>
      </c>
      <c r="S26" s="145">
        <f>IF(R26=0,0,R26/$R$60)</f>
        <v>0</v>
      </c>
      <c r="T26" s="163">
        <f>S26*$T$24</f>
        <v>0</v>
      </c>
      <c r="U26" s="163">
        <f>M26+T26</f>
        <v>54231.14</v>
      </c>
      <c r="V26" s="333">
        <f>M26+Q26</f>
        <v>54231.14</v>
      </c>
      <c r="W26" s="337">
        <f t="shared" ref="W26:W60" si="2">+U26-V26</f>
        <v>0</v>
      </c>
      <c r="X26" s="163">
        <f>M26+T26</f>
        <v>54231.14</v>
      </c>
    </row>
    <row r="27" spans="1:24" hidden="1" x14ac:dyDescent="0.2">
      <c r="A27" s="300" t="s">
        <v>379</v>
      </c>
      <c r="B27" s="171"/>
      <c r="C27" s="145"/>
      <c r="D27" s="390">
        <v>8301</v>
      </c>
      <c r="E27" s="391">
        <f>+D27/$B$26</f>
        <v>0.32164399999999999</v>
      </c>
      <c r="F27" s="385"/>
      <c r="G27" s="145"/>
      <c r="H27" s="145"/>
      <c r="I27" s="163"/>
      <c r="J27" s="163"/>
      <c r="K27" s="163"/>
      <c r="L27" s="154"/>
      <c r="M27" s="163"/>
      <c r="N27" s="323" t="s">
        <v>81</v>
      </c>
      <c r="O27" s="324" t="s">
        <v>81</v>
      </c>
      <c r="P27" s="325"/>
      <c r="Q27" s="326"/>
      <c r="R27" s="145"/>
      <c r="S27" s="145"/>
      <c r="T27" s="163"/>
      <c r="U27" s="163"/>
      <c r="V27" s="333"/>
      <c r="W27" s="337">
        <f t="shared" si="2"/>
        <v>0</v>
      </c>
      <c r="X27" s="163"/>
    </row>
    <row r="28" spans="1:24" hidden="1" x14ac:dyDescent="0.2">
      <c r="A28" s="215" t="s">
        <v>23</v>
      </c>
      <c r="B28" s="171">
        <f>+s3b!B27</f>
        <v>1620748</v>
      </c>
      <c r="C28" s="145">
        <f>ROUND(B28/$B$60,4)</f>
        <v>0.70569999999999999</v>
      </c>
      <c r="D28" s="390">
        <v>699849</v>
      </c>
      <c r="E28" s="391">
        <f t="shared" ref="E28:E33" si="3">+D28/$B$28</f>
        <v>0.43180600000000002</v>
      </c>
      <c r="F28" s="385">
        <f>+s3b!D27</f>
        <v>4499.7700000000004</v>
      </c>
      <c r="G28" s="145">
        <f>ROUND(F28/$F$60,4)</f>
        <v>0.22509999999999999</v>
      </c>
      <c r="H28" s="387">
        <f>ROUND((C28*2/3)+(G28/3),4)+0.000014</f>
        <v>0.54551400000000005</v>
      </c>
      <c r="I28" s="163">
        <f>$C$23*H28</f>
        <v>1092489.33</v>
      </c>
      <c r="J28" s="163">
        <f>H6</f>
        <v>1981.76</v>
      </c>
      <c r="K28" s="163">
        <f>I28-J28</f>
        <v>1090507.57</v>
      </c>
      <c r="L28" s="154">
        <f>F6</f>
        <v>0.43830000000000002</v>
      </c>
      <c r="M28" s="163">
        <f>$C$2*L28</f>
        <v>858104.95</v>
      </c>
      <c r="N28" s="323">
        <f>IF(K28&gt;M28, K28-M28,0)</f>
        <v>232402.62</v>
      </c>
      <c r="O28" s="324">
        <f>IF(N28&gt;0,ROUND((N28/$N$60),7),0)</f>
        <v>0.78205499999999994</v>
      </c>
      <c r="P28" s="325">
        <f>IF(M28&gt;K28, M28-K28,0)</f>
        <v>0</v>
      </c>
      <c r="Q28" s="326">
        <f>O28*$Q$60</f>
        <v>32262.17</v>
      </c>
      <c r="R28" s="145">
        <f>IF(K28-M28&lt;=0,0,H28)</f>
        <v>0.54551400000000005</v>
      </c>
      <c r="S28" s="145">
        <f>IF(R28=0,0,R28/$R$60)</f>
        <v>0.70259400000000005</v>
      </c>
      <c r="T28" s="163">
        <f>S28*$T$24</f>
        <v>28984.18</v>
      </c>
      <c r="U28" s="163">
        <f>M28+T28-Z60</f>
        <v>887089.11</v>
      </c>
      <c r="V28" s="333">
        <f>M28+Q28</f>
        <v>890367.12</v>
      </c>
      <c r="W28" s="337">
        <f t="shared" si="2"/>
        <v>-3278.01</v>
      </c>
      <c r="X28" s="163">
        <f>M28+T28</f>
        <v>887089.13</v>
      </c>
    </row>
    <row r="29" spans="1:24" hidden="1" x14ac:dyDescent="0.2">
      <c r="A29" s="300" t="s">
        <v>380</v>
      </c>
      <c r="B29" s="171"/>
      <c r="C29" s="145"/>
      <c r="D29" s="390">
        <v>14934</v>
      </c>
      <c r="E29" s="391">
        <f t="shared" si="3"/>
        <v>9.214E-3</v>
      </c>
      <c r="F29" s="385"/>
      <c r="G29" s="145"/>
      <c r="H29" s="145"/>
      <c r="I29" s="163"/>
      <c r="J29" s="163"/>
      <c r="K29" s="163"/>
      <c r="L29" s="154"/>
      <c r="M29" s="163"/>
      <c r="N29" s="323"/>
      <c r="O29" s="324"/>
      <c r="P29" s="325"/>
      <c r="Q29" s="326"/>
      <c r="R29" s="145"/>
      <c r="S29" s="145"/>
      <c r="T29" s="163"/>
      <c r="U29" s="163"/>
      <c r="V29" s="333"/>
      <c r="W29" s="337">
        <f t="shared" si="2"/>
        <v>0</v>
      </c>
      <c r="X29" s="163"/>
    </row>
    <row r="30" spans="1:24" hidden="1" x14ac:dyDescent="0.2">
      <c r="A30" s="300" t="s">
        <v>381</v>
      </c>
      <c r="B30" s="171"/>
      <c r="C30" s="145"/>
      <c r="D30" s="390">
        <v>217448</v>
      </c>
      <c r="E30" s="392">
        <f>(+D30/$B$28)+0.000001</f>
        <v>0.13416600000000001</v>
      </c>
      <c r="F30" s="385"/>
      <c r="G30" s="145"/>
      <c r="H30" s="145"/>
      <c r="I30" s="163"/>
      <c r="J30" s="163"/>
      <c r="K30" s="163"/>
      <c r="L30" s="154"/>
      <c r="M30" s="163"/>
      <c r="N30" s="323"/>
      <c r="O30" s="324"/>
      <c r="P30" s="325"/>
      <c r="Q30" s="326"/>
      <c r="R30" s="145"/>
      <c r="S30" s="145"/>
      <c r="T30" s="163"/>
      <c r="U30" s="163"/>
      <c r="V30" s="333"/>
      <c r="W30" s="337">
        <f t="shared" si="2"/>
        <v>0</v>
      </c>
      <c r="X30" s="163"/>
    </row>
    <row r="31" spans="1:24" hidden="1" x14ac:dyDescent="0.2">
      <c r="A31" s="300" t="s">
        <v>382</v>
      </c>
      <c r="B31" s="171"/>
      <c r="C31" s="145"/>
      <c r="D31" s="390">
        <v>528617</v>
      </c>
      <c r="E31" s="401">
        <f t="shared" si="3"/>
        <v>0.326156</v>
      </c>
      <c r="F31" s="385"/>
      <c r="G31" s="145"/>
      <c r="H31" s="145"/>
      <c r="I31" s="163"/>
      <c r="J31" s="163"/>
      <c r="K31" s="163"/>
      <c r="L31" s="154"/>
      <c r="M31" s="163"/>
      <c r="N31" s="323"/>
      <c r="O31" s="324"/>
      <c r="P31" s="325"/>
      <c r="Q31" s="326"/>
      <c r="R31" s="145"/>
      <c r="S31" s="145"/>
      <c r="T31" s="163"/>
      <c r="U31" s="163"/>
      <c r="V31" s="333"/>
      <c r="W31" s="337">
        <f t="shared" si="2"/>
        <v>0</v>
      </c>
      <c r="X31" s="163"/>
    </row>
    <row r="32" spans="1:24" hidden="1" x14ac:dyDescent="0.2">
      <c r="A32" s="300" t="s">
        <v>383</v>
      </c>
      <c r="B32" s="171"/>
      <c r="C32" s="145"/>
      <c r="D32" s="390">
        <v>13895</v>
      </c>
      <c r="E32" s="391">
        <f t="shared" si="3"/>
        <v>8.5730000000000008E-3</v>
      </c>
      <c r="F32" s="385"/>
      <c r="G32" s="145"/>
      <c r="H32" s="145"/>
      <c r="I32" s="163"/>
      <c r="J32" s="163"/>
      <c r="K32" s="163"/>
      <c r="L32" s="154"/>
      <c r="M32" s="163"/>
      <c r="N32" s="323"/>
      <c r="O32" s="324"/>
      <c r="P32" s="325"/>
      <c r="Q32" s="326"/>
      <c r="R32" s="145"/>
      <c r="S32" s="145"/>
      <c r="T32" s="163"/>
      <c r="U32" s="163"/>
      <c r="V32" s="333"/>
      <c r="W32" s="337">
        <f t="shared" si="2"/>
        <v>0</v>
      </c>
      <c r="X32" s="163"/>
    </row>
    <row r="33" spans="1:24" hidden="1" x14ac:dyDescent="0.2">
      <c r="A33" s="300" t="s">
        <v>648</v>
      </c>
      <c r="B33" s="171"/>
      <c r="C33" s="145"/>
      <c r="D33" s="390">
        <v>146005</v>
      </c>
      <c r="E33" s="391">
        <f t="shared" si="3"/>
        <v>9.0084999999999998E-2</v>
      </c>
      <c r="F33" s="385"/>
      <c r="G33" s="145"/>
      <c r="H33" s="145"/>
      <c r="I33" s="163"/>
      <c r="J33" s="163"/>
      <c r="K33" s="163"/>
      <c r="L33" s="154"/>
      <c r="M33" s="163"/>
      <c r="N33" s="323"/>
      <c r="O33" s="324"/>
      <c r="P33" s="325"/>
      <c r="Q33" s="326"/>
      <c r="R33" s="145"/>
      <c r="S33" s="145"/>
      <c r="T33" s="163"/>
      <c r="U33" s="163"/>
      <c r="V33" s="333"/>
      <c r="W33" s="337">
        <f t="shared" si="2"/>
        <v>0</v>
      </c>
      <c r="X33" s="163"/>
    </row>
    <row r="34" spans="1:24" hidden="1" x14ac:dyDescent="0.2">
      <c r="A34" s="215" t="s">
        <v>24</v>
      </c>
      <c r="B34" s="171">
        <f>+s3b!B28</f>
        <v>45603</v>
      </c>
      <c r="C34" s="145">
        <f>ROUND(B34/$B$60,4)</f>
        <v>1.9900000000000001E-2</v>
      </c>
      <c r="D34" s="390">
        <v>45603</v>
      </c>
      <c r="E34" s="391">
        <f>D34/$B$34</f>
        <v>1</v>
      </c>
      <c r="F34" s="385">
        <f>+s3b!D28</f>
        <v>208</v>
      </c>
      <c r="G34" s="145">
        <f>ROUND(F34/$F$60,4)</f>
        <v>1.04E-2</v>
      </c>
      <c r="H34" s="387">
        <f>ROUND((C34*2/3)+(G34/3),4)+0.000014</f>
        <v>1.6714E-2</v>
      </c>
      <c r="I34" s="163">
        <f>$C$23*H34</f>
        <v>33472.769999999997</v>
      </c>
      <c r="J34" s="163">
        <f>H7</f>
        <v>61.59</v>
      </c>
      <c r="K34" s="163">
        <f>I34-J34</f>
        <v>33411.18</v>
      </c>
      <c r="L34" s="154">
        <f>F7</f>
        <v>1.55E-2</v>
      </c>
      <c r="M34" s="163">
        <f>$C$2*L34</f>
        <v>30345.94</v>
      </c>
      <c r="N34" s="323">
        <f>IF(K34&gt;M34, K34-M34,0)</f>
        <v>3065.24</v>
      </c>
      <c r="O34" s="324">
        <f>IF(N34&gt;0,ROUND((N34/$N$60),7),0)</f>
        <v>1.0315E-2</v>
      </c>
      <c r="P34" s="325">
        <f>IF(M34&gt;K34, M34-K34,0)</f>
        <v>0</v>
      </c>
      <c r="Q34" s="326">
        <f>O34*$Q$60</f>
        <v>425.53</v>
      </c>
      <c r="R34" s="145">
        <f>IF(K34-M34&lt;=0,0,H34)</f>
        <v>1.6714E-2</v>
      </c>
      <c r="S34" s="145">
        <f>IF(R34=0,0,R34/$R$60)</f>
        <v>2.1527000000000001E-2</v>
      </c>
      <c r="T34" s="163">
        <f>S34*$T$24</f>
        <v>888.06</v>
      </c>
      <c r="U34" s="163">
        <f>M34+T34</f>
        <v>31234</v>
      </c>
      <c r="V34" s="333">
        <f>M34+Q34</f>
        <v>30771.47</v>
      </c>
      <c r="W34" s="337">
        <f t="shared" si="2"/>
        <v>462.53</v>
      </c>
      <c r="X34" s="163">
        <f>M34+T34</f>
        <v>31234</v>
      </c>
    </row>
    <row r="35" spans="1:24" hidden="1" x14ac:dyDescent="0.2">
      <c r="A35" s="215" t="s">
        <v>25</v>
      </c>
      <c r="B35" s="171">
        <f>+s3b!B29</f>
        <v>45805</v>
      </c>
      <c r="C35" s="145">
        <f>ROUND(B35/$B$60,4)</f>
        <v>1.9900000000000001E-2</v>
      </c>
      <c r="D35" s="390">
        <v>21301</v>
      </c>
      <c r="E35" s="391">
        <f>D35/$B$35</f>
        <v>0.46503699999999998</v>
      </c>
      <c r="F35" s="385">
        <f>+s3b!D29</f>
        <v>1170.3599999999999</v>
      </c>
      <c r="G35" s="145">
        <f>ROUND(F35/$F$60,4)</f>
        <v>5.8599999999999999E-2</v>
      </c>
      <c r="H35" s="387">
        <f>ROUND((C35*2/3)+(G35/3),4)+0.000014</f>
        <v>3.2814000000000003E-2</v>
      </c>
      <c r="I35" s="163">
        <f>$C$23*H35</f>
        <v>65715.899999999994</v>
      </c>
      <c r="J35" s="163">
        <f>H8</f>
        <v>119.56</v>
      </c>
      <c r="K35" s="163">
        <f>I35-J35</f>
        <v>65596.34</v>
      </c>
      <c r="L35" s="154">
        <f>F8</f>
        <v>6.5299999999999997E-2</v>
      </c>
      <c r="M35" s="163">
        <f>$C$2*L35</f>
        <v>127844.52</v>
      </c>
      <c r="N35" s="323">
        <f>IF(K35&gt;M35, K35-M35,0)</f>
        <v>0</v>
      </c>
      <c r="O35" s="324">
        <f>IF(N35&gt;0,ROUND((N35/$N$60),7),0)</f>
        <v>0</v>
      </c>
      <c r="P35" s="325">
        <f>IF(M35&gt;K35, M35-K35,0)</f>
        <v>62248.18</v>
      </c>
      <c r="Q35" s="326">
        <f>O35*$Q$60</f>
        <v>0</v>
      </c>
      <c r="R35" s="145">
        <f>IF(K35-M35&lt;=0,0,H35)</f>
        <v>0</v>
      </c>
      <c r="S35" s="145">
        <f>IF(R35=0,0,R35/$R$60)</f>
        <v>0</v>
      </c>
      <c r="T35" s="163">
        <f>S35*$T$24</f>
        <v>0</v>
      </c>
      <c r="U35" s="163">
        <f>M35+T35</f>
        <v>127844.52</v>
      </c>
      <c r="V35" s="333">
        <f>M35+Q35</f>
        <v>127844.52</v>
      </c>
      <c r="W35" s="337">
        <f t="shared" si="2"/>
        <v>0</v>
      </c>
      <c r="X35" s="163">
        <f>M35+T35</f>
        <v>127844.52</v>
      </c>
    </row>
    <row r="36" spans="1:24" hidden="1" x14ac:dyDescent="0.2">
      <c r="A36" s="300" t="s">
        <v>385</v>
      </c>
      <c r="B36" s="171"/>
      <c r="C36" s="145"/>
      <c r="D36" s="390">
        <v>2045</v>
      </c>
      <c r="E36" s="391">
        <f>D36/$B$35</f>
        <v>4.4645999999999998E-2</v>
      </c>
      <c r="F36" s="385"/>
      <c r="G36" s="145"/>
      <c r="H36" s="145"/>
      <c r="I36" s="163"/>
      <c r="J36" s="163"/>
      <c r="K36" s="163"/>
      <c r="L36" s="154"/>
      <c r="M36" s="163"/>
      <c r="N36" s="323"/>
      <c r="O36" s="324"/>
      <c r="P36" s="325"/>
      <c r="Q36" s="326"/>
      <c r="R36" s="145"/>
      <c r="S36" s="145"/>
      <c r="T36" s="163"/>
      <c r="U36" s="163"/>
      <c r="V36" s="333"/>
      <c r="W36" s="337">
        <f t="shared" si="2"/>
        <v>0</v>
      </c>
      <c r="X36" s="163"/>
    </row>
    <row r="37" spans="1:24" hidden="1" x14ac:dyDescent="0.2">
      <c r="A37" s="300" t="s">
        <v>140</v>
      </c>
      <c r="B37" s="171"/>
      <c r="C37" s="145"/>
      <c r="D37" s="390">
        <v>16354</v>
      </c>
      <c r="E37" s="391">
        <f>D37/$B$35</f>
        <v>0.35703499999999999</v>
      </c>
      <c r="F37" s="385"/>
      <c r="G37" s="145"/>
      <c r="H37" s="145"/>
      <c r="I37" s="163"/>
      <c r="J37" s="163"/>
      <c r="K37" s="163"/>
      <c r="L37" s="154"/>
      <c r="M37" s="163"/>
      <c r="N37" s="323"/>
      <c r="O37" s="324"/>
      <c r="P37" s="325"/>
      <c r="Q37" s="326"/>
      <c r="R37" s="145"/>
      <c r="S37" s="145"/>
      <c r="T37" s="163"/>
      <c r="U37" s="163"/>
      <c r="V37" s="333"/>
      <c r="W37" s="337">
        <f t="shared" si="2"/>
        <v>0</v>
      </c>
      <c r="X37" s="163"/>
    </row>
    <row r="38" spans="1:24" hidden="1" x14ac:dyDescent="0.2">
      <c r="A38" s="300" t="s">
        <v>386</v>
      </c>
      <c r="B38" s="171"/>
      <c r="C38" s="145"/>
      <c r="D38" s="390">
        <v>1373</v>
      </c>
      <c r="E38" s="391">
        <f>D38/$B$35</f>
        <v>2.9975000000000002E-2</v>
      </c>
      <c r="F38" s="385"/>
      <c r="G38" s="145"/>
      <c r="H38" s="145"/>
      <c r="I38" s="163"/>
      <c r="J38" s="163"/>
      <c r="K38" s="163"/>
      <c r="L38" s="154"/>
      <c r="M38" s="163"/>
      <c r="N38" s="323"/>
      <c r="O38" s="324"/>
      <c r="P38" s="325"/>
      <c r="Q38" s="326"/>
      <c r="R38" s="145"/>
      <c r="S38" s="145"/>
      <c r="T38" s="163"/>
      <c r="U38" s="163"/>
      <c r="V38" s="333"/>
      <c r="W38" s="337">
        <f t="shared" si="2"/>
        <v>0</v>
      </c>
      <c r="X38" s="163"/>
    </row>
    <row r="39" spans="1:24" hidden="1" x14ac:dyDescent="0.2">
      <c r="A39" s="300" t="s">
        <v>649</v>
      </c>
      <c r="B39" s="171"/>
      <c r="C39" s="145"/>
      <c r="D39" s="390">
        <v>4732</v>
      </c>
      <c r="E39" s="391">
        <f>D39/$B$35</f>
        <v>0.103307</v>
      </c>
      <c r="F39" s="385"/>
      <c r="G39" s="145"/>
      <c r="H39" s="145"/>
      <c r="I39" s="163"/>
      <c r="J39" s="163"/>
      <c r="K39" s="163"/>
      <c r="L39" s="154"/>
      <c r="M39" s="163"/>
      <c r="N39" s="323"/>
      <c r="O39" s="324"/>
      <c r="P39" s="325"/>
      <c r="Q39" s="326"/>
      <c r="R39" s="145"/>
      <c r="S39" s="145"/>
      <c r="T39" s="163"/>
      <c r="U39" s="163"/>
      <c r="V39" s="333"/>
      <c r="W39" s="337">
        <f t="shared" si="2"/>
        <v>0</v>
      </c>
      <c r="X39" s="163"/>
    </row>
    <row r="40" spans="1:24" hidden="1" x14ac:dyDescent="0.2">
      <c r="A40" s="156" t="s">
        <v>26</v>
      </c>
      <c r="B40" s="171">
        <f>+s3b!B30</f>
        <v>1116</v>
      </c>
      <c r="C40" s="145">
        <f>ROUND(B40/$B$60,4)</f>
        <v>5.0000000000000001E-4</v>
      </c>
      <c r="D40" s="390">
        <v>1116</v>
      </c>
      <c r="E40" s="391">
        <f>D40/$B$40</f>
        <v>1</v>
      </c>
      <c r="F40" s="385">
        <f>+s3b!D30</f>
        <v>469.33</v>
      </c>
      <c r="G40" s="145">
        <f>ROUND(F40/$F$60,4)</f>
        <v>2.35E-2</v>
      </c>
      <c r="H40" s="145">
        <f>ROUND((C40*2/3)+(G40/3),4)</f>
        <v>8.2000000000000007E-3</v>
      </c>
      <c r="I40" s="163">
        <f>$C$23*H40</f>
        <v>16421.97</v>
      </c>
      <c r="J40" s="163">
        <f>H9</f>
        <v>28.98</v>
      </c>
      <c r="K40" s="163">
        <f>I40-J40</f>
        <v>16392.990000000002</v>
      </c>
      <c r="L40" s="154">
        <f>F9</f>
        <v>1.52E-2</v>
      </c>
      <c r="M40" s="163">
        <f>$C$2*L40</f>
        <v>29758.6</v>
      </c>
      <c r="N40" s="323">
        <f>IF(K40&gt;M40, K40-M40,0)</f>
        <v>0</v>
      </c>
      <c r="O40" s="324">
        <f>IF(N40&gt;0,ROUND((N40/$N$60),7),0)</f>
        <v>0</v>
      </c>
      <c r="P40" s="325">
        <f>IF(M40&gt;K40, M40-K40,0)</f>
        <v>13365.61</v>
      </c>
      <c r="Q40" s="326">
        <f>O40*$Q$60</f>
        <v>0</v>
      </c>
      <c r="R40" s="145">
        <f>IF(K40-M40&lt;=0,0,H40)</f>
        <v>0</v>
      </c>
      <c r="S40" s="145">
        <f>IF(R40=0,0,R40/$R$60)</f>
        <v>0</v>
      </c>
      <c r="T40" s="163">
        <f>S40*$T$24</f>
        <v>0</v>
      </c>
      <c r="U40" s="163">
        <f>M40+T40</f>
        <v>29758.6</v>
      </c>
      <c r="V40" s="333">
        <f>M40+Q40</f>
        <v>29758.6</v>
      </c>
      <c r="W40" s="337">
        <f t="shared" si="2"/>
        <v>0</v>
      </c>
      <c r="X40" s="163">
        <f>M40+T40</f>
        <v>29758.6</v>
      </c>
    </row>
    <row r="41" spans="1:24" hidden="1" x14ac:dyDescent="0.2">
      <c r="A41" s="156" t="s">
        <v>27</v>
      </c>
      <c r="B41" s="171">
        <f>+s3b!B31</f>
        <v>1420</v>
      </c>
      <c r="C41" s="145">
        <f>ROUND(B41/$B$60,4)</f>
        <v>5.9999999999999995E-4</v>
      </c>
      <c r="D41" s="390">
        <v>1420</v>
      </c>
      <c r="E41" s="391">
        <f>D41/$B$41</f>
        <v>1</v>
      </c>
      <c r="F41" s="385">
        <f>+s3b!D31</f>
        <v>959.88</v>
      </c>
      <c r="G41" s="145">
        <f>ROUND(F41/$F$60,4)</f>
        <v>4.8000000000000001E-2</v>
      </c>
      <c r="H41" s="145">
        <f>ROUND((C41*2/3)+(G41/3),4)</f>
        <v>1.6400000000000001E-2</v>
      </c>
      <c r="I41" s="163">
        <f>$C$23*H41</f>
        <v>32843.93</v>
      </c>
      <c r="J41" s="163">
        <f>H10</f>
        <v>57.97</v>
      </c>
      <c r="K41" s="163">
        <f>I41-J41</f>
        <v>32785.96</v>
      </c>
      <c r="L41" s="154">
        <f>F10</f>
        <v>1.9400000000000001E-2</v>
      </c>
      <c r="M41" s="163">
        <f>$C$2*L41</f>
        <v>37981.370000000003</v>
      </c>
      <c r="N41" s="323">
        <f>IF(K41&gt;M41, K41-M41,0)</f>
        <v>0</v>
      </c>
      <c r="O41" s="324">
        <f>IF(N41&gt;0,ROUND((N41/$N$60),7),0)</f>
        <v>0</v>
      </c>
      <c r="P41" s="325">
        <f>IF(M41&gt;K41, M41-K41,0)</f>
        <v>5195.41</v>
      </c>
      <c r="Q41" s="326">
        <f>O41*$Q$60</f>
        <v>0</v>
      </c>
      <c r="R41" s="145">
        <f>IF(K41-M41&lt;=0,0,H41)</f>
        <v>0</v>
      </c>
      <c r="S41" s="145">
        <f>IF(R41=0,0,R41/$R$60)</f>
        <v>0</v>
      </c>
      <c r="T41" s="163">
        <f>S41*$T$24</f>
        <v>0</v>
      </c>
      <c r="U41" s="163">
        <f>M41+T41</f>
        <v>37981.370000000003</v>
      </c>
      <c r="V41" s="333">
        <f>M41+Q41</f>
        <v>37981.370000000003</v>
      </c>
      <c r="W41" s="337">
        <f t="shared" si="2"/>
        <v>0</v>
      </c>
      <c r="X41" s="163">
        <f>M41+T41</f>
        <v>37981.370000000003</v>
      </c>
    </row>
    <row r="42" spans="1:24" hidden="1" x14ac:dyDescent="0.2">
      <c r="A42" s="156" t="s">
        <v>28</v>
      </c>
      <c r="B42" s="171">
        <f>+s3b!B32</f>
        <v>16457</v>
      </c>
      <c r="C42" s="145">
        <f>ROUND(B42/$B$60,4)</f>
        <v>7.1999999999999998E-3</v>
      </c>
      <c r="D42" s="390">
        <v>9177</v>
      </c>
      <c r="E42" s="391">
        <f>D42/$B$42</f>
        <v>0.55763499999999999</v>
      </c>
      <c r="F42" s="385">
        <f>+s3b!D32</f>
        <v>1001.98</v>
      </c>
      <c r="G42" s="145">
        <f>ROUND(F42/$F$60,4)</f>
        <v>5.0099999999999999E-2</v>
      </c>
      <c r="H42" s="145">
        <f>ROUND((C42*2/3)+(G42/3),4)</f>
        <v>2.1499999999999998E-2</v>
      </c>
      <c r="I42" s="163">
        <f>$C$23*H42</f>
        <v>43057.59</v>
      </c>
      <c r="J42" s="163">
        <f>H11</f>
        <v>76.08</v>
      </c>
      <c r="K42" s="163">
        <f>I42-J42</f>
        <v>42981.51</v>
      </c>
      <c r="L42" s="154">
        <f>F11</f>
        <v>3.9199999999999999E-2</v>
      </c>
      <c r="M42" s="163">
        <f>$C$2*L42</f>
        <v>76745.87</v>
      </c>
      <c r="N42" s="323">
        <f>IF(K42&gt;M42, K42-M42,0)</f>
        <v>0</v>
      </c>
      <c r="O42" s="324">
        <f>IF(N42&gt;0,ROUND((N42/$N$60),7),0)</f>
        <v>0</v>
      </c>
      <c r="P42" s="325">
        <f>IF(M42&gt;K42, M42-K42,0)</f>
        <v>33764.36</v>
      </c>
      <c r="Q42" s="326">
        <f>O42*$Q$60</f>
        <v>0</v>
      </c>
      <c r="R42" s="145">
        <f>IF(K42-M42&lt;=0,0,H42)</f>
        <v>0</v>
      </c>
      <c r="S42" s="145">
        <f>IF(R42=0,0,R42/$R$60)</f>
        <v>0</v>
      </c>
      <c r="T42" s="163">
        <f>S42*$T$24</f>
        <v>0</v>
      </c>
      <c r="U42" s="163">
        <f>M42+T42</f>
        <v>76745.87</v>
      </c>
      <c r="V42" s="333">
        <f>M42+Q42</f>
        <v>76745.87</v>
      </c>
      <c r="W42" s="337">
        <f t="shared" si="2"/>
        <v>0</v>
      </c>
      <c r="X42" s="163">
        <f>M42+T42</f>
        <v>76745.87</v>
      </c>
    </row>
    <row r="43" spans="1:24" hidden="1" x14ac:dyDescent="0.2">
      <c r="A43" s="300" t="s">
        <v>388</v>
      </c>
      <c r="B43" s="171"/>
      <c r="C43" s="145"/>
      <c r="D43" s="390">
        <v>7280</v>
      </c>
      <c r="E43" s="391">
        <f>D43/$B$42</f>
        <v>0.44236500000000001</v>
      </c>
      <c r="F43" s="385"/>
      <c r="G43" s="145"/>
      <c r="H43" s="145"/>
      <c r="I43" s="163"/>
      <c r="J43" s="163"/>
      <c r="K43" s="163"/>
      <c r="L43" s="154"/>
      <c r="M43" s="163"/>
      <c r="N43" s="323"/>
      <c r="O43" s="324"/>
      <c r="P43" s="325"/>
      <c r="Q43" s="326"/>
      <c r="R43" s="145"/>
      <c r="S43" s="145"/>
      <c r="T43" s="163"/>
      <c r="U43" s="163"/>
      <c r="V43" s="333"/>
      <c r="W43" s="337">
        <f t="shared" si="2"/>
        <v>0</v>
      </c>
      <c r="X43" s="163"/>
    </row>
    <row r="44" spans="1:24" hidden="1" x14ac:dyDescent="0.2">
      <c r="A44" s="215" t="s">
        <v>29</v>
      </c>
      <c r="B44" s="171">
        <f>+s3b!B33</f>
        <v>5277</v>
      </c>
      <c r="C44" s="145">
        <f>ROUND(B44/$B$60,4)</f>
        <v>2.3E-3</v>
      </c>
      <c r="D44" s="390">
        <v>5277</v>
      </c>
      <c r="E44" s="391">
        <f>D44/$B$44</f>
        <v>1</v>
      </c>
      <c r="F44" s="385">
        <f>+s3b!D33</f>
        <v>1148.6099999999999</v>
      </c>
      <c r="G44" s="145">
        <f>ROUND(F44/$F$60,4)</f>
        <v>5.7500000000000002E-2</v>
      </c>
      <c r="H44" s="387">
        <f>ROUND((C44*2/3)+(G44/3),4)+0.000014</f>
        <v>2.0714E-2</v>
      </c>
      <c r="I44" s="163">
        <f>$C$23*H44</f>
        <v>41483.49</v>
      </c>
      <c r="J44" s="163">
        <f>H12</f>
        <v>76.08</v>
      </c>
      <c r="K44" s="163">
        <f>I44-J44</f>
        <v>41407.410000000003</v>
      </c>
      <c r="L44" s="154">
        <f>F12</f>
        <v>2.4799999999999999E-2</v>
      </c>
      <c r="M44" s="163">
        <f>$C$2*L44</f>
        <v>48553.51</v>
      </c>
      <c r="N44" s="323">
        <f>IF(K44&gt;M44, K44-M44,0)</f>
        <v>0</v>
      </c>
      <c r="O44" s="324">
        <f>IF(N44&gt;0,ROUND((N44/$N$60),7),0)</f>
        <v>0</v>
      </c>
      <c r="P44" s="325">
        <f>IF(M44&gt;K44, M44-K44,0)</f>
        <v>7146.1</v>
      </c>
      <c r="Q44" s="326">
        <f>O44*$Q$60</f>
        <v>0</v>
      </c>
      <c r="R44" s="145">
        <f>IF(K44-M44&lt;=0,0,H44)</f>
        <v>0</v>
      </c>
      <c r="S44" s="145">
        <f>IF(R44=0,0,R44/$R$60)</f>
        <v>0</v>
      </c>
      <c r="T44" s="163">
        <f>S44*$T$24</f>
        <v>0</v>
      </c>
      <c r="U44" s="163">
        <f>M44+T44</f>
        <v>48553.51</v>
      </c>
      <c r="V44" s="333">
        <f>M44+Q44</f>
        <v>48553.51</v>
      </c>
      <c r="W44" s="337">
        <f t="shared" si="2"/>
        <v>0</v>
      </c>
      <c r="X44" s="163">
        <f>M44+T44</f>
        <v>48553.51</v>
      </c>
    </row>
    <row r="45" spans="1:24" hidden="1" x14ac:dyDescent="0.2">
      <c r="A45" s="156" t="s">
        <v>30</v>
      </c>
      <c r="B45" s="171">
        <f>+s3b!B34</f>
        <v>3749</v>
      </c>
      <c r="C45" s="145">
        <f>ROUND(B45/$B$60,4)</f>
        <v>1.6000000000000001E-3</v>
      </c>
      <c r="D45" s="390">
        <v>2565</v>
      </c>
      <c r="E45" s="391">
        <f>D45/$B$45</f>
        <v>0.68418199999999996</v>
      </c>
      <c r="F45" s="385">
        <f>+s3b!D34</f>
        <v>1874.9</v>
      </c>
      <c r="G45" s="145">
        <f>ROUND(F45/$F$60,4)</f>
        <v>9.3799999999999994E-2</v>
      </c>
      <c r="H45" s="145">
        <f>ROUND((C45*2/3)+(G45/3),4)</f>
        <v>3.2300000000000002E-2</v>
      </c>
      <c r="I45" s="163">
        <f>$C$23*H45</f>
        <v>64686.53</v>
      </c>
      <c r="J45" s="163">
        <f>H13</f>
        <v>115.93</v>
      </c>
      <c r="K45" s="163">
        <f>I45-J45</f>
        <v>64570.6</v>
      </c>
      <c r="L45" s="154">
        <f>F13</f>
        <v>4.3200000000000002E-2</v>
      </c>
      <c r="M45" s="163">
        <f>$C$2*L45</f>
        <v>84577.08</v>
      </c>
      <c r="N45" s="323">
        <f>IF(K45&gt;M45, K45-M45,0)</f>
        <v>0</v>
      </c>
      <c r="O45" s="324">
        <f>IF(N45&gt;0,ROUND((N45/$N$60),7),0)</f>
        <v>0</v>
      </c>
      <c r="P45" s="325">
        <f>IF(M45&gt;K45, M45-K45,0)</f>
        <v>20006.48</v>
      </c>
      <c r="Q45" s="326">
        <f>O45*$Q$60</f>
        <v>0</v>
      </c>
      <c r="R45" s="145">
        <f>IF(K45-M45&lt;=0,0,H45)</f>
        <v>0</v>
      </c>
      <c r="S45" s="145">
        <f>IF(R45=0,0,R45/$R$60)</f>
        <v>0</v>
      </c>
      <c r="T45" s="163">
        <f>S45*$T$24</f>
        <v>0</v>
      </c>
      <c r="U45" s="163">
        <f>M45+T45</f>
        <v>84577.08</v>
      </c>
      <c r="V45" s="333">
        <f>M45+Q45</f>
        <v>84577.08</v>
      </c>
      <c r="W45" s="337">
        <f t="shared" si="2"/>
        <v>0</v>
      </c>
      <c r="X45" s="163">
        <f>M45+T45</f>
        <v>84577.08</v>
      </c>
    </row>
    <row r="46" spans="1:24" hidden="1" x14ac:dyDescent="0.2">
      <c r="A46" s="300" t="s">
        <v>390</v>
      </c>
      <c r="B46" s="171"/>
      <c r="C46" s="145"/>
      <c r="D46" s="390">
        <v>1184</v>
      </c>
      <c r="E46" s="391">
        <f>D46/$B$45</f>
        <v>0.31581799999999999</v>
      </c>
      <c r="F46" s="385"/>
      <c r="G46" s="145"/>
      <c r="H46" s="145"/>
      <c r="I46" s="163"/>
      <c r="J46" s="163"/>
      <c r="K46" s="163"/>
      <c r="L46" s="154"/>
      <c r="M46" s="163"/>
      <c r="N46" s="323"/>
      <c r="O46" s="324"/>
      <c r="P46" s="325"/>
      <c r="Q46" s="326"/>
      <c r="R46" s="145"/>
      <c r="S46" s="145"/>
      <c r="T46" s="163"/>
      <c r="U46" s="163"/>
      <c r="V46" s="333"/>
      <c r="W46" s="337">
        <f t="shared" si="2"/>
        <v>0</v>
      </c>
      <c r="X46" s="163"/>
    </row>
    <row r="47" spans="1:24" hidden="1" x14ac:dyDescent="0.2">
      <c r="A47" s="156" t="s">
        <v>31</v>
      </c>
      <c r="B47" s="171">
        <f>+s3b!B35</f>
        <v>41244</v>
      </c>
      <c r="C47" s="145">
        <f>ROUND(B47/$B$60,4)</f>
        <v>1.7999999999999999E-2</v>
      </c>
      <c r="D47" s="390">
        <v>26624</v>
      </c>
      <c r="E47" s="391">
        <f>D47/$B$47</f>
        <v>0.64552399999999999</v>
      </c>
      <c r="F47" s="385">
        <f>+s3b!D35</f>
        <v>571.22</v>
      </c>
      <c r="G47" s="145">
        <f>ROUND(F47/$F$60,4)</f>
        <v>2.86E-2</v>
      </c>
      <c r="H47" s="145">
        <f>ROUND((C47*2/3)+(G47/3),4)</f>
        <v>2.1499999999999998E-2</v>
      </c>
      <c r="I47" s="163">
        <f>$C$23*H47</f>
        <v>43057.59</v>
      </c>
      <c r="J47" s="163">
        <f>H14</f>
        <v>76.08</v>
      </c>
      <c r="K47" s="163">
        <f>I47-J47</f>
        <v>42981.51</v>
      </c>
      <c r="L47" s="154">
        <f>F14</f>
        <v>1.89E-2</v>
      </c>
      <c r="M47" s="163">
        <f>$C$2*L47</f>
        <v>37002.47</v>
      </c>
      <c r="N47" s="323">
        <f>IF(K47&gt;M47, K47-M47,0)</f>
        <v>5979.04</v>
      </c>
      <c r="O47" s="324">
        <f>IF(N47&gt;0,ROUND((N47/$N$60),7),0)</f>
        <v>2.0119999999999999E-2</v>
      </c>
      <c r="P47" s="325">
        <f>IF(M47&gt;K47, M47-K47,0)</f>
        <v>0</v>
      </c>
      <c r="Q47" s="326">
        <f>O47*$Q$60</f>
        <v>830.01</v>
      </c>
      <c r="R47" s="145">
        <f>IF(K47-M47&lt;=0,0,H47)</f>
        <v>2.1499999999999998E-2</v>
      </c>
      <c r="S47" s="145">
        <f>IF(R47=0,0,R47/$R$60)</f>
        <v>2.7691E-2</v>
      </c>
      <c r="T47" s="163">
        <f>S47*$T$24</f>
        <v>1142.3399999999999</v>
      </c>
      <c r="U47" s="163">
        <f>M47+T47</f>
        <v>38144.81</v>
      </c>
      <c r="V47" s="333">
        <f>M47+Q47</f>
        <v>37832.480000000003</v>
      </c>
      <c r="W47" s="337">
        <f t="shared" si="2"/>
        <v>312.33</v>
      </c>
      <c r="X47" s="163">
        <f>M47+T47</f>
        <v>38144.81</v>
      </c>
    </row>
    <row r="48" spans="1:24" hidden="1" x14ac:dyDescent="0.2">
      <c r="A48" s="300" t="s">
        <v>392</v>
      </c>
      <c r="B48" s="171"/>
      <c r="C48" s="145"/>
      <c r="D48" s="390">
        <v>11718</v>
      </c>
      <c r="E48" s="391">
        <f>D48/$B$47</f>
        <v>0.28411399999999998</v>
      </c>
      <c r="F48" s="385"/>
      <c r="G48" s="145"/>
      <c r="H48" s="145"/>
      <c r="I48" s="163"/>
      <c r="J48" s="163"/>
      <c r="K48" s="163"/>
      <c r="L48" s="154"/>
      <c r="M48" s="163"/>
      <c r="N48" s="323"/>
      <c r="O48" s="324"/>
      <c r="P48" s="325"/>
      <c r="Q48" s="326"/>
      <c r="R48" s="145"/>
      <c r="S48" s="145"/>
      <c r="T48" s="163"/>
      <c r="U48" s="163"/>
      <c r="V48" s="333"/>
      <c r="W48" s="337">
        <f t="shared" si="2"/>
        <v>0</v>
      </c>
      <c r="X48" s="163"/>
    </row>
    <row r="49" spans="1:26" hidden="1" x14ac:dyDescent="0.2">
      <c r="A49" s="300" t="s">
        <v>391</v>
      </c>
      <c r="B49" s="171"/>
      <c r="C49" s="145"/>
      <c r="D49" s="390">
        <v>2902</v>
      </c>
      <c r="E49" s="391">
        <f>D49/$B$47</f>
        <v>7.0361999999999994E-2</v>
      </c>
      <c r="F49" s="385"/>
      <c r="G49" s="145"/>
      <c r="H49" s="145"/>
      <c r="I49" s="163"/>
      <c r="J49" s="163"/>
      <c r="K49" s="163"/>
      <c r="L49" s="154"/>
      <c r="M49" s="163"/>
      <c r="N49" s="323"/>
      <c r="O49" s="324"/>
      <c r="P49" s="325"/>
      <c r="Q49" s="326"/>
      <c r="R49" s="145"/>
      <c r="S49" s="145"/>
      <c r="T49" s="163"/>
      <c r="U49" s="163"/>
      <c r="V49" s="333"/>
      <c r="W49" s="337">
        <f t="shared" si="2"/>
        <v>0</v>
      </c>
      <c r="X49" s="163"/>
    </row>
    <row r="50" spans="1:26" hidden="1" x14ac:dyDescent="0.2">
      <c r="A50" s="215" t="s">
        <v>405</v>
      </c>
      <c r="B50" s="171">
        <f>+s3b!B36</f>
        <v>4687</v>
      </c>
      <c r="C50" s="145">
        <f>ROUND(B50/$B$60,4)</f>
        <v>2E-3</v>
      </c>
      <c r="D50" s="390">
        <v>4687</v>
      </c>
      <c r="E50" s="391">
        <f>D50/$B$50</f>
        <v>1</v>
      </c>
      <c r="F50" s="385">
        <f>+s3b!D36</f>
        <v>323.85000000000002</v>
      </c>
      <c r="G50" s="145">
        <f>ROUND(F50/$F$60,4)</f>
        <v>1.6199999999999999E-2</v>
      </c>
      <c r="H50" s="387">
        <f>ROUND((C50*2/3)+(G50/3),4)+0.000015</f>
        <v>6.7149999999999996E-3</v>
      </c>
      <c r="I50" s="163">
        <f>$C$23*H50</f>
        <v>13447.99</v>
      </c>
      <c r="J50" s="163">
        <f>H15</f>
        <v>25.36</v>
      </c>
      <c r="K50" s="163">
        <f>I50-J50</f>
        <v>13422.63</v>
      </c>
      <c r="L50" s="154">
        <f>F15</f>
        <v>1.4E-2</v>
      </c>
      <c r="M50" s="163">
        <f>$C$2*L50</f>
        <v>27409.24</v>
      </c>
      <c r="N50" s="323">
        <f>IF(K50&gt;M50, K50-M50,0)</f>
        <v>0</v>
      </c>
      <c r="O50" s="324">
        <f>IF(N50&gt;0,ROUND((N50/$N$60),7),0)</f>
        <v>0</v>
      </c>
      <c r="P50" s="325">
        <f>IF(M50&gt;K50, M50-K50,0)</f>
        <v>13986.61</v>
      </c>
      <c r="Q50" s="326">
        <f>O50*$Q$60</f>
        <v>0</v>
      </c>
      <c r="R50" s="145">
        <f>IF(K50-M50&lt;=0,0,H50)</f>
        <v>0</v>
      </c>
      <c r="S50" s="145">
        <f>IF(R50=0,0,R50/$R$60)</f>
        <v>0</v>
      </c>
      <c r="T50" s="163">
        <f>S50*$T$24</f>
        <v>0</v>
      </c>
      <c r="U50" s="163">
        <f>M50+T50</f>
        <v>27409.24</v>
      </c>
      <c r="V50" s="333">
        <f>M50+Q50</f>
        <v>27409.24</v>
      </c>
      <c r="W50" s="337">
        <f t="shared" si="2"/>
        <v>0</v>
      </c>
      <c r="X50" s="163">
        <f>M50+T50</f>
        <v>27409.24</v>
      </c>
    </row>
    <row r="51" spans="1:26" hidden="1" x14ac:dyDescent="0.2">
      <c r="A51" s="215" t="s">
        <v>33</v>
      </c>
      <c r="B51" s="171">
        <f>+s3b!B37</f>
        <v>36651</v>
      </c>
      <c r="C51" s="145">
        <f>ROUND(B51/$B$60,4)</f>
        <v>1.6E-2</v>
      </c>
      <c r="D51" s="390">
        <v>36651</v>
      </c>
      <c r="E51" s="391">
        <f>D51/$B$51</f>
        <v>1</v>
      </c>
      <c r="F51" s="385">
        <f>+s3b!D37</f>
        <v>2037</v>
      </c>
      <c r="G51" s="145">
        <f>ROUND(F51/$F$60,4)</f>
        <v>0.1019</v>
      </c>
      <c r="H51" s="387">
        <f>ROUND((C51*2/3)+(G51/3),4)+0.000014</f>
        <v>4.4614000000000001E-2</v>
      </c>
      <c r="I51" s="163">
        <f>$C$23*H51</f>
        <v>89347.51</v>
      </c>
      <c r="J51" s="163">
        <f>H16</f>
        <v>163.03</v>
      </c>
      <c r="K51" s="163">
        <f>I51-J51</f>
        <v>89184.48</v>
      </c>
      <c r="L51" s="154">
        <f>F16</f>
        <v>6.7699999999999996E-2</v>
      </c>
      <c r="M51" s="163">
        <f>$C$2*L51</f>
        <v>132543.25</v>
      </c>
      <c r="N51" s="323">
        <f>IF(K51&gt;M51, K51-M51,0)</f>
        <v>0</v>
      </c>
      <c r="O51" s="324">
        <f>IF(N51&gt;0,ROUND((N51/$N$60),7),0)</f>
        <v>0</v>
      </c>
      <c r="P51" s="325">
        <f>IF(M51&gt;K51, M51-K51,0)</f>
        <v>43358.77</v>
      </c>
      <c r="Q51" s="326">
        <f>O51*$Q$60</f>
        <v>0</v>
      </c>
      <c r="R51" s="145">
        <f>IF(K51-M51&lt;=0,0,H51)</f>
        <v>0</v>
      </c>
      <c r="S51" s="145">
        <f>IF(R51=0,0,R51/$R$60)</f>
        <v>0</v>
      </c>
      <c r="T51" s="163">
        <f>S51*$T$24</f>
        <v>0</v>
      </c>
      <c r="U51" s="163">
        <f>M51+T51</f>
        <v>132543.25</v>
      </c>
      <c r="V51" s="333">
        <f>M51+Q51</f>
        <v>132543.25</v>
      </c>
      <c r="W51" s="337">
        <f t="shared" si="2"/>
        <v>0</v>
      </c>
      <c r="X51" s="163">
        <f>M51+T51</f>
        <v>132543.25</v>
      </c>
    </row>
    <row r="52" spans="1:26" hidden="1" x14ac:dyDescent="0.2">
      <c r="A52" s="156" t="s">
        <v>34</v>
      </c>
      <c r="B52" s="171">
        <f>+s3b!B38</f>
        <v>6967</v>
      </c>
      <c r="C52" s="145">
        <f>ROUND(B52/$B$60,4)</f>
        <v>3.0000000000000001E-3</v>
      </c>
      <c r="D52" s="390">
        <v>4562</v>
      </c>
      <c r="E52" s="391">
        <f>D52/$B$52</f>
        <v>0.65480099999999997</v>
      </c>
      <c r="F52" s="385">
        <f>+s3b!D38</f>
        <v>1887</v>
      </c>
      <c r="G52" s="145">
        <f>ROUND(F52/$F$60,4)</f>
        <v>9.4399999999999998E-2</v>
      </c>
      <c r="H52" s="145">
        <f>ROUND((C52*2/3)+(G52/3),4)</f>
        <v>3.3500000000000002E-2</v>
      </c>
      <c r="I52" s="163">
        <f>$C$23*H52</f>
        <v>67089.740000000005</v>
      </c>
      <c r="J52" s="163">
        <f>H17</f>
        <v>119.56</v>
      </c>
      <c r="K52" s="163">
        <f>I52-J52</f>
        <v>66970.179999999993</v>
      </c>
      <c r="L52" s="154">
        <f>F17</f>
        <v>2.8400000000000002E-2</v>
      </c>
      <c r="M52" s="163">
        <f>$C$2*L52</f>
        <v>55601.599999999999</v>
      </c>
      <c r="N52" s="323">
        <f>IF(K52&gt;M52, K52-M52,0)</f>
        <v>11368.58</v>
      </c>
      <c r="O52" s="324">
        <f>IF(N52&gt;0,ROUND((N52/$N$60),7),0)</f>
        <v>3.8255999999999998E-2</v>
      </c>
      <c r="P52" s="325">
        <f>IF(M52&gt;K52, M52-K52,0)</f>
        <v>0</v>
      </c>
      <c r="Q52" s="326">
        <f>O52*$Q$60</f>
        <v>1578.18</v>
      </c>
      <c r="R52" s="145">
        <f>IF(K52-M52&lt;=0,0,H52)</f>
        <v>3.3500000000000002E-2</v>
      </c>
      <c r="S52" s="145">
        <f>IF(R52=0,0,R52/$R$60)</f>
        <v>4.3145999999999997E-2</v>
      </c>
      <c r="T52" s="163">
        <f>S52*$T$24</f>
        <v>1779.91</v>
      </c>
      <c r="U52" s="163">
        <f>M52+T52</f>
        <v>57381.51</v>
      </c>
      <c r="V52" s="333">
        <f>M52+Q52</f>
        <v>57179.78</v>
      </c>
      <c r="W52" s="337">
        <f t="shared" si="2"/>
        <v>201.73</v>
      </c>
      <c r="X52" s="163">
        <f>M52+T52</f>
        <v>57381.51</v>
      </c>
    </row>
    <row r="53" spans="1:26" hidden="1" x14ac:dyDescent="0.2">
      <c r="A53" s="300" t="s">
        <v>396</v>
      </c>
      <c r="B53" s="171"/>
      <c r="C53" s="145"/>
      <c r="D53" s="390">
        <v>2405</v>
      </c>
      <c r="E53" s="391">
        <f>D53/$B$52</f>
        <v>0.34519899999999998</v>
      </c>
      <c r="F53" s="385"/>
      <c r="G53" s="145"/>
      <c r="H53" s="145"/>
      <c r="I53" s="163"/>
      <c r="J53" s="163"/>
      <c r="K53" s="163"/>
      <c r="L53" s="154"/>
      <c r="M53" s="163"/>
      <c r="N53" s="323"/>
      <c r="O53" s="324"/>
      <c r="P53" s="325"/>
      <c r="Q53" s="326"/>
      <c r="R53" s="145"/>
      <c r="S53" s="145"/>
      <c r="T53" s="163"/>
      <c r="U53" s="163"/>
      <c r="V53" s="333"/>
      <c r="W53" s="337">
        <f t="shared" si="2"/>
        <v>0</v>
      </c>
      <c r="X53" s="163"/>
    </row>
    <row r="54" spans="1:26" hidden="1" x14ac:dyDescent="0.2">
      <c r="A54" s="215" t="s">
        <v>35</v>
      </c>
      <c r="B54" s="171">
        <f>+s3b!B39</f>
        <v>3736</v>
      </c>
      <c r="C54" s="145">
        <f>ROUND(B54/$B$60,4)</f>
        <v>1.6000000000000001E-3</v>
      </c>
      <c r="D54" s="390">
        <v>3736</v>
      </c>
      <c r="E54" s="391">
        <f>D54/$B$54</f>
        <v>1</v>
      </c>
      <c r="F54" s="385">
        <f>+s3b!D39</f>
        <v>49.39</v>
      </c>
      <c r="G54" s="145">
        <f>ROUND(F54/$F$60,4)</f>
        <v>2.5000000000000001E-3</v>
      </c>
      <c r="H54" s="387">
        <f>ROUND((C54*2/3)+(G54/3),4)+0.000015</f>
        <v>1.915E-3</v>
      </c>
      <c r="I54" s="163">
        <f>$C$23*H54</f>
        <v>3835.13</v>
      </c>
      <c r="J54" s="163">
        <f>H18</f>
        <v>7.25</v>
      </c>
      <c r="K54" s="163">
        <f>I54-J54</f>
        <v>3827.88</v>
      </c>
      <c r="L54" s="154">
        <f>F18</f>
        <v>2.2000000000000001E-3</v>
      </c>
      <c r="M54" s="163">
        <f>$C$2*L54</f>
        <v>4307.17</v>
      </c>
      <c r="N54" s="323">
        <f>IF(K54&gt;M54, K54-M54,0)</f>
        <v>0</v>
      </c>
      <c r="O54" s="324">
        <f>IF(N54&gt;0,ROUND((N54/$N$60),7),0)</f>
        <v>0</v>
      </c>
      <c r="P54" s="325">
        <f>IF(M54&gt;K54, M54-K54,0)</f>
        <v>479.29</v>
      </c>
      <c r="Q54" s="326">
        <f>O54*$Q$60</f>
        <v>0</v>
      </c>
      <c r="R54" s="145">
        <f>IF(K54-M54&lt;=0,0,H54)</f>
        <v>0</v>
      </c>
      <c r="S54" s="145">
        <f>IF(R54=0,0,R54/$R$60)</f>
        <v>0</v>
      </c>
      <c r="T54" s="163">
        <f>S54*$T$24</f>
        <v>0</v>
      </c>
      <c r="U54" s="163">
        <f>M54+T54</f>
        <v>4307.17</v>
      </c>
      <c r="V54" s="333">
        <f>M54+Q54</f>
        <v>4307.17</v>
      </c>
      <c r="W54" s="337">
        <f t="shared" si="2"/>
        <v>0</v>
      </c>
      <c r="X54" s="163">
        <f>M54+T54</f>
        <v>4307.17</v>
      </c>
    </row>
    <row r="55" spans="1:26" hidden="1" x14ac:dyDescent="0.2">
      <c r="A55" s="156" t="s">
        <v>36</v>
      </c>
      <c r="B55" s="171">
        <f>+s3b!B40</f>
        <v>373233</v>
      </c>
      <c r="C55" s="145">
        <f>ROUND(B55/$B$60,4)</f>
        <v>0.16250000000000001</v>
      </c>
      <c r="D55" s="390">
        <v>99071</v>
      </c>
      <c r="E55" s="391">
        <f>D55/$B$55</f>
        <v>0.26544000000000001</v>
      </c>
      <c r="F55" s="385">
        <f>+s3b!D40</f>
        <v>1842.02</v>
      </c>
      <c r="G55" s="145">
        <f>ROUND(F55/$F$60,4)</f>
        <v>9.2200000000000004E-2</v>
      </c>
      <c r="H55" s="145">
        <f>ROUND((C55*2/3)+(G55/3),4)</f>
        <v>0.1391</v>
      </c>
      <c r="I55" s="163">
        <f>$C$23*H55</f>
        <v>278572.62</v>
      </c>
      <c r="J55" s="163">
        <f>H19</f>
        <v>503.59</v>
      </c>
      <c r="K55" s="163">
        <f>I55-J55</f>
        <v>278069.03000000003</v>
      </c>
      <c r="L55" s="154">
        <f>F19</f>
        <v>0.1232</v>
      </c>
      <c r="M55" s="163">
        <f>$C$2*L55</f>
        <v>241201.3</v>
      </c>
      <c r="N55" s="323">
        <f>IF(K55&gt;M55, K55-M55,0)</f>
        <v>36867.730000000003</v>
      </c>
      <c r="O55" s="324">
        <f>IF(N55&gt;0,ROUND((N55/$N$60),7),0)</f>
        <v>0.12406300000000001</v>
      </c>
      <c r="P55" s="325">
        <f>IF(M55&gt;K55, M55-K55,0)</f>
        <v>0</v>
      </c>
      <c r="Q55" s="326">
        <f>O55*$Q$60</f>
        <v>5117.9799999999996</v>
      </c>
      <c r="R55" s="145">
        <f>IF(K55-M55&lt;=0,0,H55)</f>
        <v>0.1391</v>
      </c>
      <c r="S55" s="145">
        <f>IF(R55=0,0,R55/$R$60)</f>
        <v>0.17915400000000001</v>
      </c>
      <c r="T55" s="163">
        <f>S55*$T$24</f>
        <v>7390.66</v>
      </c>
      <c r="U55" s="163">
        <f>M55+T55</f>
        <v>248591.96</v>
      </c>
      <c r="V55" s="333">
        <f>M55+Q55</f>
        <v>246319.28</v>
      </c>
      <c r="W55" s="337">
        <f t="shared" si="2"/>
        <v>2272.6799999999998</v>
      </c>
      <c r="X55" s="163">
        <f>M55+T55</f>
        <v>248591.96</v>
      </c>
    </row>
    <row r="56" spans="1:26" hidden="1" x14ac:dyDescent="0.2">
      <c r="A56" s="300" t="s">
        <v>397</v>
      </c>
      <c r="B56" s="171"/>
      <c r="C56" s="145"/>
      <c r="D56" s="390">
        <v>195727</v>
      </c>
      <c r="E56" s="391">
        <f>D56/$B$55</f>
        <v>0.52441000000000004</v>
      </c>
      <c r="F56" s="385"/>
      <c r="G56" s="145"/>
      <c r="H56" s="145"/>
      <c r="I56" s="163"/>
      <c r="J56" s="163"/>
      <c r="K56" s="163"/>
      <c r="L56" s="154"/>
      <c r="M56" s="163"/>
      <c r="N56" s="323"/>
      <c r="O56" s="324"/>
      <c r="P56" s="325"/>
      <c r="Q56" s="326"/>
      <c r="R56" s="145"/>
      <c r="S56" s="145"/>
      <c r="T56" s="163"/>
      <c r="U56" s="163"/>
      <c r="V56" s="333"/>
      <c r="W56" s="337">
        <f t="shared" si="2"/>
        <v>0</v>
      </c>
      <c r="X56" s="163"/>
    </row>
    <row r="57" spans="1:26" hidden="1" x14ac:dyDescent="0.2">
      <c r="A57" s="300" t="s">
        <v>398</v>
      </c>
      <c r="B57" s="171"/>
      <c r="C57" s="145"/>
      <c r="D57" s="390">
        <v>78435</v>
      </c>
      <c r="E57" s="391">
        <f>D57/$B$55</f>
        <v>0.21015</v>
      </c>
      <c r="F57" s="385"/>
      <c r="G57" s="145"/>
      <c r="H57" s="145"/>
      <c r="I57" s="163"/>
      <c r="J57" s="163"/>
      <c r="K57" s="163"/>
      <c r="L57" s="154"/>
      <c r="M57" s="163"/>
      <c r="N57" s="323"/>
      <c r="O57" s="324"/>
      <c r="P57" s="325"/>
      <c r="Q57" s="326"/>
      <c r="R57" s="145"/>
      <c r="S57" s="145"/>
      <c r="T57" s="163"/>
      <c r="U57" s="163"/>
      <c r="V57" s="333"/>
      <c r="W57" s="337">
        <f t="shared" si="2"/>
        <v>0</v>
      </c>
      <c r="X57" s="163"/>
    </row>
    <row r="58" spans="1:26" hidden="1" x14ac:dyDescent="0.2">
      <c r="A58" s="156" t="s">
        <v>37</v>
      </c>
      <c r="B58" s="171">
        <f>+s3b!B41</f>
        <v>8842</v>
      </c>
      <c r="C58" s="145">
        <f>ROUND(B58/$B$60,4)</f>
        <v>3.8999999999999998E-3</v>
      </c>
      <c r="D58" s="390">
        <v>5013</v>
      </c>
      <c r="E58" s="391">
        <f>D58/$B$58</f>
        <v>0.56695300000000004</v>
      </c>
      <c r="F58" s="385">
        <f>+s3b!D41</f>
        <v>1108.27</v>
      </c>
      <c r="G58" s="145">
        <f>ROUND(F58/$F$60,4)</f>
        <v>5.5399999999999998E-2</v>
      </c>
      <c r="H58" s="145">
        <f>ROUND((C58*2/3)+(G58/3),4)</f>
        <v>2.1100000000000001E-2</v>
      </c>
      <c r="I58" s="152">
        <f>$C$23*H58</f>
        <v>42256.52</v>
      </c>
      <c r="J58" s="163">
        <f>H20</f>
        <v>76.08</v>
      </c>
      <c r="K58" s="163">
        <f>I58-J58</f>
        <v>42180.44</v>
      </c>
      <c r="L58" s="172">
        <f>F20</f>
        <v>4.0300000000000002E-2</v>
      </c>
      <c r="M58" s="152">
        <f>$C$2*L58</f>
        <v>78899.45</v>
      </c>
      <c r="N58" s="323">
        <f>IF(K58&gt;M58, K58-M58,0)</f>
        <v>0</v>
      </c>
      <c r="O58" s="324">
        <f>IF(N58&gt;0,ROUND((N58/$N$60),7),0)</f>
        <v>0</v>
      </c>
      <c r="P58" s="325">
        <f>IF(M58&gt;K58, M58-K58,0)</f>
        <v>36719.01</v>
      </c>
      <c r="Q58" s="326">
        <f>O58*$Q$60</f>
        <v>0</v>
      </c>
      <c r="R58" s="145">
        <f>IF(K58-M58&lt;=0,0,H58)</f>
        <v>0</v>
      </c>
      <c r="S58" s="145">
        <f>IF(R58=0,0,R58/$R$60)</f>
        <v>0</v>
      </c>
      <c r="T58" s="152">
        <f>S58*$T$24</f>
        <v>0</v>
      </c>
      <c r="U58" s="152">
        <f>M58+T58</f>
        <v>78899.45</v>
      </c>
      <c r="V58" s="334">
        <f>M58+Q58</f>
        <v>78899.45</v>
      </c>
      <c r="W58" s="337">
        <f t="shared" si="2"/>
        <v>0</v>
      </c>
      <c r="X58" s="163">
        <f>M58+T58</f>
        <v>78899.45</v>
      </c>
      <c r="Y58" s="152"/>
      <c r="Z58" s="173"/>
    </row>
    <row r="59" spans="1:26" hidden="1" x14ac:dyDescent="0.2">
      <c r="A59" s="300" t="s">
        <v>399</v>
      </c>
      <c r="D59" s="390">
        <v>3829</v>
      </c>
      <c r="E59" s="391">
        <f>D59/$B$58</f>
        <v>0.43304700000000002</v>
      </c>
      <c r="F59" s="283"/>
      <c r="N59" s="323"/>
      <c r="O59" s="324"/>
      <c r="P59" s="325"/>
      <c r="Q59" s="326"/>
      <c r="V59" s="335"/>
      <c r="W59" s="337">
        <f t="shared" si="2"/>
        <v>0</v>
      </c>
    </row>
    <row r="60" spans="1:26" ht="13.5" hidden="1" thickBot="1" x14ac:dyDescent="0.25">
      <c r="A60" s="151" t="s">
        <v>404</v>
      </c>
      <c r="B60" s="174">
        <f>SUM(B25:B58)</f>
        <v>2296563</v>
      </c>
      <c r="C60" s="175">
        <f>SUM(C25:C58)</f>
        <v>0.99990000000000001</v>
      </c>
      <c r="D60" s="299">
        <f>SUM(D25:D59)</f>
        <v>2296563</v>
      </c>
      <c r="E60" s="298" t="s">
        <v>81</v>
      </c>
      <c r="F60" s="386">
        <f t="shared" ref="F60:P60" si="4">SUM(F25:F58)</f>
        <v>19987.27</v>
      </c>
      <c r="G60" s="176">
        <f t="shared" si="4"/>
        <v>1</v>
      </c>
      <c r="H60" s="176">
        <f t="shared" si="4"/>
        <v>1</v>
      </c>
      <c r="I60" s="165">
        <f t="shared" si="4"/>
        <v>2002678.79</v>
      </c>
      <c r="J60" s="177">
        <f t="shared" si="4"/>
        <v>3622.95</v>
      </c>
      <c r="K60" s="178">
        <f t="shared" si="4"/>
        <v>1999055.84</v>
      </c>
      <c r="L60" s="179">
        <f t="shared" si="4"/>
        <v>1</v>
      </c>
      <c r="M60" s="165">
        <f t="shared" si="4"/>
        <v>1957802.77</v>
      </c>
      <c r="N60" s="327">
        <f t="shared" si="4"/>
        <v>297169.28000000003</v>
      </c>
      <c r="O60" s="328">
        <f t="shared" si="4"/>
        <v>1</v>
      </c>
      <c r="P60" s="329">
        <f t="shared" si="4"/>
        <v>255916.21</v>
      </c>
      <c r="Q60" s="330">
        <f>N60-P60</f>
        <v>41253.07</v>
      </c>
      <c r="R60" s="180">
        <f>SUM(R25:R58)</f>
        <v>0.77642800000000001</v>
      </c>
      <c r="S60" s="180">
        <f>SUM(S25:S58)</f>
        <v>1</v>
      </c>
      <c r="T60" s="165">
        <f>SUM(T25:T58)</f>
        <v>41253.11</v>
      </c>
      <c r="U60" s="165">
        <f>SUM(U25:U58)</f>
        <v>1999055.86</v>
      </c>
      <c r="V60" s="336">
        <f>SUM(V25:V58)</f>
        <v>1999055.85</v>
      </c>
      <c r="W60" s="338">
        <f t="shared" si="2"/>
        <v>0.01</v>
      </c>
      <c r="X60" s="163">
        <f>M60+T60</f>
        <v>1999055.88</v>
      </c>
      <c r="Y60" s="183">
        <f>C4</f>
        <v>1999055.86</v>
      </c>
      <c r="Z60" s="184">
        <f>X60-Y60</f>
        <v>0.02</v>
      </c>
    </row>
    <row r="61" spans="1:26" ht="13.5" hidden="1" thickTop="1" x14ac:dyDescent="0.2">
      <c r="G61" s="155"/>
      <c r="H61" s="181"/>
      <c r="I61" s="155"/>
      <c r="J61" s="153"/>
      <c r="K61" s="153"/>
      <c r="L61" s="182"/>
      <c r="M61" s="152"/>
      <c r="P61" t="s">
        <v>105</v>
      </c>
      <c r="Q61" s="163">
        <f>SUM(Q25:Q59)</f>
        <v>41253.08</v>
      </c>
      <c r="R61" s="152"/>
      <c r="S61" s="152"/>
      <c r="T61" s="152"/>
      <c r="U61" s="152"/>
      <c r="V61" s="155"/>
    </row>
    <row r="62" spans="1:26" hidden="1" x14ac:dyDescent="0.2">
      <c r="A62" t="s">
        <v>698</v>
      </c>
      <c r="L62"/>
    </row>
    <row r="63" spans="1:26" hidden="1" x14ac:dyDescent="0.2">
      <c r="A63" t="s">
        <v>700</v>
      </c>
      <c r="L63"/>
    </row>
    <row r="64" spans="1:26" hidden="1" x14ac:dyDescent="0.2">
      <c r="A64" t="s">
        <v>714</v>
      </c>
      <c r="L64"/>
    </row>
    <row r="65" spans="1:22" hidden="1" x14ac:dyDescent="0.2">
      <c r="A65" t="s">
        <v>699</v>
      </c>
      <c r="L65"/>
    </row>
    <row r="66" spans="1:22" hidden="1" x14ac:dyDescent="0.2">
      <c r="A66" t="s">
        <v>702</v>
      </c>
      <c r="L66"/>
    </row>
    <row r="67" spans="1:22" hidden="1" x14ac:dyDescent="0.2">
      <c r="L67"/>
    </row>
    <row r="68" spans="1:22" x14ac:dyDescent="0.2">
      <c r="A68" s="232" t="s">
        <v>428</v>
      </c>
      <c r="B68" s="20"/>
    </row>
    <row r="69" spans="1:22" x14ac:dyDescent="0.2">
      <c r="A69" s="233" t="str">
        <f>ReportMonth</f>
        <v>NOVEMBER 2004</v>
      </c>
      <c r="B69" s="20"/>
    </row>
    <row r="70" spans="1:22" x14ac:dyDescent="0.2">
      <c r="A70" s="234" t="s">
        <v>108</v>
      </c>
      <c r="B70" s="20"/>
    </row>
    <row r="71" spans="1:22" x14ac:dyDescent="0.2">
      <c r="H71" s="301" t="s">
        <v>81</v>
      </c>
    </row>
    <row r="72" spans="1:22" x14ac:dyDescent="0.2">
      <c r="A72" s="418" t="s">
        <v>424</v>
      </c>
      <c r="B72" s="418"/>
      <c r="C72" s="418"/>
      <c r="D72" s="418"/>
      <c r="E72" s="418"/>
      <c r="F72" s="418"/>
      <c r="G72" s="418"/>
      <c r="H72" s="419" t="s">
        <v>650</v>
      </c>
      <c r="I72" s="419"/>
    </row>
    <row r="73" spans="1:22" x14ac:dyDescent="0.2">
      <c r="A73" s="410" t="s">
        <v>711</v>
      </c>
      <c r="B73" s="418"/>
      <c r="C73" s="418"/>
      <c r="D73" s="418"/>
      <c r="E73" s="418"/>
      <c r="F73" s="418"/>
      <c r="G73" s="418"/>
      <c r="H73" s="419"/>
      <c r="I73" s="419"/>
    </row>
    <row r="74" spans="1:22" x14ac:dyDescent="0.2">
      <c r="A74" s="410" t="s">
        <v>712</v>
      </c>
      <c r="B74" s="418"/>
      <c r="C74" s="418"/>
      <c r="D74" s="418"/>
      <c r="E74" s="418"/>
      <c r="F74" s="418"/>
      <c r="G74" s="418"/>
      <c r="H74" s="283"/>
    </row>
    <row r="75" spans="1:22" ht="41.25" customHeight="1" thickBot="1" x14ac:dyDescent="0.25">
      <c r="A75" s="146" t="s">
        <v>374</v>
      </c>
      <c r="B75" s="146" t="s">
        <v>375</v>
      </c>
      <c r="C75" s="214" t="s">
        <v>426</v>
      </c>
      <c r="D75" s="146" t="s">
        <v>425</v>
      </c>
      <c r="E75" s="188" t="s">
        <v>377</v>
      </c>
      <c r="F75" s="189" t="s">
        <v>378</v>
      </c>
      <c r="G75" s="147" t="s">
        <v>12</v>
      </c>
      <c r="H75" s="302" t="s">
        <v>651</v>
      </c>
      <c r="I75" s="303" t="s">
        <v>652</v>
      </c>
      <c r="J75" s="89"/>
      <c r="L75" s="89"/>
    </row>
    <row r="76" spans="1:22" ht="13.5" thickBot="1" x14ac:dyDescent="0.25">
      <c r="A76" t="s">
        <v>21</v>
      </c>
      <c r="C76" s="163">
        <f>D76+E76</f>
        <v>33806.980000000003</v>
      </c>
      <c r="D76" s="163">
        <f>H4</f>
        <v>72.459999999999994</v>
      </c>
      <c r="E76" s="230">
        <f>IF($C$4&gt;$C$2,V25,I4)</f>
        <v>33734.519999999997</v>
      </c>
      <c r="F76" s="393">
        <v>1</v>
      </c>
      <c r="G76" s="186">
        <f>$E$76*F76</f>
        <v>33734.519999999997</v>
      </c>
      <c r="H76" s="304">
        <f>+NETCAG1</f>
        <v>29509.599999999999</v>
      </c>
      <c r="I76" s="305">
        <f>E25</f>
        <v>1</v>
      </c>
      <c r="L76"/>
    </row>
    <row r="77" spans="1:22" ht="13.5" thickTop="1" x14ac:dyDescent="0.2">
      <c r="A77" t="s">
        <v>22</v>
      </c>
      <c r="C77" s="163">
        <f>D77+E77</f>
        <v>54292.73</v>
      </c>
      <c r="D77" s="163">
        <f>H5</f>
        <v>61.59</v>
      </c>
      <c r="E77" s="230">
        <f>IF($C$4&gt;$C$2,V26,I5)</f>
        <v>54231.14</v>
      </c>
      <c r="F77" s="394">
        <v>0.87783</v>
      </c>
      <c r="G77" s="152">
        <f>$E$77*F77+V79</f>
        <v>47605.72</v>
      </c>
      <c r="H77" s="283">
        <f>+NETCHG1*I77</f>
        <v>4023.39</v>
      </c>
      <c r="I77" s="297">
        <f>E26</f>
        <v>0.67835599999999996</v>
      </c>
      <c r="L77"/>
      <c r="T77" s="152">
        <f>$E$77*F77</f>
        <v>47605.72</v>
      </c>
    </row>
    <row r="78" spans="1:22" x14ac:dyDescent="0.2">
      <c r="A78" s="89"/>
      <c r="B78" s="89" t="s">
        <v>379</v>
      </c>
      <c r="C78" s="89"/>
      <c r="D78" s="89"/>
      <c r="E78" s="230"/>
      <c r="F78" s="395">
        <v>0.12217</v>
      </c>
      <c r="G78" s="152">
        <f>$E$77*F78</f>
        <v>6625.42</v>
      </c>
      <c r="H78" s="283">
        <f>+NETCHG1*I78</f>
        <v>1907.7</v>
      </c>
      <c r="I78" s="297">
        <f>E27</f>
        <v>0.32164399999999999</v>
      </c>
      <c r="J78" s="89"/>
      <c r="K78" s="89"/>
      <c r="L78" s="89"/>
      <c r="T78" s="152">
        <f>$E$77*F78</f>
        <v>6625.42</v>
      </c>
    </row>
    <row r="79" spans="1:22" ht="13.5" thickBot="1" x14ac:dyDescent="0.25">
      <c r="E79" s="230"/>
      <c r="F79" s="396">
        <f>SUM(F77:F78)</f>
        <v>1</v>
      </c>
      <c r="G79" s="166">
        <f>SUM(G77:G78)</f>
        <v>54231.14</v>
      </c>
      <c r="H79" s="306">
        <f>SUM(H77:H78)</f>
        <v>5931.09</v>
      </c>
      <c r="I79" s="185">
        <f>SUM(I77:I78)</f>
        <v>1</v>
      </c>
      <c r="L79"/>
      <c r="T79" s="190">
        <f>SUM(T77:T78)</f>
        <v>54231.14</v>
      </c>
      <c r="U79" s="190">
        <f>E77</f>
        <v>54231.14</v>
      </c>
      <c r="V79" s="190">
        <f>U79-T79</f>
        <v>0</v>
      </c>
    </row>
    <row r="80" spans="1:22" ht="13.5" thickTop="1" x14ac:dyDescent="0.2">
      <c r="A80" t="s">
        <v>23</v>
      </c>
      <c r="C80" s="163">
        <f>D80+E80</f>
        <v>892348.9</v>
      </c>
      <c r="D80" s="163">
        <f>H6</f>
        <v>1981.76</v>
      </c>
      <c r="E80" s="230">
        <f>IF($C$4&gt;$C$2,V28,I6)+0.02</f>
        <v>890367.14</v>
      </c>
      <c r="F80" s="394">
        <v>0.60955999999999999</v>
      </c>
      <c r="G80" s="152">
        <f>$E$80*F80+V86</f>
        <v>542732.18999999994</v>
      </c>
      <c r="H80" s="283">
        <f t="shared" ref="H80:H85" si="5">+NETCLG1*I80</f>
        <v>252825.25</v>
      </c>
      <c r="I80" s="297">
        <f t="shared" ref="I80:I85" si="6">E28</f>
        <v>0.43180600000000002</v>
      </c>
      <c r="S80" s="163"/>
      <c r="T80" s="163">
        <f t="shared" ref="T80:T85" si="7">$E$80*F80</f>
        <v>542732.18999999994</v>
      </c>
    </row>
    <row r="81" spans="1:22" x14ac:dyDescent="0.2">
      <c r="B81" t="s">
        <v>380</v>
      </c>
      <c r="E81" s="221"/>
      <c r="F81" s="397">
        <v>1.362E-2</v>
      </c>
      <c r="G81" s="152">
        <f>$E$80*F81</f>
        <v>12126.8</v>
      </c>
      <c r="H81" s="283">
        <f t="shared" si="5"/>
        <v>5394.86</v>
      </c>
      <c r="I81" s="297">
        <f t="shared" si="6"/>
        <v>9.214E-3</v>
      </c>
      <c r="S81" s="163"/>
      <c r="T81" s="163">
        <f t="shared" si="7"/>
        <v>12126.8</v>
      </c>
    </row>
    <row r="82" spans="1:22" x14ac:dyDescent="0.2">
      <c r="B82" t="s">
        <v>381</v>
      </c>
      <c r="E82" s="221"/>
      <c r="F82" s="397">
        <v>9.1350000000000001E-2</v>
      </c>
      <c r="G82" s="152">
        <f>$E$80*F82</f>
        <v>81335.039999999994</v>
      </c>
      <c r="H82" s="283">
        <f t="shared" si="5"/>
        <v>78555.070000000007</v>
      </c>
      <c r="I82" s="297">
        <f t="shared" si="6"/>
        <v>0.13416600000000001</v>
      </c>
      <c r="S82" s="163"/>
      <c r="T82" s="163">
        <f t="shared" si="7"/>
        <v>81335.039999999994</v>
      </c>
    </row>
    <row r="83" spans="1:22" x14ac:dyDescent="0.2">
      <c r="B83" t="s">
        <v>382</v>
      </c>
      <c r="E83" s="221"/>
      <c r="F83" s="397">
        <v>0.21123</v>
      </c>
      <c r="G83" s="152">
        <f>$E$80*F83</f>
        <v>188072.25</v>
      </c>
      <c r="H83" s="283">
        <f t="shared" si="5"/>
        <v>190966.48</v>
      </c>
      <c r="I83" s="388">
        <f t="shared" si="6"/>
        <v>0.326156</v>
      </c>
      <c r="S83" s="163"/>
      <c r="T83" s="163">
        <f t="shared" si="7"/>
        <v>188072.25</v>
      </c>
    </row>
    <row r="84" spans="1:22" x14ac:dyDescent="0.2">
      <c r="B84" t="s">
        <v>383</v>
      </c>
      <c r="E84" s="221"/>
      <c r="F84" s="397">
        <v>5.8999999999999999E-3</v>
      </c>
      <c r="G84" s="152">
        <f>$E$80*F84</f>
        <v>5253.17</v>
      </c>
      <c r="H84" s="283">
        <f t="shared" si="5"/>
        <v>5019.55</v>
      </c>
      <c r="I84" s="297">
        <f t="shared" si="6"/>
        <v>8.5730000000000008E-3</v>
      </c>
      <c r="S84" s="163"/>
      <c r="T84" s="163">
        <f t="shared" si="7"/>
        <v>5253.17</v>
      </c>
    </row>
    <row r="85" spans="1:22" x14ac:dyDescent="0.2">
      <c r="B85" t="s">
        <v>384</v>
      </c>
      <c r="E85" s="221"/>
      <c r="F85" s="397">
        <v>6.8339999999999998E-2</v>
      </c>
      <c r="G85" s="152">
        <f>$E$80*F85</f>
        <v>60847.69</v>
      </c>
      <c r="H85" s="283">
        <f t="shared" si="5"/>
        <v>52745.36</v>
      </c>
      <c r="I85" s="297">
        <f t="shared" si="6"/>
        <v>9.0084999999999998E-2</v>
      </c>
      <c r="S85" s="163"/>
      <c r="T85" s="163">
        <f t="shared" si="7"/>
        <v>60847.69</v>
      </c>
    </row>
    <row r="86" spans="1:22" ht="13.5" thickBot="1" x14ac:dyDescent="0.25">
      <c r="E86" s="221"/>
      <c r="F86" s="396">
        <f>SUM(F80:F85)</f>
        <v>1</v>
      </c>
      <c r="G86" s="166">
        <f>SUM(G80:G85)</f>
        <v>890367.14</v>
      </c>
      <c r="H86" s="306">
        <f>SUM(H80:H85)</f>
        <v>585506.56999999995</v>
      </c>
      <c r="I86" s="185">
        <f>SUM(I80:I85)</f>
        <v>1</v>
      </c>
      <c r="S86" s="163"/>
      <c r="T86" s="190">
        <f>SUM(T80:T85)</f>
        <v>890367.14</v>
      </c>
      <c r="U86" s="166">
        <f>E80</f>
        <v>890367.14</v>
      </c>
      <c r="V86" s="166">
        <f>U86-T86</f>
        <v>0</v>
      </c>
    </row>
    <row r="87" spans="1:22" ht="14.25" thickTop="1" thickBot="1" x14ac:dyDescent="0.25">
      <c r="A87" t="s">
        <v>24</v>
      </c>
      <c r="C87" s="163">
        <f>D87+E87</f>
        <v>30833.06</v>
      </c>
      <c r="D87" s="163">
        <f>H7</f>
        <v>61.59</v>
      </c>
      <c r="E87" s="230">
        <f>IF($C$4&gt;$C$2,V34,I7)</f>
        <v>30771.47</v>
      </c>
      <c r="F87" s="398">
        <v>1</v>
      </c>
      <c r="G87" s="231">
        <f>$E$87*F87</f>
        <v>30771.47</v>
      </c>
      <c r="H87" s="304">
        <f>+NETDOG1</f>
        <v>18625.38</v>
      </c>
      <c r="I87" s="187">
        <f t="shared" ref="I87:I92" si="8">E34</f>
        <v>1</v>
      </c>
      <c r="L87"/>
    </row>
    <row r="88" spans="1:22" ht="13.5" thickTop="1" x14ac:dyDescent="0.2">
      <c r="A88" t="s">
        <v>25</v>
      </c>
      <c r="C88" s="163">
        <f>D88+E88</f>
        <v>127964.08</v>
      </c>
      <c r="D88" s="163">
        <f>H8</f>
        <v>119.56</v>
      </c>
      <c r="E88" s="230">
        <f>IF($C$4&gt;$C$2,V35,I8)</f>
        <v>127844.52</v>
      </c>
      <c r="F88" s="397">
        <v>0.77700000000000002</v>
      </c>
      <c r="G88" s="152">
        <f>$E$88*F88+V93</f>
        <v>99335.19</v>
      </c>
      <c r="H88" s="283">
        <f>+NETELG1*I88</f>
        <v>9416.2800000000007</v>
      </c>
      <c r="I88" s="297">
        <f t="shared" si="8"/>
        <v>0.46503699999999998</v>
      </c>
      <c r="L88"/>
      <c r="T88" s="163">
        <f>$E$88*F88</f>
        <v>99335.19</v>
      </c>
    </row>
    <row r="89" spans="1:22" x14ac:dyDescent="0.2">
      <c r="B89" t="s">
        <v>385</v>
      </c>
      <c r="E89" s="221"/>
      <c r="F89" s="397">
        <v>1.7850000000000001E-2</v>
      </c>
      <c r="G89" s="152">
        <f>$E$88*F89</f>
        <v>2282.02</v>
      </c>
      <c r="H89" s="283">
        <f>+NETELG1*I89</f>
        <v>904.01</v>
      </c>
      <c r="I89" s="297">
        <f t="shared" si="8"/>
        <v>4.4645999999999998E-2</v>
      </c>
      <c r="L89"/>
      <c r="T89" s="163">
        <f>$E$88*F89</f>
        <v>2282.02</v>
      </c>
    </row>
    <row r="90" spans="1:22" x14ac:dyDescent="0.2">
      <c r="B90" t="s">
        <v>140</v>
      </c>
      <c r="E90" s="221"/>
      <c r="F90" s="397">
        <v>0.15881999999999999</v>
      </c>
      <c r="G90" s="152">
        <f>$E$88*F90</f>
        <v>20304.27</v>
      </c>
      <c r="H90" s="283">
        <f>+NETELG1*I90</f>
        <v>7229.41</v>
      </c>
      <c r="I90" s="297">
        <f t="shared" si="8"/>
        <v>0.35703499999999999</v>
      </c>
      <c r="L90"/>
      <c r="T90" s="163">
        <f>$E$88*F90</f>
        <v>20304.27</v>
      </c>
    </row>
    <row r="91" spans="1:22" x14ac:dyDescent="0.2">
      <c r="B91" t="s">
        <v>386</v>
      </c>
      <c r="E91" s="221"/>
      <c r="F91" s="397">
        <v>1.4749999999999999E-2</v>
      </c>
      <c r="G91" s="152">
        <f>$E$88*F91</f>
        <v>1885.71</v>
      </c>
      <c r="H91" s="283">
        <f>+NETELG1*I91</f>
        <v>606.95000000000005</v>
      </c>
      <c r="I91" s="297">
        <f t="shared" si="8"/>
        <v>2.9975000000000002E-2</v>
      </c>
      <c r="L91"/>
      <c r="T91" s="163">
        <f>$E$88*F91</f>
        <v>1885.71</v>
      </c>
    </row>
    <row r="92" spans="1:22" x14ac:dyDescent="0.2">
      <c r="B92" t="s">
        <v>387</v>
      </c>
      <c r="E92" s="221"/>
      <c r="F92" s="397">
        <v>3.1579999999999997E-2</v>
      </c>
      <c r="G92" s="152">
        <f>$E$88*F92</f>
        <v>4037.33</v>
      </c>
      <c r="H92" s="283">
        <f>+NETELG1*I92</f>
        <v>2091.81</v>
      </c>
      <c r="I92" s="297">
        <f t="shared" si="8"/>
        <v>0.103307</v>
      </c>
      <c r="L92"/>
      <c r="T92" s="163">
        <f>$E$88*F92</f>
        <v>4037.33</v>
      </c>
    </row>
    <row r="93" spans="1:22" ht="13.5" thickBot="1" x14ac:dyDescent="0.25">
      <c r="E93" s="221"/>
      <c r="F93" s="396">
        <f>SUM(F88:F92)</f>
        <v>1</v>
      </c>
      <c r="G93" s="166">
        <f>SUM(G88:G92)</f>
        <v>127844.52</v>
      </c>
      <c r="H93" s="306">
        <f>SUM(H88:H92)</f>
        <v>20248.46</v>
      </c>
      <c r="I93" s="185">
        <f>SUM(I88:I92)</f>
        <v>1</v>
      </c>
      <c r="L93"/>
      <c r="T93" s="190">
        <f>SUM(T87:T92)</f>
        <v>127844.52</v>
      </c>
      <c r="U93" s="166">
        <f>E88</f>
        <v>127844.52</v>
      </c>
      <c r="V93" s="166">
        <f>U93-T93</f>
        <v>0</v>
      </c>
    </row>
    <row r="94" spans="1:22" ht="14.25" thickTop="1" thickBot="1" x14ac:dyDescent="0.25">
      <c r="A94" t="s">
        <v>26</v>
      </c>
      <c r="C94" s="163">
        <f>D94+E94</f>
        <v>29787.58</v>
      </c>
      <c r="D94" s="163">
        <f>H9</f>
        <v>28.98</v>
      </c>
      <c r="E94" s="230">
        <f>IF($C$4&gt;$C$2,V40,I9)</f>
        <v>29758.6</v>
      </c>
      <c r="F94" s="398">
        <v>1</v>
      </c>
      <c r="G94" s="231">
        <f>$E$94*F94</f>
        <v>29758.6</v>
      </c>
      <c r="H94" s="304">
        <f>+NETESG1</f>
        <v>302.39999999999998</v>
      </c>
      <c r="I94" s="310">
        <f>E40</f>
        <v>1</v>
      </c>
      <c r="L94"/>
    </row>
    <row r="95" spans="1:22" ht="14.25" thickTop="1" thickBot="1" x14ac:dyDescent="0.25">
      <c r="A95" t="s">
        <v>27</v>
      </c>
      <c r="C95" s="163">
        <f>D95+E95</f>
        <v>38039.339999999997</v>
      </c>
      <c r="D95" s="163">
        <f>H10</f>
        <v>57.97</v>
      </c>
      <c r="E95" s="230">
        <f>IF($C$4&gt;$C$2,V41,I10)</f>
        <v>37981.370000000003</v>
      </c>
      <c r="F95" s="398">
        <v>1</v>
      </c>
      <c r="G95" s="231">
        <f>$E$95*F95</f>
        <v>37981.370000000003</v>
      </c>
      <c r="H95" s="304">
        <f>+NETEUG1</f>
        <v>962.61</v>
      </c>
      <c r="I95" s="185">
        <f>E41</f>
        <v>1</v>
      </c>
      <c r="L95"/>
    </row>
    <row r="96" spans="1:22" ht="13.5" thickTop="1" x14ac:dyDescent="0.2">
      <c r="A96" t="s">
        <v>28</v>
      </c>
      <c r="C96" s="163">
        <f>D96+E96</f>
        <v>76821.95</v>
      </c>
      <c r="D96" s="163">
        <f>H11</f>
        <v>76.08</v>
      </c>
      <c r="E96" s="230">
        <f>IF($C$4&gt;$C$2,V42,I11)</f>
        <v>76745.87</v>
      </c>
      <c r="F96" s="394">
        <v>0.84370999999999996</v>
      </c>
      <c r="G96" s="152">
        <f>$E$96*F96+V98</f>
        <v>64751.26</v>
      </c>
      <c r="H96" s="283">
        <f>+NETHUG1*I96</f>
        <v>5536.36</v>
      </c>
      <c r="I96" s="297">
        <f>E42</f>
        <v>0.55763499999999999</v>
      </c>
      <c r="L96"/>
      <c r="T96" s="163">
        <f>$E$96*F96</f>
        <v>64751.26</v>
      </c>
    </row>
    <row r="97" spans="1:22" x14ac:dyDescent="0.2">
      <c r="B97" t="s">
        <v>388</v>
      </c>
      <c r="E97" s="221"/>
      <c r="F97" s="399">
        <v>0.15629000000000001</v>
      </c>
      <c r="G97" s="152">
        <f>$E$96*F97</f>
        <v>11994.61</v>
      </c>
      <c r="H97" s="283">
        <f>+NETHUG1*I97</f>
        <v>4391.92</v>
      </c>
      <c r="I97" s="297">
        <f>E43</f>
        <v>0.44236500000000001</v>
      </c>
      <c r="L97"/>
      <c r="T97" s="163">
        <f>$E$96*F97</f>
        <v>11994.61</v>
      </c>
    </row>
    <row r="98" spans="1:22" ht="13.5" thickBot="1" x14ac:dyDescent="0.25">
      <c r="E98" s="221"/>
      <c r="F98" s="396">
        <f>SUM(F96:F97)</f>
        <v>1</v>
      </c>
      <c r="G98" s="166">
        <f>SUM(G96:G97)</f>
        <v>76745.87</v>
      </c>
      <c r="H98" s="306">
        <f>SUM(H96:H97)</f>
        <v>9928.2800000000007</v>
      </c>
      <c r="I98" s="185">
        <f>SUM(I96:I97)</f>
        <v>1</v>
      </c>
      <c r="L98"/>
      <c r="T98" s="190">
        <f>SUM(T96:T97)</f>
        <v>76745.87</v>
      </c>
      <c r="U98" s="166">
        <f>E96</f>
        <v>76745.87</v>
      </c>
      <c r="V98" s="166">
        <f>U98-T98</f>
        <v>0</v>
      </c>
    </row>
    <row r="99" spans="1:22" ht="14.25" thickTop="1" thickBot="1" x14ac:dyDescent="0.25">
      <c r="A99" t="s">
        <v>29</v>
      </c>
      <c r="C99" s="163">
        <f>D99+E99</f>
        <v>48629.59</v>
      </c>
      <c r="D99" s="163">
        <f>H12</f>
        <v>76.08</v>
      </c>
      <c r="E99" s="230">
        <f>IF($C$4&gt;$C$2,V44,I12)</f>
        <v>48553.51</v>
      </c>
      <c r="F99" s="398">
        <v>1</v>
      </c>
      <c r="G99" s="231">
        <f>$E$99*F99</f>
        <v>48553.51</v>
      </c>
      <c r="H99" s="307">
        <f>+NETLAG1</f>
        <v>2235.0300000000002</v>
      </c>
      <c r="I99" s="185">
        <f>E44</f>
        <v>1</v>
      </c>
      <c r="L99"/>
    </row>
    <row r="100" spans="1:22" ht="13.5" thickTop="1" x14ac:dyDescent="0.2">
      <c r="A100" t="s">
        <v>30</v>
      </c>
      <c r="C100" s="163">
        <f>D100+E100</f>
        <v>84693.01</v>
      </c>
      <c r="D100" s="163">
        <f>H13</f>
        <v>115.93</v>
      </c>
      <c r="E100" s="230">
        <f>IF($C$4&gt;$C$2,V45,I13)</f>
        <v>84577.08</v>
      </c>
      <c r="F100" s="397">
        <v>0.91505999999999998</v>
      </c>
      <c r="G100" s="152">
        <f>$E$100*F100+V102</f>
        <v>77393.100000000006</v>
      </c>
      <c r="H100" s="283">
        <f>+NETLIG1*I100</f>
        <v>1528.61</v>
      </c>
      <c r="I100" s="297">
        <f>E45</f>
        <v>0.68418199999999996</v>
      </c>
      <c r="L100"/>
      <c r="T100" s="163">
        <f>$E$100*F100</f>
        <v>77393.100000000006</v>
      </c>
    </row>
    <row r="101" spans="1:22" x14ac:dyDescent="0.2">
      <c r="B101" t="s">
        <v>390</v>
      </c>
      <c r="E101" s="221"/>
      <c r="F101" s="397">
        <v>8.4940000000000002E-2</v>
      </c>
      <c r="G101" s="152">
        <f>$E$100*F101</f>
        <v>7183.98</v>
      </c>
      <c r="H101" s="283">
        <f>+NETLIG1*I101</f>
        <v>705.61</v>
      </c>
      <c r="I101" s="297">
        <f>E46</f>
        <v>0.31581799999999999</v>
      </c>
      <c r="L101"/>
      <c r="T101" s="163">
        <f>$E$100*F101</f>
        <v>7183.98</v>
      </c>
    </row>
    <row r="102" spans="1:22" ht="13.5" thickBot="1" x14ac:dyDescent="0.25">
      <c r="E102" s="221"/>
      <c r="F102" s="396">
        <f>SUM(F100:F101)</f>
        <v>1</v>
      </c>
      <c r="G102" s="166">
        <f>SUM(G100:G101)</f>
        <v>84577.08</v>
      </c>
      <c r="H102" s="306">
        <f>SUM(H100:H101)</f>
        <v>2234.2199999999998</v>
      </c>
      <c r="I102" s="185">
        <f>SUM(I100:I101)</f>
        <v>1</v>
      </c>
      <c r="L102"/>
      <c r="T102" s="190">
        <f>SUM(T100:T101)</f>
        <v>84577.08</v>
      </c>
      <c r="U102" s="166">
        <f>E100</f>
        <v>84577.08</v>
      </c>
      <c r="V102" s="166">
        <f>U102-T102</f>
        <v>0</v>
      </c>
    </row>
    <row r="103" spans="1:22" ht="13.5" thickTop="1" x14ac:dyDescent="0.2">
      <c r="A103" t="s">
        <v>31</v>
      </c>
      <c r="C103" s="163">
        <f>D103+E103</f>
        <v>37908.559999999998</v>
      </c>
      <c r="D103" s="163">
        <f>H14</f>
        <v>76.08</v>
      </c>
      <c r="E103" s="230">
        <f>IF($C$4&gt;$C$2,V47,I14)</f>
        <v>37832.480000000003</v>
      </c>
      <c r="F103" s="397">
        <v>0.81371000000000004</v>
      </c>
      <c r="G103" s="152">
        <f>$E$103*F103+V106</f>
        <v>30784.67</v>
      </c>
      <c r="H103" s="283">
        <f>+NETLYG1*I103</f>
        <v>9413.56</v>
      </c>
      <c r="I103" s="297">
        <f>E47</f>
        <v>0.64552399999999999</v>
      </c>
      <c r="L103"/>
      <c r="T103" s="163">
        <f>$E$103*F103</f>
        <v>30784.67</v>
      </c>
    </row>
    <row r="104" spans="1:22" x14ac:dyDescent="0.2">
      <c r="B104" t="s">
        <v>392</v>
      </c>
      <c r="E104" s="148" t="s">
        <v>81</v>
      </c>
      <c r="F104" s="395">
        <v>0.13793</v>
      </c>
      <c r="G104" s="152">
        <f>$E$103*F104</f>
        <v>5218.2299999999996</v>
      </c>
      <c r="H104" s="283">
        <f>+NETLYG1*I104</f>
        <v>4143.18</v>
      </c>
      <c r="I104" s="297">
        <f>E48</f>
        <v>0.28411399999999998</v>
      </c>
      <c r="L104"/>
      <c r="T104" s="163">
        <f>$E$103*F104</f>
        <v>5218.2299999999996</v>
      </c>
    </row>
    <row r="105" spans="1:22" x14ac:dyDescent="0.2">
      <c r="B105" t="s">
        <v>391</v>
      </c>
      <c r="E105" s="221"/>
      <c r="F105" s="397">
        <v>4.836E-2</v>
      </c>
      <c r="G105" s="152">
        <f>$E$103*F105</f>
        <v>1829.58</v>
      </c>
      <c r="H105" s="283">
        <f>+NETLYG1*I105</f>
        <v>1026.08</v>
      </c>
      <c r="I105" s="297">
        <f>E49</f>
        <v>7.0361999999999994E-2</v>
      </c>
      <c r="L105"/>
      <c r="T105" s="163">
        <f>$E$103*F105</f>
        <v>1829.58</v>
      </c>
    </row>
    <row r="106" spans="1:22" ht="13.5" thickBot="1" x14ac:dyDescent="0.25">
      <c r="E106" s="221"/>
      <c r="F106" s="396">
        <v>1</v>
      </c>
      <c r="G106" s="166">
        <f>SUM(G103:G105)</f>
        <v>37832.480000000003</v>
      </c>
      <c r="H106" s="306">
        <f>SUM(H103:H105)</f>
        <v>14582.82</v>
      </c>
      <c r="I106" s="185">
        <f>SUM(I103:I105)</f>
        <v>1</v>
      </c>
      <c r="L106"/>
      <c r="T106" s="190">
        <f>SUM(T103:T105)</f>
        <v>37832.480000000003</v>
      </c>
      <c r="U106" s="166">
        <f>E103</f>
        <v>37832.480000000003</v>
      </c>
      <c r="V106" s="166">
        <f>U106-T106</f>
        <v>0</v>
      </c>
    </row>
    <row r="107" spans="1:22" ht="14.25" thickTop="1" thickBot="1" x14ac:dyDescent="0.25">
      <c r="A107" t="s">
        <v>32</v>
      </c>
      <c r="C107" s="163">
        <f>D107+E107</f>
        <v>27434.6</v>
      </c>
      <c r="D107" s="163">
        <f>H15</f>
        <v>25.36</v>
      </c>
      <c r="E107" s="230">
        <f>IF($C$4&gt;$C$2,V50,I15)</f>
        <v>27409.24</v>
      </c>
      <c r="F107" s="398">
        <v>1</v>
      </c>
      <c r="G107" s="231">
        <f>E107*F107</f>
        <v>27409.24</v>
      </c>
      <c r="H107" s="308">
        <f>+NETMIG1</f>
        <v>2093.11</v>
      </c>
      <c r="I107" s="185">
        <f>E50</f>
        <v>1</v>
      </c>
      <c r="L107"/>
    </row>
    <row r="108" spans="1:22" ht="14.25" thickTop="1" thickBot="1" x14ac:dyDescent="0.25">
      <c r="A108" t="s">
        <v>33</v>
      </c>
      <c r="C108" s="163">
        <f>D108+E108</f>
        <v>132706.28</v>
      </c>
      <c r="D108" s="163">
        <f>H16</f>
        <v>163.03</v>
      </c>
      <c r="E108" s="230">
        <f>IF($C$4&gt;$C$2,V51,I16)</f>
        <v>132543.25</v>
      </c>
      <c r="F108" s="398">
        <v>1</v>
      </c>
      <c r="G108" s="231">
        <f>E108*F108</f>
        <v>132543.25</v>
      </c>
      <c r="H108" s="304">
        <f>+NETNYG1</f>
        <v>18650.14</v>
      </c>
      <c r="I108" s="185">
        <f>E51</f>
        <v>1</v>
      </c>
      <c r="L108"/>
    </row>
    <row r="109" spans="1:22" ht="13.5" thickTop="1" x14ac:dyDescent="0.2">
      <c r="A109" t="s">
        <v>34</v>
      </c>
      <c r="C109" s="163">
        <f>D109+E109</f>
        <v>57299.34</v>
      </c>
      <c r="D109" s="163">
        <f>H17</f>
        <v>119.56</v>
      </c>
      <c r="E109" s="230">
        <f>IF($C$4&gt;$C$2,V52,I17)</f>
        <v>57179.78</v>
      </c>
      <c r="F109" s="397">
        <v>0.89515999999999996</v>
      </c>
      <c r="G109" s="152">
        <f>E109*F109+V109</f>
        <v>51185.05</v>
      </c>
      <c r="H109" s="283">
        <f>+NETPEG1*I109</f>
        <v>1321.41</v>
      </c>
      <c r="I109" s="297">
        <f>E52</f>
        <v>0.65480099999999997</v>
      </c>
      <c r="L109"/>
      <c r="T109" s="163">
        <f>$E$109*F109</f>
        <v>51185.05</v>
      </c>
    </row>
    <row r="110" spans="1:22" x14ac:dyDescent="0.2">
      <c r="B110" t="s">
        <v>396</v>
      </c>
      <c r="E110" s="221"/>
      <c r="F110" s="397">
        <v>0.10484</v>
      </c>
      <c r="G110" s="152">
        <f>E109*F110</f>
        <v>5994.73</v>
      </c>
      <c r="H110" s="283">
        <f>+NETPEG1*I110</f>
        <v>696.62</v>
      </c>
      <c r="I110" s="297">
        <f>E53</f>
        <v>0.34519899999999998</v>
      </c>
      <c r="L110"/>
      <c r="T110" s="163">
        <f>$E$109*F110</f>
        <v>5994.73</v>
      </c>
    </row>
    <row r="111" spans="1:22" ht="13.5" thickBot="1" x14ac:dyDescent="0.25">
      <c r="E111" s="221"/>
      <c r="F111" s="396">
        <f>SUM(F109:F110)</f>
        <v>1</v>
      </c>
      <c r="G111" s="166">
        <f>SUM(G109:G110)</f>
        <v>57179.78</v>
      </c>
      <c r="H111" s="306">
        <f>SUM(H109:H110)</f>
        <v>2018.03</v>
      </c>
      <c r="I111" s="185">
        <f>SUM(I109:I110)</f>
        <v>1</v>
      </c>
      <c r="L111"/>
      <c r="T111" s="190">
        <f>SUM(T109:T110)</f>
        <v>57179.78</v>
      </c>
      <c r="U111" s="166">
        <f>E109</f>
        <v>57179.78</v>
      </c>
      <c r="V111" s="166">
        <f>U111-T111</f>
        <v>0</v>
      </c>
    </row>
    <row r="112" spans="1:22" ht="14.25" thickTop="1" thickBot="1" x14ac:dyDescent="0.25">
      <c r="A112" t="s">
        <v>35</v>
      </c>
      <c r="C112" s="163">
        <f>D112+E112</f>
        <v>4314.42</v>
      </c>
      <c r="D112" s="163">
        <f>H18</f>
        <v>7.25</v>
      </c>
      <c r="E112" s="230">
        <f>IF($C$4&gt;$C$2,V54,I18)</f>
        <v>4307.17</v>
      </c>
      <c r="F112" s="398">
        <v>1</v>
      </c>
      <c r="G112" s="231">
        <f>$E$112*F112</f>
        <v>4307.17</v>
      </c>
      <c r="H112" s="307">
        <f>+NETSTG1</f>
        <v>250.41</v>
      </c>
      <c r="I112" s="185">
        <f>E54</f>
        <v>1</v>
      </c>
      <c r="L112"/>
    </row>
    <row r="113" spans="1:22" ht="13.5" thickTop="1" x14ac:dyDescent="0.2">
      <c r="A113" t="s">
        <v>36</v>
      </c>
      <c r="C113" s="163">
        <f>D113+E113</f>
        <v>246822.88</v>
      </c>
      <c r="D113" s="163">
        <f>H19</f>
        <v>503.59</v>
      </c>
      <c r="E113" s="230">
        <f>IF($C$4&gt;$C$2,V55,I19)+0.01</f>
        <v>246319.29</v>
      </c>
      <c r="F113" s="397">
        <v>0.57259000000000004</v>
      </c>
      <c r="G113" s="152">
        <f>$E$113*F113+V116</f>
        <v>141039.96</v>
      </c>
      <c r="H113" s="283">
        <f>+NETWAG1*I113</f>
        <v>39289.49</v>
      </c>
      <c r="I113" s="297">
        <f>E55</f>
        <v>0.26544000000000001</v>
      </c>
      <c r="L113"/>
      <c r="T113" s="163">
        <f>$E$113*F113</f>
        <v>141039.96</v>
      </c>
    </row>
    <row r="114" spans="1:22" x14ac:dyDescent="0.2">
      <c r="B114" t="s">
        <v>397</v>
      </c>
      <c r="E114" s="221"/>
      <c r="F114" s="397">
        <v>0.30774000000000001</v>
      </c>
      <c r="G114" s="152">
        <f>$E$113*F114</f>
        <v>75802.3</v>
      </c>
      <c r="H114" s="283">
        <f>+NETWAG1*I114</f>
        <v>77621.320000000007</v>
      </c>
      <c r="I114" s="297">
        <f>E56</f>
        <v>0.52441000000000004</v>
      </c>
      <c r="L114"/>
      <c r="T114" s="163">
        <f>$E$113*F114</f>
        <v>75802.3</v>
      </c>
    </row>
    <row r="115" spans="1:22" x14ac:dyDescent="0.2">
      <c r="B115" t="s">
        <v>398</v>
      </c>
      <c r="E115" s="221"/>
      <c r="F115" s="395">
        <v>0.11967</v>
      </c>
      <c r="G115" s="152">
        <f>$E$113*F115</f>
        <v>29477.03</v>
      </c>
      <c r="H115" s="283">
        <f>+NETWAG1*I115</f>
        <v>31105.66</v>
      </c>
      <c r="I115" s="297">
        <f>E57</f>
        <v>0.21015</v>
      </c>
      <c r="L115"/>
      <c r="T115" s="163">
        <f>$E$113*F115</f>
        <v>29477.03</v>
      </c>
    </row>
    <row r="116" spans="1:22" ht="13.5" thickBot="1" x14ac:dyDescent="0.25">
      <c r="E116" s="221"/>
      <c r="F116" s="396">
        <f>SUM(F113:F115)</f>
        <v>1</v>
      </c>
      <c r="G116" s="166">
        <f>SUM(G113:G115)</f>
        <v>246319.29</v>
      </c>
      <c r="H116" s="306">
        <f>SUM(H113:H115)</f>
        <v>148016.47</v>
      </c>
      <c r="I116" s="185">
        <f>SUM(I113:I115)</f>
        <v>1</v>
      </c>
      <c r="L116"/>
      <c r="T116" s="190">
        <f>SUM(T113:T115)</f>
        <v>246319.29</v>
      </c>
      <c r="U116" s="166">
        <f>E113</f>
        <v>246319.29</v>
      </c>
      <c r="V116" s="166">
        <f>U116-T116</f>
        <v>0</v>
      </c>
    </row>
    <row r="117" spans="1:22" ht="13.5" thickTop="1" x14ac:dyDescent="0.2">
      <c r="A117" t="s">
        <v>37</v>
      </c>
      <c r="C117" s="163">
        <f>D117+E117</f>
        <v>78975.53</v>
      </c>
      <c r="D117" s="163">
        <f>H20</f>
        <v>76.08</v>
      </c>
      <c r="E117" s="230">
        <f>IF($C$4&gt;$C$2,V58,I20)</f>
        <v>78899.45</v>
      </c>
      <c r="F117" s="397">
        <v>0.86990000000000001</v>
      </c>
      <c r="G117" s="152">
        <f>$E$117*F117+V119</f>
        <v>68634.63</v>
      </c>
      <c r="H117" s="283">
        <f>+NETWHG1*I117</f>
        <v>2113.63</v>
      </c>
      <c r="I117" s="297">
        <f>E58</f>
        <v>0.56695300000000004</v>
      </c>
      <c r="L117"/>
      <c r="T117" s="163">
        <f>$E$117*F117</f>
        <v>68634.63</v>
      </c>
    </row>
    <row r="118" spans="1:22" x14ac:dyDescent="0.2">
      <c r="B118" t="s">
        <v>399</v>
      </c>
      <c r="E118" s="221"/>
      <c r="F118" s="397">
        <v>0.13009999999999999</v>
      </c>
      <c r="G118" s="152">
        <f>$E$117*F118</f>
        <v>10264.82</v>
      </c>
      <c r="H118" s="283">
        <f>+NETWHG1*I118</f>
        <v>1614.42</v>
      </c>
      <c r="I118" s="297">
        <f>E59</f>
        <v>0.43304700000000002</v>
      </c>
      <c r="L118"/>
      <c r="T118" s="163">
        <f>$E$117*F118</f>
        <v>10264.82</v>
      </c>
    </row>
    <row r="119" spans="1:22" ht="13.5" thickBot="1" x14ac:dyDescent="0.25">
      <c r="E119" s="221"/>
      <c r="F119" s="396">
        <f>+F117+F118</f>
        <v>1</v>
      </c>
      <c r="I119" s="185">
        <f>SUM(I117:I118)</f>
        <v>1</v>
      </c>
      <c r="L119"/>
      <c r="T119" s="190">
        <f>SUM(T117:T118)</f>
        <v>78899.45</v>
      </c>
      <c r="U119" s="166">
        <f>E117</f>
        <v>78899.45</v>
      </c>
      <c r="V119" s="166">
        <f>U119-T119</f>
        <v>0</v>
      </c>
    </row>
    <row r="120" spans="1:22" ht="14.25" thickTop="1" thickBot="1" x14ac:dyDescent="0.25">
      <c r="A120" s="235" t="s">
        <v>250</v>
      </c>
      <c r="B120" s="235"/>
      <c r="C120" s="177">
        <f>SUM(C76:C119)</f>
        <v>2002678.83</v>
      </c>
      <c r="D120" s="177">
        <f>SUM(D76:D119)</f>
        <v>3622.95</v>
      </c>
      <c r="E120" s="177">
        <f>SUM(E76:E119)</f>
        <v>1999055.88</v>
      </c>
      <c r="F120" s="400" t="s">
        <v>81</v>
      </c>
      <c r="G120" s="166">
        <f>SUM(G117:G118)</f>
        <v>78899.45</v>
      </c>
      <c r="H120" s="306">
        <f>SUM(H117:H118)</f>
        <v>3728.05</v>
      </c>
      <c r="I120" s="309" t="s">
        <v>81</v>
      </c>
      <c r="L120"/>
    </row>
    <row r="121" spans="1:22" ht="13.5" hidden="1" thickTop="1" x14ac:dyDescent="0.2">
      <c r="C121" s="11">
        <f>'s3, s3b, s3d'!J9</f>
        <v>2002678.81</v>
      </c>
      <c r="G121" s="163">
        <f>G120+G116+G112+G111+G108+G107+G106+G102+G99+G98+G95+G94+G93+G87+G86+G79+G76</f>
        <v>1999055.88</v>
      </c>
      <c r="H121" s="163">
        <f>H120+H116+H112+H111+H108+H107+H106+H102+H99+H98+H95+H94+H93+H87+H86+H79+H76</f>
        <v>864822.67</v>
      </c>
      <c r="L121"/>
    </row>
    <row r="122" spans="1:22" hidden="1" x14ac:dyDescent="0.2">
      <c r="A122" t="s">
        <v>713</v>
      </c>
      <c r="H122" s="152"/>
      <c r="L122"/>
    </row>
    <row r="123" spans="1:22" hidden="1" x14ac:dyDescent="0.2">
      <c r="H123" s="152"/>
      <c r="L123"/>
    </row>
    <row r="124" spans="1:22" ht="13.5" thickTop="1" x14ac:dyDescent="0.2">
      <c r="H124" s="152"/>
      <c r="L124"/>
    </row>
    <row r="125" spans="1:22" x14ac:dyDescent="0.2">
      <c r="H125" s="152"/>
      <c r="L125"/>
    </row>
    <row r="126" spans="1:22" x14ac:dyDescent="0.2">
      <c r="H126" s="152"/>
      <c r="L126"/>
    </row>
    <row r="127" spans="1:22" x14ac:dyDescent="0.2">
      <c r="H127" s="152"/>
      <c r="L127"/>
    </row>
    <row r="128" spans="1:22" x14ac:dyDescent="0.2">
      <c r="H128" s="152"/>
      <c r="L128"/>
    </row>
    <row r="129" spans="8:12" x14ac:dyDescent="0.2">
      <c r="H129" s="152"/>
      <c r="L129"/>
    </row>
    <row r="130" spans="8:12" x14ac:dyDescent="0.2">
      <c r="H130" s="152"/>
      <c r="L130"/>
    </row>
    <row r="131" spans="8:12" x14ac:dyDescent="0.2">
      <c r="H131" s="152"/>
      <c r="L131"/>
    </row>
    <row r="132" spans="8:12" x14ac:dyDescent="0.2">
      <c r="H132" s="152"/>
      <c r="L132"/>
    </row>
    <row r="133" spans="8:12" x14ac:dyDescent="0.2">
      <c r="H133" s="152"/>
      <c r="L133"/>
    </row>
    <row r="134" spans="8:12" x14ac:dyDescent="0.2">
      <c r="H134" s="152"/>
      <c r="L134"/>
    </row>
    <row r="135" spans="8:12" x14ac:dyDescent="0.2">
      <c r="H135" s="152"/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</sheetData>
  <mergeCells count="7">
    <mergeCell ref="A74:G74"/>
    <mergeCell ref="N23:Q23"/>
    <mergeCell ref="A22:E22"/>
    <mergeCell ref="A23:B23"/>
    <mergeCell ref="A72:G72"/>
    <mergeCell ref="H72:I73"/>
    <mergeCell ref="A73:G73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7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tabSelected="1"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5" customWidth="1"/>
    <col min="5" max="6" width="16.140625" customWidth="1"/>
    <col min="7" max="7" width="18.7109375" customWidth="1"/>
  </cols>
  <sheetData>
    <row r="1" spans="1:7" ht="15.75" x14ac:dyDescent="0.25">
      <c r="A1" s="63" t="s">
        <v>161</v>
      </c>
      <c r="B1" s="63"/>
      <c r="D1" s="292"/>
      <c r="E1" s="1"/>
      <c r="F1" s="1"/>
      <c r="G1" s="1"/>
    </row>
    <row r="2" spans="1:7" ht="15.75" x14ac:dyDescent="0.25">
      <c r="A2" s="117" t="str">
        <f>ReportMonth</f>
        <v>NOVEMBER 2004</v>
      </c>
      <c r="B2" s="63"/>
      <c r="C2" s="63"/>
      <c r="D2" s="292"/>
      <c r="E2" s="1"/>
      <c r="F2" s="1"/>
      <c r="G2" s="1"/>
    </row>
    <row r="3" spans="1:7" ht="15.75" x14ac:dyDescent="0.25">
      <c r="A3" s="66" t="s">
        <v>162</v>
      </c>
      <c r="B3" s="66"/>
      <c r="C3" s="66"/>
      <c r="D3" s="293"/>
      <c r="E3" s="42"/>
      <c r="F3" s="42"/>
      <c r="G3" s="42"/>
    </row>
    <row r="4" spans="1:7" ht="19.5" customHeight="1" x14ac:dyDescent="0.25">
      <c r="A4" s="64"/>
      <c r="B4" s="63"/>
      <c r="C4" s="63"/>
      <c r="D4" s="292"/>
      <c r="E4" s="1"/>
      <c r="F4" s="1"/>
      <c r="G4" s="1"/>
    </row>
    <row r="5" spans="1:7" ht="13.5" customHeight="1" x14ac:dyDescent="0.25">
      <c r="A5" s="64"/>
      <c r="B5" s="63"/>
      <c r="C5" s="63"/>
      <c r="D5" s="292"/>
      <c r="E5" s="1"/>
      <c r="F5" s="1"/>
      <c r="G5" s="1"/>
    </row>
    <row r="6" spans="1:7" x14ac:dyDescent="0.2">
      <c r="A6" s="1"/>
      <c r="B6" s="1"/>
      <c r="C6" s="120" t="s">
        <v>163</v>
      </c>
      <c r="D6" s="265" t="s">
        <v>117</v>
      </c>
      <c r="E6" s="120" t="s">
        <v>164</v>
      </c>
      <c r="F6" s="120" t="s">
        <v>117</v>
      </c>
      <c r="G6" s="1"/>
    </row>
    <row r="7" spans="1:7" x14ac:dyDescent="0.2">
      <c r="A7" s="1"/>
      <c r="B7" s="98" t="s">
        <v>165</v>
      </c>
      <c r="C7" s="98" t="s">
        <v>166</v>
      </c>
      <c r="D7" s="266" t="s">
        <v>167</v>
      </c>
      <c r="E7" s="98" t="s">
        <v>168</v>
      </c>
      <c r="F7" s="98" t="s">
        <v>169</v>
      </c>
      <c r="G7" s="98" t="s">
        <v>170</v>
      </c>
    </row>
    <row r="8" spans="1:7" ht="26.25" customHeight="1" x14ac:dyDescent="0.2">
      <c r="A8" s="1" t="s">
        <v>171</v>
      </c>
      <c r="B8" s="2">
        <f>ST12.65</f>
        <v>10966121.51</v>
      </c>
      <c r="C8" s="2">
        <v>138687.82999999999</v>
      </c>
      <c r="D8" s="267">
        <v>19502.349999999999</v>
      </c>
      <c r="E8" s="1"/>
      <c r="F8" s="1"/>
      <c r="G8" s="9">
        <f>B8-C8-D8-E8-F8</f>
        <v>10807931.33</v>
      </c>
    </row>
    <row r="9" spans="1:7" x14ac:dyDescent="0.2">
      <c r="A9" s="1" t="s">
        <v>172</v>
      </c>
      <c r="B9" s="2">
        <f>_ST5</f>
        <v>4333387.76</v>
      </c>
      <c r="C9" s="2">
        <v>54803.99</v>
      </c>
      <c r="D9" s="267">
        <v>7708.41</v>
      </c>
      <c r="E9" s="1"/>
      <c r="F9" s="1"/>
      <c r="G9" s="9">
        <f>B9-C9-D9-E9-F9</f>
        <v>4270875.3600000003</v>
      </c>
    </row>
    <row r="10" spans="1:7" x14ac:dyDescent="0.2">
      <c r="A10" s="1" t="s">
        <v>173</v>
      </c>
      <c r="B10" s="2">
        <f>ST5.35</f>
        <v>4634074.5999999996</v>
      </c>
      <c r="C10" s="2">
        <v>58606.9</v>
      </c>
      <c r="D10" s="267">
        <v>8247.9699999999993</v>
      </c>
      <c r="E10" s="1"/>
      <c r="F10" s="2">
        <v>16174.16</v>
      </c>
      <c r="G10" s="9">
        <f t="shared" ref="G10:G52" si="0">B10-C10-D10-E10-F10</f>
        <v>4551045.57</v>
      </c>
    </row>
    <row r="11" spans="1:7" x14ac:dyDescent="0.2">
      <c r="A11" s="3" t="s">
        <v>342</v>
      </c>
      <c r="B11" s="2">
        <f>AVGAS10.5</f>
        <v>4378.83</v>
      </c>
      <c r="C11" s="2"/>
      <c r="D11" s="267"/>
      <c r="E11" s="2">
        <f>AVGAS10.5</f>
        <v>4378.83</v>
      </c>
      <c r="F11" s="1"/>
      <c r="G11" s="9">
        <f t="shared" si="0"/>
        <v>0</v>
      </c>
    </row>
    <row r="12" spans="1:7" x14ac:dyDescent="0.2">
      <c r="A12" s="3" t="s">
        <v>343</v>
      </c>
      <c r="B12" s="2">
        <f>AV_OPT</f>
        <v>323.04000000000002</v>
      </c>
      <c r="C12" s="2"/>
      <c r="D12" s="267"/>
      <c r="E12" s="2"/>
      <c r="F12" s="1"/>
      <c r="G12" s="9">
        <f t="shared" si="0"/>
        <v>323.04000000000002</v>
      </c>
    </row>
    <row r="13" spans="1:7" x14ac:dyDescent="0.2">
      <c r="A13" s="1" t="s">
        <v>174</v>
      </c>
      <c r="B13" s="2">
        <f>_JET1</f>
        <v>376184.48</v>
      </c>
      <c r="C13" s="2"/>
      <c r="D13" s="267"/>
      <c r="E13" s="1"/>
      <c r="F13" s="1"/>
      <c r="G13" s="9">
        <f t="shared" si="0"/>
        <v>376184.48</v>
      </c>
    </row>
    <row r="14" spans="1:7" x14ac:dyDescent="0.2">
      <c r="A14" s="1" t="s">
        <v>175</v>
      </c>
      <c r="B14" s="2">
        <f>_JET2</f>
        <v>690766.64</v>
      </c>
      <c r="C14" s="2"/>
      <c r="D14" s="267"/>
      <c r="E14" s="1"/>
      <c r="F14" s="1"/>
      <c r="G14" s="9">
        <f t="shared" si="0"/>
        <v>690766.64</v>
      </c>
    </row>
    <row r="15" spans="1:7" x14ac:dyDescent="0.2">
      <c r="A15" s="1" t="s">
        <v>176</v>
      </c>
      <c r="B15" s="2">
        <f>CAG</f>
        <v>265586.33</v>
      </c>
      <c r="C15" s="2"/>
      <c r="D15" s="267">
        <v>0</v>
      </c>
      <c r="E15" s="1"/>
      <c r="F15" s="2">
        <f>B15*0.005</f>
        <v>1327.93</v>
      </c>
      <c r="G15" s="9">
        <f t="shared" si="0"/>
        <v>264258.40000000002</v>
      </c>
    </row>
    <row r="16" spans="1:7" x14ac:dyDescent="0.2">
      <c r="A16" s="1" t="s">
        <v>177</v>
      </c>
      <c r="B16" s="2">
        <f>_CAG1</f>
        <v>29509.599999999999</v>
      </c>
      <c r="C16" s="2"/>
      <c r="D16" s="267">
        <v>0</v>
      </c>
      <c r="E16" s="1"/>
      <c r="F16" s="2">
        <v>0</v>
      </c>
      <c r="G16" s="9">
        <f t="shared" si="0"/>
        <v>29509.599999999999</v>
      </c>
    </row>
    <row r="17" spans="1:7" x14ac:dyDescent="0.2">
      <c r="A17" s="1" t="s">
        <v>365</v>
      </c>
      <c r="B17" s="2">
        <f>CHG</f>
        <v>54992.09</v>
      </c>
      <c r="C17" s="2"/>
      <c r="D17" s="267">
        <v>1612.21</v>
      </c>
      <c r="E17" s="1"/>
      <c r="F17" s="2">
        <f>B17*0.005</f>
        <v>274.95999999999998</v>
      </c>
      <c r="G17" s="9">
        <f t="shared" si="0"/>
        <v>53104.92</v>
      </c>
    </row>
    <row r="18" spans="1:7" x14ac:dyDescent="0.2">
      <c r="A18" s="1" t="s">
        <v>178</v>
      </c>
      <c r="B18" s="11">
        <f>_CHG1</f>
        <v>6110.24</v>
      </c>
      <c r="C18" s="2"/>
      <c r="D18" s="267">
        <v>179.15</v>
      </c>
      <c r="E18" s="1"/>
      <c r="F18" s="2">
        <v>0</v>
      </c>
      <c r="G18" s="9">
        <f t="shared" si="0"/>
        <v>5931.09</v>
      </c>
    </row>
    <row r="19" spans="1:7" x14ac:dyDescent="0.2">
      <c r="A19" s="1" t="s">
        <v>179</v>
      </c>
      <c r="B19" s="2">
        <f>CLG</f>
        <v>5274423.96</v>
      </c>
      <c r="C19" s="2"/>
      <c r="D19" s="267">
        <v>1441.45</v>
      </c>
      <c r="E19" s="1"/>
      <c r="F19" s="2">
        <f>B19*0.005</f>
        <v>26372.12</v>
      </c>
      <c r="G19" s="9">
        <f t="shared" si="0"/>
        <v>5246610.3899999997</v>
      </c>
    </row>
    <row r="20" spans="1:7" x14ac:dyDescent="0.2">
      <c r="A20" s="1" t="s">
        <v>180</v>
      </c>
      <c r="B20" s="11">
        <f>_CLG1</f>
        <v>585666.74</v>
      </c>
      <c r="C20" s="2"/>
      <c r="D20" s="267">
        <v>160.16999999999999</v>
      </c>
      <c r="E20" s="1"/>
      <c r="F20" s="2">
        <v>0</v>
      </c>
      <c r="G20" s="9">
        <f t="shared" si="0"/>
        <v>585506.56999999995</v>
      </c>
    </row>
    <row r="21" spans="1:7" x14ac:dyDescent="0.2">
      <c r="A21" s="1" t="s">
        <v>181</v>
      </c>
      <c r="B21" s="2">
        <f>DOG</f>
        <v>74562.509999999995</v>
      </c>
      <c r="C21" s="2"/>
      <c r="D21" s="267">
        <v>61.12</v>
      </c>
      <c r="E21" s="1"/>
      <c r="F21" s="2">
        <f>B21*0.005</f>
        <v>372.81</v>
      </c>
      <c r="G21" s="9">
        <f t="shared" si="0"/>
        <v>74128.58</v>
      </c>
    </row>
    <row r="22" spans="1:7" x14ac:dyDescent="0.2">
      <c r="A22" s="1" t="s">
        <v>182</v>
      </c>
      <c r="B22" s="11">
        <f>_DOG1</f>
        <v>18640.650000000001</v>
      </c>
      <c r="C22" s="2"/>
      <c r="D22" s="267">
        <v>15.27</v>
      </c>
      <c r="E22" s="1"/>
      <c r="F22" s="2">
        <v>0</v>
      </c>
      <c r="G22" s="9">
        <f t="shared" si="0"/>
        <v>18625.38</v>
      </c>
    </row>
    <row r="23" spans="1:7" x14ac:dyDescent="0.2">
      <c r="A23" s="1" t="s">
        <v>183</v>
      </c>
      <c r="B23" s="2">
        <f>ELG</f>
        <v>81880.14</v>
      </c>
      <c r="C23" s="2"/>
      <c r="D23" s="267">
        <v>886.26</v>
      </c>
      <c r="E23" s="1"/>
      <c r="F23" s="2">
        <f>B23*0.005</f>
        <v>409.4</v>
      </c>
      <c r="G23" s="9">
        <f t="shared" si="0"/>
        <v>80584.479999999996</v>
      </c>
    </row>
    <row r="24" spans="1:7" x14ac:dyDescent="0.2">
      <c r="A24" s="1" t="s">
        <v>184</v>
      </c>
      <c r="B24" s="11">
        <f>_ELG1</f>
        <v>20470.04</v>
      </c>
      <c r="C24" s="2"/>
      <c r="D24" s="267">
        <v>221.58</v>
      </c>
      <c r="E24" s="1"/>
      <c r="F24" s="2">
        <v>0</v>
      </c>
      <c r="G24" s="9">
        <f t="shared" si="0"/>
        <v>20248.46</v>
      </c>
    </row>
    <row r="25" spans="1:7" x14ac:dyDescent="0.2">
      <c r="A25" s="1" t="s">
        <v>185</v>
      </c>
      <c r="B25" s="2">
        <f>ESG</f>
        <v>1209.5999999999999</v>
      </c>
      <c r="C25" s="2"/>
      <c r="D25" s="267">
        <v>0</v>
      </c>
      <c r="E25" s="1"/>
      <c r="F25" s="2">
        <f>B25*0.005</f>
        <v>6.05</v>
      </c>
      <c r="G25" s="9">
        <f t="shared" si="0"/>
        <v>1203.55</v>
      </c>
    </row>
    <row r="26" spans="1:7" x14ac:dyDescent="0.2">
      <c r="A26" s="1" t="s">
        <v>186</v>
      </c>
      <c r="B26" s="11">
        <f>_ESG1</f>
        <v>302.39999999999998</v>
      </c>
      <c r="C26" s="2"/>
      <c r="D26" s="267">
        <v>0</v>
      </c>
      <c r="E26" s="1"/>
      <c r="F26" s="2">
        <v>0</v>
      </c>
      <c r="G26" s="9">
        <f t="shared" si="0"/>
        <v>302.39999999999998</v>
      </c>
    </row>
    <row r="27" spans="1:7" x14ac:dyDescent="0.2">
      <c r="A27" s="1" t="s">
        <v>187</v>
      </c>
      <c r="B27" s="2">
        <f>EUG</f>
        <v>4160.1499999999996</v>
      </c>
      <c r="C27" s="2"/>
      <c r="D27" s="267">
        <v>309.69</v>
      </c>
      <c r="E27" s="1"/>
      <c r="F27" s="2">
        <f>B27*0.005</f>
        <v>20.8</v>
      </c>
      <c r="G27" s="9">
        <f t="shared" si="0"/>
        <v>3829.66</v>
      </c>
    </row>
    <row r="28" spans="1:7" x14ac:dyDescent="0.2">
      <c r="A28" s="1" t="s">
        <v>188</v>
      </c>
      <c r="B28" s="11">
        <f>_EUG1</f>
        <v>1040.03</v>
      </c>
      <c r="C28" s="2"/>
      <c r="D28" s="267">
        <v>77.42</v>
      </c>
      <c r="E28" s="1"/>
      <c r="F28" s="2">
        <v>0</v>
      </c>
      <c r="G28" s="9">
        <f t="shared" si="0"/>
        <v>962.61</v>
      </c>
    </row>
    <row r="29" spans="1:7" x14ac:dyDescent="0.2">
      <c r="A29" s="1" t="s">
        <v>366</v>
      </c>
      <c r="B29" s="2">
        <f>HUG</f>
        <v>90766.89</v>
      </c>
      <c r="C29" s="2"/>
      <c r="D29" s="267">
        <v>1412.35</v>
      </c>
      <c r="E29" s="1"/>
      <c r="F29" s="2">
        <f>B29*0.005</f>
        <v>453.83</v>
      </c>
      <c r="G29" s="9">
        <f t="shared" si="0"/>
        <v>88900.71</v>
      </c>
    </row>
    <row r="30" spans="1:7" x14ac:dyDescent="0.2">
      <c r="A30" s="1" t="s">
        <v>189</v>
      </c>
      <c r="B30" s="11">
        <f>_HUG1</f>
        <v>10085.209999999999</v>
      </c>
      <c r="C30" s="2"/>
      <c r="D30" s="267">
        <v>156.93</v>
      </c>
      <c r="E30" s="1"/>
      <c r="F30" s="2">
        <v>0</v>
      </c>
      <c r="G30" s="9">
        <f t="shared" si="0"/>
        <v>9928.2800000000007</v>
      </c>
    </row>
    <row r="31" spans="1:7" x14ac:dyDescent="0.2">
      <c r="A31" s="1" t="s">
        <v>715</v>
      </c>
      <c r="B31" s="2">
        <f>LAG</f>
        <v>20385.32</v>
      </c>
      <c r="C31" s="2"/>
      <c r="D31" s="267">
        <v>270.07</v>
      </c>
      <c r="E31" s="1"/>
      <c r="F31" s="2">
        <f>B31*0.005</f>
        <v>101.93</v>
      </c>
      <c r="G31" s="9">
        <f t="shared" si="0"/>
        <v>20013.32</v>
      </c>
    </row>
    <row r="32" spans="1:7" x14ac:dyDescent="0.2">
      <c r="A32" s="1" t="s">
        <v>190</v>
      </c>
      <c r="B32" s="11">
        <f>_LAG1</f>
        <v>2265.04</v>
      </c>
      <c r="C32" s="2"/>
      <c r="D32" s="267">
        <v>30.01</v>
      </c>
      <c r="E32" s="1"/>
      <c r="F32" s="2">
        <v>0</v>
      </c>
      <c r="G32" s="9">
        <f t="shared" si="0"/>
        <v>2235.0300000000002</v>
      </c>
    </row>
    <row r="33" spans="1:7" x14ac:dyDescent="0.2">
      <c r="A33" s="1" t="s">
        <v>191</v>
      </c>
      <c r="B33" s="2">
        <f>LIG</f>
        <v>8936.9</v>
      </c>
      <c r="C33" s="2"/>
      <c r="D33" s="267">
        <v>0</v>
      </c>
      <c r="E33" s="1"/>
      <c r="F33" s="2">
        <f>B33*0.005</f>
        <v>44.68</v>
      </c>
      <c r="G33" s="9">
        <f t="shared" si="0"/>
        <v>8892.2199999999993</v>
      </c>
    </row>
    <row r="34" spans="1:7" x14ac:dyDescent="0.2">
      <c r="A34" s="1" t="s">
        <v>192</v>
      </c>
      <c r="B34" s="11">
        <f>_LIG1</f>
        <v>2234.2199999999998</v>
      </c>
      <c r="C34" s="2"/>
      <c r="D34" s="267">
        <v>0</v>
      </c>
      <c r="E34" s="1"/>
      <c r="F34" s="2">
        <v>0</v>
      </c>
      <c r="G34" s="9">
        <f t="shared" si="0"/>
        <v>2234.2199999999998</v>
      </c>
    </row>
    <row r="35" spans="1:7" x14ac:dyDescent="0.2">
      <c r="A35" s="1" t="s">
        <v>193</v>
      </c>
      <c r="B35" s="2">
        <f>LYG</f>
        <v>131418.1</v>
      </c>
      <c r="C35" s="2"/>
      <c r="D35" s="267">
        <v>172.61</v>
      </c>
      <c r="E35" s="1"/>
      <c r="F35" s="2">
        <f>B35*0.005</f>
        <v>657.09</v>
      </c>
      <c r="G35" s="9">
        <f t="shared" si="0"/>
        <v>130588.4</v>
      </c>
    </row>
    <row r="36" spans="1:7" x14ac:dyDescent="0.2">
      <c r="A36" s="1" t="s">
        <v>194</v>
      </c>
      <c r="B36" s="11">
        <f>_LYG1</f>
        <v>14602</v>
      </c>
      <c r="C36" s="2"/>
      <c r="D36" s="267">
        <v>19.18</v>
      </c>
      <c r="E36" s="1"/>
      <c r="F36" s="2">
        <v>0</v>
      </c>
      <c r="G36" s="9">
        <f t="shared" si="0"/>
        <v>14582.82</v>
      </c>
    </row>
    <row r="37" spans="1:7" x14ac:dyDescent="0.2">
      <c r="A37" s="1" t="s">
        <v>195</v>
      </c>
      <c r="B37" s="2">
        <f>MIG</f>
        <v>21989.75</v>
      </c>
      <c r="C37" s="2"/>
      <c r="D37" s="267">
        <v>3151.74</v>
      </c>
      <c r="E37" s="1"/>
      <c r="F37" s="2">
        <f>B37*0.005</f>
        <v>109.95</v>
      </c>
      <c r="G37" s="9">
        <f t="shared" si="0"/>
        <v>18728.060000000001</v>
      </c>
    </row>
    <row r="38" spans="1:7" x14ac:dyDescent="0.2">
      <c r="A38" s="1" t="s">
        <v>196</v>
      </c>
      <c r="B38" s="11">
        <f>_MIG1</f>
        <v>2443.3000000000002</v>
      </c>
      <c r="C38" s="2"/>
      <c r="D38" s="267">
        <v>350.19</v>
      </c>
      <c r="E38" s="1"/>
      <c r="F38" s="2">
        <v>0</v>
      </c>
      <c r="G38" s="9">
        <f t="shared" si="0"/>
        <v>2093.11</v>
      </c>
    </row>
    <row r="39" spans="1:7" x14ac:dyDescent="0.2">
      <c r="A39" s="1" t="s">
        <v>197</v>
      </c>
      <c r="B39" s="2">
        <f>NYG</f>
        <v>74961.23</v>
      </c>
      <c r="C39" s="2"/>
      <c r="D39" s="267">
        <v>360.68</v>
      </c>
      <c r="E39" s="1"/>
      <c r="F39" s="2">
        <f>B39*0.005</f>
        <v>374.81</v>
      </c>
      <c r="G39" s="9">
        <f t="shared" si="0"/>
        <v>74225.740000000005</v>
      </c>
    </row>
    <row r="40" spans="1:7" x14ac:dyDescent="0.2">
      <c r="A40" s="1" t="s">
        <v>198</v>
      </c>
      <c r="B40" s="11">
        <f>_NYG1</f>
        <v>18740.310000000001</v>
      </c>
      <c r="C40" s="2"/>
      <c r="D40" s="267">
        <v>90.17</v>
      </c>
      <c r="E40" s="1"/>
      <c r="F40" s="2">
        <v>0</v>
      </c>
      <c r="G40" s="9">
        <f t="shared" si="0"/>
        <v>18650.14</v>
      </c>
    </row>
    <row r="41" spans="1:7" x14ac:dyDescent="0.2">
      <c r="A41" s="1" t="s">
        <v>199</v>
      </c>
      <c r="B41" s="2">
        <f>PEG</f>
        <v>18571.57</v>
      </c>
      <c r="C41" s="2"/>
      <c r="D41" s="267">
        <v>409.24</v>
      </c>
      <c r="E41" s="1"/>
      <c r="F41" s="2">
        <f>B41*0.005</f>
        <v>92.86</v>
      </c>
      <c r="G41" s="9">
        <f t="shared" si="0"/>
        <v>18069.47</v>
      </c>
    </row>
    <row r="42" spans="1:7" x14ac:dyDescent="0.2">
      <c r="A42" s="1" t="s">
        <v>200</v>
      </c>
      <c r="B42" s="11">
        <f>_PEG1</f>
        <v>2063.5</v>
      </c>
      <c r="C42" s="2"/>
      <c r="D42" s="267">
        <v>45.47</v>
      </c>
      <c r="E42" s="1"/>
      <c r="F42" s="2">
        <v>0</v>
      </c>
      <c r="G42" s="9">
        <f t="shared" si="0"/>
        <v>2018.03</v>
      </c>
    </row>
    <row r="43" spans="1:7" x14ac:dyDescent="0.2">
      <c r="A43" s="1" t="s">
        <v>201</v>
      </c>
      <c r="B43" s="2">
        <f>STG</f>
        <v>1001.64</v>
      </c>
      <c r="C43" s="2"/>
      <c r="D43" s="267">
        <v>0</v>
      </c>
      <c r="E43" s="1"/>
      <c r="F43" s="2">
        <f>B43*0.005</f>
        <v>5.01</v>
      </c>
      <c r="G43" s="9">
        <f t="shared" si="0"/>
        <v>996.63</v>
      </c>
    </row>
    <row r="44" spans="1:7" x14ac:dyDescent="0.2">
      <c r="A44" s="1" t="s">
        <v>202</v>
      </c>
      <c r="B44" s="11">
        <f>_STG1</f>
        <v>250.41</v>
      </c>
      <c r="C44" s="2"/>
      <c r="D44" s="267">
        <v>0</v>
      </c>
      <c r="E44" s="1"/>
      <c r="F44" s="2">
        <v>0</v>
      </c>
      <c r="G44" s="9">
        <f t="shared" si="0"/>
        <v>250.41</v>
      </c>
    </row>
    <row r="45" spans="1:7" x14ac:dyDescent="0.2">
      <c r="A45" s="1" t="s">
        <v>203</v>
      </c>
      <c r="B45" s="2">
        <f>WAG</f>
        <v>1333101.68</v>
      </c>
      <c r="C45" s="2"/>
      <c r="D45" s="267">
        <v>953.44</v>
      </c>
      <c r="E45" s="1"/>
      <c r="F45" s="2">
        <f>B45*0.005</f>
        <v>6665.51</v>
      </c>
      <c r="G45" s="9">
        <f t="shared" si="0"/>
        <v>1325482.73</v>
      </c>
    </row>
    <row r="46" spans="1:7" x14ac:dyDescent="0.2">
      <c r="A46" s="1" t="s">
        <v>204</v>
      </c>
      <c r="B46" s="11">
        <f>_WAG1</f>
        <v>148122.4</v>
      </c>
      <c r="C46" s="2"/>
      <c r="D46" s="267">
        <v>105.93</v>
      </c>
      <c r="E46" s="1"/>
      <c r="F46" s="2">
        <v>0</v>
      </c>
      <c r="G46" s="9">
        <f t="shared" si="0"/>
        <v>148016.47</v>
      </c>
    </row>
    <row r="47" spans="1:7" x14ac:dyDescent="0.2">
      <c r="A47" s="1" t="s">
        <v>639</v>
      </c>
      <c r="B47" s="2">
        <f>WHG</f>
        <v>34364.75</v>
      </c>
      <c r="C47" s="2"/>
      <c r="D47" s="267">
        <v>812.14</v>
      </c>
      <c r="E47" s="1"/>
      <c r="F47" s="2">
        <f>B47*0.005</f>
        <v>171.82</v>
      </c>
      <c r="G47" s="9">
        <f t="shared" si="0"/>
        <v>33380.79</v>
      </c>
    </row>
    <row r="48" spans="1:7" x14ac:dyDescent="0.2">
      <c r="A48" s="1" t="s">
        <v>205</v>
      </c>
      <c r="B48" s="11">
        <f>_WHG1</f>
        <v>3818.29</v>
      </c>
      <c r="C48" s="2"/>
      <c r="D48" s="267">
        <v>90.24</v>
      </c>
      <c r="E48" s="1"/>
      <c r="F48" s="2">
        <v>0</v>
      </c>
      <c r="G48" s="9">
        <f t="shared" si="0"/>
        <v>3728.05</v>
      </c>
    </row>
    <row r="49" spans="1:7" x14ac:dyDescent="0.2">
      <c r="A49" s="1" t="s">
        <v>660</v>
      </c>
      <c r="B49" s="11"/>
      <c r="C49" s="2"/>
      <c r="D49" s="267">
        <f>SUM(D8:D48)</f>
        <v>48853.440000000002</v>
      </c>
      <c r="E49" s="1"/>
      <c r="F49" s="2"/>
      <c r="G49" s="9"/>
    </row>
    <row r="50" spans="1:7" ht="21" customHeight="1" x14ac:dyDescent="0.2">
      <c r="A50" s="1" t="s">
        <v>206</v>
      </c>
      <c r="B50" s="2">
        <f>CUFEE</f>
        <v>993951.5</v>
      </c>
      <c r="C50" s="2"/>
      <c r="D50" s="267"/>
      <c r="E50" s="1"/>
      <c r="F50" s="2"/>
      <c r="G50" s="9">
        <f t="shared" si="0"/>
        <v>993951.5</v>
      </c>
    </row>
    <row r="51" spans="1:7" x14ac:dyDescent="0.2">
      <c r="A51" s="1" t="s">
        <v>207</v>
      </c>
      <c r="B51" s="2">
        <f>INSFEE</f>
        <v>49419.24</v>
      </c>
      <c r="C51" s="2"/>
      <c r="D51" s="267"/>
      <c r="E51" s="1"/>
      <c r="F51" s="2"/>
      <c r="G51" s="9">
        <f t="shared" si="0"/>
        <v>49419.24</v>
      </c>
    </row>
    <row r="52" spans="1:7" x14ac:dyDescent="0.2">
      <c r="A52" s="1" t="s">
        <v>716</v>
      </c>
      <c r="B52" s="2">
        <f>'s1'!I115</f>
        <v>127693.25</v>
      </c>
      <c r="C52" s="2"/>
      <c r="D52" s="267"/>
      <c r="E52" s="1"/>
      <c r="F52" s="2"/>
      <c r="G52" s="9">
        <f t="shared" si="0"/>
        <v>127693.25</v>
      </c>
    </row>
    <row r="53" spans="1:7" ht="25.5" customHeight="1" thickBot="1" x14ac:dyDescent="0.25">
      <c r="A53" s="94" t="s">
        <v>12</v>
      </c>
      <c r="B53" s="133">
        <f t="shared" ref="B53:G53" si="1">SUM(B8:B52)</f>
        <v>30534977.84</v>
      </c>
      <c r="C53" s="133">
        <f t="shared" si="1"/>
        <v>252098.72</v>
      </c>
      <c r="D53" s="268">
        <f>+D49+D50+D51+D52</f>
        <v>48853.440000000002</v>
      </c>
      <c r="E53" s="133">
        <f t="shared" si="1"/>
        <v>4378.83</v>
      </c>
      <c r="F53" s="133">
        <f t="shared" si="1"/>
        <v>53635.72</v>
      </c>
      <c r="G53" s="133">
        <f t="shared" si="1"/>
        <v>30176011.129999999</v>
      </c>
    </row>
    <row r="54" spans="1:7" x14ac:dyDescent="0.2">
      <c r="A54" s="1"/>
      <c r="B54" s="1"/>
      <c r="C54" s="1"/>
      <c r="D54" s="292"/>
      <c r="E54" s="1"/>
      <c r="F54" s="1"/>
      <c r="G54" s="1"/>
    </row>
    <row r="55" spans="1:7" x14ac:dyDescent="0.2">
      <c r="A55" s="1"/>
      <c r="B55" s="2"/>
      <c r="C55" s="1"/>
      <c r="D55" s="294"/>
      <c r="E55" s="1"/>
      <c r="F55" s="1"/>
      <c r="G55" s="2"/>
    </row>
    <row r="56" spans="1:7" x14ac:dyDescent="0.2">
      <c r="A56" s="1"/>
      <c r="B56" s="1"/>
      <c r="C56" s="1"/>
      <c r="D56" s="292"/>
      <c r="E56" s="1"/>
      <c r="F56" s="1"/>
      <c r="G56" s="1"/>
    </row>
    <row r="57" spans="1:7" x14ac:dyDescent="0.2">
      <c r="A57" s="1"/>
      <c r="B57" s="2"/>
      <c r="C57" s="1"/>
      <c r="D57" s="292"/>
      <c r="E57" s="1"/>
      <c r="F57" s="1"/>
      <c r="G57" s="1"/>
    </row>
    <row r="58" spans="1:7" x14ac:dyDescent="0.2">
      <c r="A58" s="1"/>
      <c r="B58" s="2"/>
      <c r="C58" s="1"/>
      <c r="D58" s="292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227</vt:i4>
      </vt:variant>
    </vt:vector>
  </HeadingPairs>
  <TitlesOfParts>
    <vt:vector size="244" baseType="lpstr">
      <vt:lpstr>s1</vt:lpstr>
      <vt:lpstr>zerortn</vt:lpstr>
      <vt:lpstr>s2</vt:lpstr>
      <vt:lpstr>s2a</vt:lpstr>
      <vt:lpstr>s3, s3b, s3d</vt:lpstr>
      <vt:lpstr>s3a</vt:lpstr>
      <vt:lpstr>s3b</vt:lpstr>
      <vt:lpstr>s3c</vt:lpstr>
      <vt:lpstr>s4</vt:lpstr>
      <vt:lpstr>s5</vt:lpstr>
      <vt:lpstr>s5a</vt:lpstr>
      <vt:lpstr>s6</vt:lpstr>
      <vt:lpstr>s7</vt:lpstr>
      <vt:lpstr>col</vt:lpstr>
      <vt:lpstr>dis</vt:lpstr>
      <vt:lpstr>s8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's3, s3b, s3d'!Print_Titles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2005-01-19T23:30:19Z</cp:lastPrinted>
  <dcterms:created xsi:type="dcterms:W3CDTF">1995-12-21T16:04:23Z</dcterms:created>
  <dcterms:modified xsi:type="dcterms:W3CDTF">2013-09-13T23:11:04Z</dcterms:modified>
</cp:coreProperties>
</file>