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654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  <externalReference r:id="rId6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E32" i="3"/>
  <c r="K82" l="1"/>
  <c r="K78"/>
  <c r="K74"/>
  <c r="K69"/>
  <c r="J82"/>
  <c r="J78"/>
  <c r="J74"/>
  <c r="J69"/>
  <c r="K65" l="1"/>
  <c r="K67" l="1"/>
  <c r="K72" l="1"/>
  <c r="J65" l="1"/>
  <c r="K76"/>
  <c r="J67" l="1"/>
  <c r="J72" l="1"/>
  <c r="J76" l="1"/>
  <c r="E82" l="1"/>
  <c r="E78"/>
  <c r="E76"/>
  <c r="E74"/>
  <c r="E72"/>
  <c r="E69"/>
  <c r="G21" i="2" s="1"/>
  <c r="G21" i="1" s="1"/>
  <c r="E67" i="3"/>
  <c r="E65"/>
  <c r="E59"/>
  <c r="E55"/>
  <c r="E53"/>
  <c r="E51"/>
  <c r="E49"/>
  <c r="E46"/>
  <c r="E44"/>
  <c r="E42"/>
  <c r="H36" l="1"/>
  <c r="E36"/>
  <c r="F27"/>
  <c r="F26"/>
  <c r="D19"/>
  <c r="D18"/>
  <c r="I19"/>
  <c r="I18"/>
  <c r="H19"/>
  <c r="H18"/>
  <c r="H8"/>
  <c r="H7"/>
  <c r="H6"/>
  <c r="V28" l="1"/>
  <c r="W26" s="1"/>
  <c r="W31" s="1"/>
  <c r="M27" s="1"/>
  <c r="W27"/>
  <c r="T28"/>
  <c r="U26"/>
  <c r="U27"/>
  <c r="U31"/>
  <c r="R28"/>
  <c r="S26"/>
  <c r="S27"/>
  <c r="S31"/>
  <c r="W25"/>
  <c r="W30"/>
  <c r="U25"/>
  <c r="U30"/>
  <c r="S25"/>
  <c r="S30"/>
  <c r="M26"/>
  <c r="E27"/>
  <c r="J26" s="1"/>
  <c r="D119" i="2" s="1"/>
  <c r="D119" i="1" s="1"/>
  <c r="D60"/>
  <c r="G5" i="2"/>
  <c r="G5" i="1"/>
  <c r="G67" s="1"/>
  <c r="F103"/>
  <c r="F102"/>
  <c r="F101"/>
  <c r="G107"/>
  <c r="F107"/>
  <c r="F104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G7" i="2"/>
  <c r="G7" i="1" s="1"/>
  <c r="G69" s="1"/>
  <c r="E119" i="2"/>
  <c r="E119" i="1" s="1"/>
  <c r="A123"/>
  <c r="A122"/>
  <c r="F21" i="2"/>
  <c r="F21" i="1" s="1"/>
  <c r="F27" s="1"/>
  <c r="H27" s="1"/>
  <c r="G102" i="2"/>
  <c r="G102" i="1" s="1"/>
  <c r="G103" i="2"/>
  <c r="G103" i="1" s="1"/>
  <c r="H101" i="2"/>
  <c r="H102"/>
  <c r="H103"/>
  <c r="G101"/>
  <c r="G101" i="1" s="1"/>
  <c r="G6" i="3"/>
  <c r="G9"/>
  <c r="G18"/>
  <c r="G19"/>
  <c r="E26"/>
  <c r="G7"/>
  <c r="M39" i="2" s="1"/>
  <c r="G8" i="3"/>
  <c r="M42" i="2" s="1"/>
  <c r="D50"/>
  <c r="D50" i="1" s="1"/>
  <c r="H50" s="1"/>
  <c r="D17" i="2"/>
  <c r="D17" i="1" s="1"/>
  <c r="D28" s="1"/>
  <c r="E17" i="2"/>
  <c r="E17" i="1" s="1"/>
  <c r="E28" s="1"/>
  <c r="L82" i="3"/>
  <c r="N82" s="1"/>
  <c r="L78"/>
  <c r="N78" s="1"/>
  <c r="L74"/>
  <c r="N74" s="1"/>
  <c r="L69"/>
  <c r="N69" s="1"/>
  <c r="E23"/>
  <c r="E31"/>
  <c r="AA3"/>
  <c r="AB1"/>
  <c r="AD1" s="1"/>
  <c r="AA10" s="1"/>
  <c r="C22" s="1"/>
  <c r="AA15"/>
  <c r="O15"/>
  <c r="O14" s="1"/>
  <c r="O13" s="1"/>
  <c r="O12" s="1"/>
  <c r="O11" s="1"/>
  <c r="O10" s="1"/>
  <c r="O9" s="1"/>
  <c r="O8" s="1"/>
  <c r="O7" s="1"/>
  <c r="O6" s="1"/>
  <c r="O5"/>
  <c r="AE2"/>
  <c r="Y2"/>
  <c r="AA1"/>
  <c r="L76"/>
  <c r="N76" s="1"/>
  <c r="L72"/>
  <c r="N72" s="1"/>
  <c r="L67"/>
  <c r="N67" s="1"/>
  <c r="L65"/>
  <c r="N65" s="1"/>
  <c r="G36"/>
  <c r="J36" s="1"/>
  <c r="F19"/>
  <c r="E19"/>
  <c r="F18"/>
  <c r="F20" s="1"/>
  <c r="E18"/>
  <c r="E20" s="1"/>
  <c r="H9"/>
  <c r="F104" i="2"/>
  <c r="G69"/>
  <c r="G67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O41"/>
  <c r="Q41" s="1"/>
  <c r="O40"/>
  <c r="Q40" s="1"/>
  <c r="F27"/>
  <c r="H21"/>
  <c r="A123"/>
  <c r="A122"/>
  <c r="D28"/>
  <c r="E28"/>
  <c r="H50"/>
  <c r="E28" i="3" l="1"/>
  <c r="E37"/>
  <c r="M82"/>
  <c r="M78"/>
  <c r="M76"/>
  <c r="M74"/>
  <c r="M72"/>
  <c r="M67"/>
  <c r="M65"/>
  <c r="M69"/>
  <c r="H27" i="2"/>
  <c r="G20" i="3"/>
  <c r="O39" i="2" s="1"/>
  <c r="Q39" s="1"/>
  <c r="M37"/>
  <c r="G104"/>
  <c r="F17" s="1"/>
  <c r="F17" i="1" s="1"/>
  <c r="F28" s="1"/>
  <c r="F58" s="1"/>
  <c r="F49" s="1"/>
  <c r="H104" i="2"/>
  <c r="G17" s="1"/>
  <c r="G28" s="1"/>
  <c r="G58" s="1"/>
  <c r="G49" s="1"/>
  <c r="G104" i="1"/>
  <c r="V37" i="2"/>
  <c r="T37"/>
  <c r="F28"/>
  <c r="D30" i="3"/>
  <c r="A31"/>
  <c r="A23"/>
  <c r="O38" i="2"/>
  <c r="Q38" s="1"/>
  <c r="O37"/>
  <c r="Q37" s="1"/>
  <c r="J27" i="3"/>
  <c r="E118" i="2"/>
  <c r="E118" i="1" s="1"/>
  <c r="H21"/>
  <c r="D31" i="2" l="1"/>
  <c r="O42"/>
  <c r="Q42" s="1"/>
  <c r="E31"/>
  <c r="E31" i="1" s="1"/>
  <c r="G17"/>
  <c r="H17" i="2"/>
  <c r="D29"/>
  <c r="E29"/>
  <c r="F58"/>
  <c r="F49" s="1"/>
  <c r="H28"/>
  <c r="H31"/>
  <c r="D31" i="1"/>
  <c r="H31" s="1"/>
  <c r="J28" i="3"/>
  <c r="D118" i="2"/>
  <c r="D118" i="1" s="1"/>
  <c r="D34" i="2" l="1"/>
  <c r="E34"/>
  <c r="E34" i="1" s="1"/>
  <c r="G28"/>
  <c r="H17"/>
  <c r="D48" i="2"/>
  <c r="H29"/>
  <c r="D29" i="1"/>
  <c r="E29"/>
  <c r="E48" s="1"/>
  <c r="E58" s="1"/>
  <c r="E49" s="1"/>
  <c r="E48" i="2"/>
  <c r="E58" s="1"/>
  <c r="E49" s="1"/>
  <c r="D34" i="1" l="1"/>
  <c r="H34" s="1"/>
  <c r="H34" i="2"/>
  <c r="G58" i="1"/>
  <c r="G49" s="1"/>
  <c r="H28"/>
  <c r="D48"/>
  <c r="H29"/>
  <c r="H48" i="2"/>
  <c r="D58"/>
  <c r="D49" l="1"/>
  <c r="H49" s="1"/>
  <c r="H58"/>
  <c r="H48" i="1"/>
  <c r="D58"/>
  <c r="H58" l="1"/>
  <c r="D49"/>
  <c r="H49" s="1"/>
</calcChain>
</file>

<file path=xl/sharedStrings.xml><?xml version="1.0" encoding="utf-8"?>
<sst xmlns="http://schemas.openxmlformats.org/spreadsheetml/2006/main" count="540" uniqueCount="297">
  <si>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</si>
  <si>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</si>
  <si>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</si>
  <si>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</si>
  <si>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</si>
  <si>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</si>
  <si>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</si>
  <si>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</si>
  <si>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</si>
  <si>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</si>
  <si>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</si>
  <si>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</si>
  <si>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</si>
  <si>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</si>
  <si>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</si>
  <si>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</si>
  <si>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</si>
  <si>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</si>
  <si>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</si>
  <si>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</si>
  <si>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</si>
  <si>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</si>
  <si>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</si>
  <si>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</si>
  <si>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</si>
  <si>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</si>
  <si>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</si>
  <si>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</si>
  <si>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</si>
  <si>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</si>
  <si>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</si>
  <si>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</si>
  <si>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</si>
  <si>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</si>
  <si>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</si>
  <si>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</si>
  <si>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</si>
  <si>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</si>
  <si>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</si>
  <si>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</si>
  <si>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</si>
  <si>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</si>
  <si>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</si>
  <si>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</si>
  <si>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</si>
  <si>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</si>
  <si>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</si>
  <si>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</si>
  <si>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</si>
  <si>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</si>
  <si>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</si>
  <si>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</si>
  <si>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</si>
  <si>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</si>
  <si>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</si>
  <si>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</si>
  <si>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</si>
  <si>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</si>
  <si>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</si>
  <si>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</si>
  <si>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</si>
  <si>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</si>
  <si>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</si>
  <si>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</si>
  <si>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</si>
  <si>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</si>
  <si>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</si>
  <si>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</si>
  <si>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</si>
  <si>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</si>
  <si>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</si>
  <si>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</si>
  <si>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</si>
  <si>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</si>
  <si>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</si>
  <si>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</si>
  <si>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</si>
  <si>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</si>
  <si>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</si>
  <si>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</si>
  <si>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</si>
  <si>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</si>
  <si>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</si>
  <si>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</si>
  <si>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</si>
  <si>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</si>
  <si>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</si>
  <si>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</si>
  <si>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</si>
  <si>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</si>
  <si>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</si>
  <si>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</si>
  <si>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</si>
  <si>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</si>
  <si>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</si>
  <si>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</si>
  <si>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</si>
  <si>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</si>
  <si>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</si>
  <si>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</si>
  <si>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</si>
  <si>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</si>
  <si>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</si>
  <si>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</si>
  <si>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</si>
  <si>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</si>
  <si>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</si>
  <si>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</si>
  <si>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</si>
  <si>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</si>
  <si>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</si>
  <si>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</si>
  <si>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</si>
  <si>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</si>
  <si>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</si>
  <si>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</si>
  <si>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</si>
  <si>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</si>
  <si>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</si>
  <si>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</si>
  <si>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</si>
  <si>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</si>
  <si>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</si>
  <si>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</si>
  <si>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</si>
  <si>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</si>
  <si>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</si>
  <si>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</si>
  <si>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</si>
  <si>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</si>
  <si>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</si>
  <si>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</si>
  <si>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</si>
  <si>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</si>
  <si>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</si>
  <si>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</si>
  <si>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</si>
  <si>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</si>
  <si>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</si>
  <si>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</si>
  <si>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</si>
  <si>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</si>
  <si>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</si>
  <si>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</si>
  <si>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</si>
  <si>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</si>
  <si>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</si>
  <si>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</si>
  <si>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</si>
  <si>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</si>
  <si>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</si>
  <si>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</si>
  <si>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</si>
  <si>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</si>
  <si>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</si>
  <si>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</si>
  <si>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</si>
  <si>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</si>
  <si>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</si>
  <si>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</si>
  <si>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</si>
  <si>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</si>
  <si>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</si>
  <si>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</si>
  <si>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</si>
  <si>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</si>
  <si>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</si>
  <si>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</si>
  <si>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</si>
  <si>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</si>
  <si>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</si>
  <si>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</si>
  <si>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</si>
  <si>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</si>
  <si>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</si>
  <si>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</si>
  <si>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</si>
  <si>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</si>
  <si>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</si>
  <si>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</si>
  <si>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</si>
  <si>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</si>
  <si>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</si>
  <si>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</si>
  <si>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</si>
  <si>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</si>
  <si>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</si>
  <si>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</si>
  <si>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</si>
  <si>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</si>
  <si>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</si>
  <si>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</si>
  <si>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</si>
  <si>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</si>
  <si>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</si>
  <si>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</si>
  <si>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</si>
  <si>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</si>
  <si>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</si>
  <si>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</si>
  <si>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</si>
  <si>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</si>
  <si>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</si>
  <si>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</si>
  <si>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</si>
  <si>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</si>
  <si>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</si>
  <si>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</si>
  <si>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</si>
  <si>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</si>
  <si>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</si>
  <si>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</si>
  <si>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</si>
  <si>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</si>
  <si>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</si>
  <si>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</si>
  <si>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</si>
  <si>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</si>
  <si>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</si>
  <si>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</si>
  <si>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</si>
  <si>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</si>
  <si>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</si>
  <si>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</si>
  <si>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</si>
  <si>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</si>
  <si>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</si>
  <si>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</si>
  <si>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</si>
  <si>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</si>
  <si>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</si>
  <si>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</si>
  <si>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</si>
  <si>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</si>
  <si>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</si>
  <si>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</si>
  <si>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</si>
  <si>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</si>
  <si>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</si>
  <si>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</si>
  <si>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</si>
  <si>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</si>
  <si>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</si>
  <si>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</si>
  <si>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</si>
  <si>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</si>
  <si>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</si>
  <si>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</si>
  <si>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</si>
  <si>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</si>
  <si>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</si>
  <si>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</si>
  <si>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</si>
  <si>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</si>
  <si>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</si>
  <si>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</si>
  <si>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</si>
  <si>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</si>
  <si>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</si>
  <si>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</si>
  <si>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</si>
  <si>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</si>
  <si>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</si>
  <si>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</si>
  <si>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</si>
  <si>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</si>
  <si>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</si>
  <si>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</si>
  <si>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</si>
  <si>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</si>
  <si>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</si>
  <si>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</si>
  <si>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</si>
  <si>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</si>
  <si>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</si>
  <si>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</si>
  <si>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</si>
  <si>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</si>
  <si>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</si>
  <si>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</si>
  <si>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</si>
  <si>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</si>
  <si>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</si>
  <si>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</si>
  <si>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</si>
  <si>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</si>
  <si>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</si>
  <si>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</si>
  <si>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Alternative Fuels (Highway Liquefied Petroleum Gases, Etc.)</t>
  </si>
  <si>
    <t>Clark Co Population</t>
  </si>
  <si>
    <t>Washoe Co Population</t>
  </si>
  <si>
    <t>Carson City Population</t>
  </si>
  <si>
    <t>Certified Estimates</t>
  </si>
  <si>
    <t>Susan Martinovich</t>
  </si>
  <si>
    <t>Three-County Total</t>
  </si>
  <si>
    <t>Combined Auto Gasoline &amp; Aviation Gasoline Gallons</t>
  </si>
  <si>
    <t>Combined Auto Gasoline, Gasohol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</si>
</sst>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8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37" fontId="17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2006/Jan2006Fh55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/>
      <sheetData sheetId="1">
        <row r="122">
          <cell r="A122" t="str">
            <v>Other under "Rate of tax at the end of month" refers to Aviation Gasoline.</v>
          </cell>
        </row>
        <row r="123">
          <cell r="A123" t="str">
            <v>I discovered an error in the effective dates for the fuel tax rates of gasoline, gasohol, and diesel. They were actually the stated rates as of 10/1/1992 instead of 7/1/1995 as previously reported.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  <sheetName val="GAS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C9">
            <v>8001742</v>
          </cell>
        </row>
        <row r="10">
          <cell r="C10">
            <v>8529082</v>
          </cell>
          <cell r="D10">
            <v>72180156</v>
          </cell>
          <cell r="F10">
            <v>10005548.310000001</v>
          </cell>
          <cell r="G10">
            <v>3954762.2</v>
          </cell>
          <cell r="R10">
            <v>136528.76</v>
          </cell>
          <cell r="S10">
            <v>53963.93</v>
          </cell>
          <cell r="U10">
            <v>14612.87</v>
          </cell>
          <cell r="V10">
            <v>5775.81</v>
          </cell>
          <cell r="AA10">
            <v>11510.54</v>
          </cell>
          <cell r="AB10">
            <v>13993.21</v>
          </cell>
          <cell r="AC10">
            <v>12423.73</v>
          </cell>
        </row>
        <row r="46">
          <cell r="D46">
            <v>146724</v>
          </cell>
        </row>
        <row r="70">
          <cell r="D70">
            <v>2875.79</v>
          </cell>
        </row>
      </sheetData>
      <sheetData sheetId="8" refreshError="1"/>
      <sheetData sheetId="9">
        <row r="10">
          <cell r="C10">
            <v>2871660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19">
          <cell r="AX19">
            <v>145221.05751391465</v>
          </cell>
          <cell r="AY19">
            <v>0</v>
          </cell>
          <cell r="AZ19">
            <v>0</v>
          </cell>
          <cell r="BA19">
            <v>145221.05751391465</v>
          </cell>
          <cell r="BB19">
            <v>0</v>
          </cell>
          <cell r="BC19">
            <v>145221.05751391465</v>
          </cell>
          <cell r="BD19">
            <v>0</v>
          </cell>
          <cell r="BE19">
            <v>145221.05751391465</v>
          </cell>
        </row>
      </sheetData>
      <sheetData sheetId="1">
        <row r="19">
          <cell r="AX19">
            <v>148737.52930636541</v>
          </cell>
          <cell r="AY19">
            <v>0</v>
          </cell>
          <cell r="AZ19">
            <v>0</v>
          </cell>
          <cell r="BA19">
            <v>148737.52930636541</v>
          </cell>
          <cell r="BB19">
            <v>134699.53125</v>
          </cell>
          <cell r="BC19">
            <v>14037.99805636541</v>
          </cell>
          <cell r="BD19">
            <v>0</v>
          </cell>
          <cell r="BE19">
            <v>14037.99805636541</v>
          </cell>
        </row>
      </sheetData>
      <sheetData sheetId="2">
        <row r="19">
          <cell r="AW19">
            <v>293958.58682028006</v>
          </cell>
          <cell r="AX19">
            <v>0</v>
          </cell>
          <cell r="AY19">
            <v>0</v>
          </cell>
          <cell r="AZ19">
            <v>293958.58682028006</v>
          </cell>
          <cell r="BA19">
            <v>134699.53125</v>
          </cell>
          <cell r="BB19">
            <v>159259.05557028006</v>
          </cell>
          <cell r="BC19">
            <v>0</v>
          </cell>
          <cell r="BD19">
            <v>159259.05557028006</v>
          </cell>
        </row>
      </sheetData>
      <sheetData sheetId="3">
        <row r="19">
          <cell r="AX19">
            <v>22777955.333333332</v>
          </cell>
          <cell r="AY19">
            <v>0</v>
          </cell>
          <cell r="AZ19">
            <v>0</v>
          </cell>
          <cell r="BA19">
            <v>22777955.333333332</v>
          </cell>
          <cell r="BB19">
            <v>484237</v>
          </cell>
          <cell r="BC19">
            <v>22293718.333333332</v>
          </cell>
          <cell r="BD19">
            <v>0</v>
          </cell>
          <cell r="BE19">
            <v>22293718.333333332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1" t="s">
        <v>287</v>
      </c>
      <c r="C7" s="52"/>
      <c r="D7" s="52"/>
      <c r="E7" s="52"/>
      <c r="F7" s="52"/>
      <c r="G7" s="62" t="str">
        <f>INTERCALCS!$G$7</f>
        <v>February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8675806</v>
      </c>
      <c r="E17" s="73">
        <f>INTERCALCS!E17</f>
        <v>72180156</v>
      </c>
      <c r="F17" s="73">
        <f>INTERCALCS!F17</f>
        <v>22777955.333333332</v>
      </c>
      <c r="G17" s="73">
        <f>INTERCALCS!G17</f>
        <v>293958.58682028006</v>
      </c>
      <c r="H17" s="74">
        <f t="shared" ref="H17:H58" si="0">SUM(D17:G17)</f>
        <v>103927875.9201536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484237</v>
      </c>
      <c r="G21" s="73">
        <f>INTERCALCS!G21</f>
        <v>134699.53125</v>
      </c>
      <c r="H21" s="76">
        <f t="shared" si="0"/>
        <v>618936.53125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484237</v>
      </c>
      <c r="G27" s="77">
        <f>SUM(G18:G26)</f>
        <v>134699.53125</v>
      </c>
      <c r="H27" s="76">
        <f t="shared" si="0"/>
        <v>618936.53125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8675806</v>
      </c>
      <c r="E28" s="77">
        <f>E17-E27</f>
        <v>72180156</v>
      </c>
      <c r="F28" s="77">
        <f>F17-F27</f>
        <v>22293718.333333332</v>
      </c>
      <c r="G28" s="77">
        <f>G17-G27</f>
        <v>159259.05557028006</v>
      </c>
      <c r="H28" s="76">
        <f t="shared" si="0"/>
        <v>103308939.3889036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3704.8032854361704</v>
      </c>
      <c r="E29" s="78">
        <f>INTERCALCS!E29</f>
        <v>31353.1138629099</v>
      </c>
      <c r="F29" s="75">
        <v>0</v>
      </c>
      <c r="G29" s="75">
        <v>0</v>
      </c>
      <c r="H29" s="76">
        <f t="shared" si="0"/>
        <v>35057.917148346074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4503.8799553972513</v>
      </c>
      <c r="E31" s="78">
        <f>INTERCALCS!E31</f>
        <v>38115.562470362769</v>
      </c>
      <c r="F31" s="75">
        <v>0</v>
      </c>
      <c r="G31" s="75">
        <v>0</v>
      </c>
      <c r="H31" s="76">
        <f t="shared" si="0"/>
        <v>42619.442425760019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3998.7242754355489</v>
      </c>
      <c r="E34" s="78">
        <f>INTERCALCS!E34</f>
        <v>33840.516717030609</v>
      </c>
      <c r="F34" s="78"/>
      <c r="G34" s="78"/>
      <c r="H34" s="76">
        <f t="shared" si="0"/>
        <v>37839.240992466155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12207.40751626897</v>
      </c>
      <c r="E48" s="77">
        <f>SUM(E29:E47)</f>
        <v>103309.19305030328</v>
      </c>
      <c r="F48" s="77">
        <f>SUM(F29:F47)</f>
        <v>0</v>
      </c>
      <c r="G48" s="77">
        <f>SUM(G29:G47)</f>
        <v>0</v>
      </c>
      <c r="H48" s="76">
        <f t="shared" si="0"/>
        <v>115516.60056657225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8516874.592483731</v>
      </c>
      <c r="E49" s="77">
        <f>E58-SUM(E50:E57)</f>
        <v>72076846.80694969</v>
      </c>
      <c r="F49" s="77">
        <f>F58-SUM(F50:F57)</f>
        <v>22293718.333333332</v>
      </c>
      <c r="G49" s="77">
        <f>G58-SUM(G50:G57)</f>
        <v>159259.05557028006</v>
      </c>
      <c r="H49" s="76">
        <f t="shared" si="0"/>
        <v>103046698.78833702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146724</v>
      </c>
      <c r="E50" s="78"/>
      <c r="F50" s="75">
        <v>0</v>
      </c>
      <c r="G50" s="75">
        <v>0</v>
      </c>
      <c r="H50" s="76">
        <f t="shared" si="0"/>
        <v>146724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8663598.592483731</v>
      </c>
      <c r="E58" s="77">
        <f>E28-E48</f>
        <v>72076846.80694969</v>
      </c>
      <c r="F58" s="77">
        <f>F28-F48</f>
        <v>22293718.333333332</v>
      </c>
      <c r="G58" s="77">
        <f>G28-G48</f>
        <v>159259.05557028006</v>
      </c>
      <c r="H58" s="76">
        <f t="shared" si="0"/>
        <v>103193422.78833702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February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22777955.333333332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0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0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22777955.333333332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40210</v>
      </c>
      <c r="G107" s="151">
        <f>INTERCALCS!G107</f>
        <v>40237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14188564.698819058</v>
      </c>
      <c r="E118" s="162">
        <f>INTERCALCS!E118</f>
        <v>0.19657154383012221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57991591.301180944</v>
      </c>
      <c r="E119" s="166">
        <f>INTERCALCS!E119</f>
        <v>0.80342845616987779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4" t="str">
        <f>[1]INTERCALCS!A122</f>
        <v>Other under "Rate of tax at the end of month" refers to Aviation Gasoline.</v>
      </c>
      <c r="B122" s="205"/>
      <c r="C122" s="205"/>
      <c r="D122" s="205"/>
      <c r="E122" s="205"/>
      <c r="F122" s="205"/>
      <c r="G122" s="205"/>
      <c r="H122" s="206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7" t="str">
        <f>[1]INTERCALCS!$A$123</f>
        <v>I discovered an error in the effective dates for the fuel tax rates of gasoline, gasohol, and diesel. They were actually the stated rates as of 10/1/1992 instead of 7/1/1995 as previously reported.</v>
      </c>
      <c r="B123" s="208"/>
      <c r="C123" s="208"/>
      <c r="D123" s="208"/>
      <c r="E123" s="208"/>
      <c r="F123" s="208"/>
      <c r="G123" s="208"/>
      <c r="H123" s="209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1" t="s">
        <v>287</v>
      </c>
      <c r="C7" s="52"/>
      <c r="D7" s="52"/>
      <c r="E7" s="52"/>
      <c r="F7" s="52"/>
      <c r="G7" s="62" t="str">
        <f>INPUTS!$D$1</f>
        <v>February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8675806</v>
      </c>
      <c r="E17" s="73">
        <f>INPUTS!E27</f>
        <v>72180156</v>
      </c>
      <c r="F17" s="73">
        <f>G104</f>
        <v>22777955.333333332</v>
      </c>
      <c r="G17" s="73">
        <f>H104</f>
        <v>293958.58682028006</v>
      </c>
      <c r="H17" s="74">
        <f t="shared" ref="H17:H58" si="0">SUM(D17:G17)</f>
        <v>103927875.9201536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484237</v>
      </c>
      <c r="G21" s="73">
        <f>INPUTS!E69</f>
        <v>134699.53125</v>
      </c>
      <c r="H21" s="76">
        <f t="shared" si="0"/>
        <v>618936.53125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484237</v>
      </c>
      <c r="G27" s="77">
        <f>SUM(G18:G26)</f>
        <v>134699.53125</v>
      </c>
      <c r="H27" s="76">
        <f t="shared" si="0"/>
        <v>618936.53125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8675806</v>
      </c>
      <c r="E28" s="77">
        <f>E17-E27</f>
        <v>72180156</v>
      </c>
      <c r="F28" s="77">
        <f>F17-F27</f>
        <v>22293718.333333332</v>
      </c>
      <c r="G28" s="77">
        <f>G17-G27</f>
        <v>159259.05557028006</v>
      </c>
      <c r="H28" s="76">
        <f t="shared" si="0"/>
        <v>103308939.3889036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3704.8032854361704</v>
      </c>
      <c r="E29" s="78">
        <f>Q37*V37</f>
        <v>31353.1138629099</v>
      </c>
      <c r="F29" s="75">
        <v>0</v>
      </c>
      <c r="G29" s="75">
        <v>0</v>
      </c>
      <c r="H29" s="76">
        <f t="shared" si="0"/>
        <v>35057.917148346074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4503.8799553972513</v>
      </c>
      <c r="E31" s="78">
        <f>Q39*V37</f>
        <v>38115.562470362769</v>
      </c>
      <c r="F31" s="75">
        <v>0</v>
      </c>
      <c r="G31" s="75">
        <v>0</v>
      </c>
      <c r="H31" s="76">
        <f t="shared" si="0"/>
        <v>42619.442425760019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3998.7242754355489</v>
      </c>
      <c r="E34" s="78">
        <f>Q42*V37</f>
        <v>33840.516717030609</v>
      </c>
      <c r="F34" s="78"/>
      <c r="G34" s="78"/>
      <c r="H34" s="76">
        <f t="shared" si="0"/>
        <v>37839.240992466155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INPUTS!G6/INPUTS!$G$9</f>
        <v>0.3034881305059024</v>
      </c>
      <c r="N37" s="1"/>
      <c r="O37" s="9">
        <f>M37*INPUTS!G20</f>
        <v>6187.7223766830821</v>
      </c>
      <c r="P37" s="1"/>
      <c r="Q37" s="7">
        <f>O37/$T$47</f>
        <v>35057.917148346074</v>
      </c>
      <c r="R37" s="2"/>
      <c r="S37" s="2"/>
      <c r="T37" s="2">
        <f>INPUTS!E26/+INPUTS!E28</f>
        <v>0.10567665128990562</v>
      </c>
      <c r="U37" s="2"/>
      <c r="V37" s="2">
        <f>INPUTS!E27/+INPUTS!E28</f>
        <v>0.89432334871009433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INPUTS!G7/INPUTS!$G$9</f>
        <v>0.36894647363863881</v>
      </c>
      <c r="N39" s="1"/>
      <c r="O39" s="9">
        <f>M39*INPUTS!G20</f>
        <v>7522.3315881466424</v>
      </c>
      <c r="P39" s="1"/>
      <c r="Q39" s="7">
        <f>O39/$T$47</f>
        <v>42619.442425760019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INPUTS!G8/INPUTS!$G$9</f>
        <v>0.32756539585545891</v>
      </c>
      <c r="N42" s="1"/>
      <c r="O42" s="9">
        <f>M42*INPUTS!G20</f>
        <v>6678.6260351702776</v>
      </c>
      <c r="P42" s="1"/>
      <c r="Q42" s="7">
        <f>O42/$T$47</f>
        <v>37839.240992466162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12207.40751626897</v>
      </c>
      <c r="E48" s="77">
        <f>SUM(E29:E47)</f>
        <v>103309.19305030328</v>
      </c>
      <c r="F48" s="77">
        <f>SUM(F29:F47)</f>
        <v>0</v>
      </c>
      <c r="G48" s="77">
        <f>SUM(G29:G47)</f>
        <v>0</v>
      </c>
      <c r="H48" s="76">
        <f t="shared" si="0"/>
        <v>115516.60056657225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8516874.592483731</v>
      </c>
      <c r="E49" s="77">
        <f>E58-SUM(E50:E57)</f>
        <v>72076846.80694969</v>
      </c>
      <c r="F49" s="77">
        <f>F58-SUM(F50:F57)</f>
        <v>22293718.333333332</v>
      </c>
      <c r="G49" s="77">
        <f>G58-SUM(G50:G57)</f>
        <v>159259.05557028006</v>
      </c>
      <c r="H49" s="76">
        <f t="shared" si="0"/>
        <v>103046698.78833702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146724</v>
      </c>
      <c r="E50" s="78"/>
      <c r="F50" s="75">
        <v>0</v>
      </c>
      <c r="G50" s="75">
        <v>0</v>
      </c>
      <c r="H50" s="76">
        <f t="shared" si="0"/>
        <v>146724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8663598.592483731</v>
      </c>
      <c r="E58" s="77">
        <f>E28-E48</f>
        <v>72076846.80694969</v>
      </c>
      <c r="F58" s="77">
        <f>F28-F48</f>
        <v>22293718.333333332</v>
      </c>
      <c r="G58" s="77">
        <f>G28-G48</f>
        <v>159259.05557028006</v>
      </c>
      <c r="H58" s="76">
        <f t="shared" si="0"/>
        <v>103193422.78833702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293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February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288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22777955.333333332</v>
      </c>
      <c r="H101" s="147">
        <f>INPUTS!E65</f>
        <v>293958.58682028006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0</v>
      </c>
      <c r="H102" s="147">
        <f>INPUTS!E78</f>
        <v>0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0</v>
      </c>
      <c r="H103" s="147">
        <f>INPUTS!E82</f>
        <v>0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22777955.333333332</v>
      </c>
      <c r="H104" s="148">
        <f>H101+H102-H103</f>
        <v>293958.58682028006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40210</v>
      </c>
      <c r="G107" s="151">
        <v>40237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14188564.698819058</v>
      </c>
      <c r="E118" s="162">
        <f>INPUTS!M27</f>
        <v>0.19657154383012221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57991591.301180944</v>
      </c>
      <c r="E119" s="166">
        <f>INPUTS!M26</f>
        <v>0.80342845616987779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tr">
        <f>[1]INTERCALCS!A122</f>
        <v>Other under "Rate of tax at the end of month" refers to Aviation Gasoline.</v>
      </c>
      <c r="B122" s="205"/>
      <c r="C122" s="205"/>
      <c r="D122" s="205"/>
      <c r="E122" s="205"/>
      <c r="F122" s="205"/>
      <c r="G122" s="205"/>
      <c r="H122" s="206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 t="str">
        <f>[1]INTERCALCS!$A$123</f>
        <v>I discovered an error in the effective dates for the fuel tax rates of gasoline, gasohol, and diesel. They were actually the stated rates as of 10/1/1992 instead of 7/1/1995 as previously reported.</v>
      </c>
      <c r="B123" s="208"/>
      <c r="C123" s="208"/>
      <c r="D123" s="208"/>
      <c r="E123" s="208"/>
      <c r="F123" s="208"/>
      <c r="G123" s="208"/>
      <c r="H123" s="209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topLeftCell="A22" colorId="22" zoomScale="87" workbookViewId="0">
      <selection activeCell="F35" sqref="F35"/>
    </sheetView>
  </sheetViews>
  <sheetFormatPr defaultColWidth="9.77734375" defaultRowHeight="15"/>
  <cols>
    <col min="2" max="2" width="13.77734375" customWidth="1"/>
    <col min="4" max="4" width="14.77734375" customWidth="1"/>
    <col min="5" max="5" width="18.1093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35</v>
      </c>
      <c r="E1" s="1" t="s">
        <v>21</v>
      </c>
      <c r="F1" s="10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February</v>
      </c>
      <c r="AB1" s="6">
        <f>F1</f>
        <v>2</v>
      </c>
      <c r="AC1" s="6"/>
      <c r="AD1" s="6">
        <f>DATE(+AA3,IF(AB1&lt;12,AB1,1),1)</f>
        <v>40210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02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11510.54</v>
      </c>
      <c r="H6" s="28">
        <f>'[2]2010'!$AA$10</f>
        <v>11510.54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>
        <f t="shared" si="0"/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13993.21</v>
      </c>
      <c r="H7" s="28">
        <f>'[2]2010'!$AB$10</f>
        <v>13993.21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>
        <f t="shared" si="0"/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12423.73</v>
      </c>
      <c r="H8" s="29">
        <f>'[2]2010'!$AC$10</f>
        <v>12423.73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>
        <f t="shared" si="0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37927.479999999996</v>
      </c>
      <c r="H9" s="16">
        <f>SUM(H6:H8)</f>
        <v>37927.479999999996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>
        <f t="shared" si="0"/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40210</v>
      </c>
      <c r="AB10" s="19"/>
      <c r="AC10" s="1"/>
      <c r="AD10" s="1"/>
      <c r="AE10" s="1"/>
    </row>
    <row r="11" spans="1:31" ht="15.75" thickBot="1">
      <c r="A11" s="1"/>
      <c r="B11" s="1"/>
      <c r="C11" s="1"/>
      <c r="D11" s="1"/>
      <c r="E11" s="1"/>
      <c r="F11" s="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'[2]2010'!$F$10</f>
        <v>10005548.310000001</v>
      </c>
      <c r="E18" s="23">
        <f>D18</f>
        <v>10005548.310000001</v>
      </c>
      <c r="F18" s="23">
        <f>H18</f>
        <v>136528.76</v>
      </c>
      <c r="G18" s="23">
        <f>I18</f>
        <v>14612.87</v>
      </c>
      <c r="H18" s="27">
        <f>'[2]2010'!$R$10</f>
        <v>136528.76</v>
      </c>
      <c r="I18" s="27">
        <f>'[2]2010'!$U$10</f>
        <v>14612.87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'[2]2010'!$G$10</f>
        <v>3954762.2</v>
      </c>
      <c r="E19" s="32">
        <f>D19</f>
        <v>3954762.2</v>
      </c>
      <c r="F19" s="32">
        <f>H19</f>
        <v>53963.93</v>
      </c>
      <c r="G19" s="32">
        <f>I19</f>
        <v>5775.81</v>
      </c>
      <c r="H19" s="31">
        <f>'[2]2010'!$S$10</f>
        <v>53963.93</v>
      </c>
      <c r="I19" s="27">
        <f>'[2]2010'!$V$10</f>
        <v>5775.81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13960310.510000002</v>
      </c>
      <c r="F20" s="16">
        <f>SUM(F18:F19)</f>
        <v>190492.69</v>
      </c>
      <c r="G20" s="16">
        <f>SUM(G18:G19)</f>
        <v>20388.68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40210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40210</v>
      </c>
      <c r="B23" s="1" t="s">
        <v>75</v>
      </c>
      <c r="C23" s="1"/>
      <c r="D23" s="1"/>
      <c r="E23" s="1" t="str">
        <f>D1</f>
        <v>February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292</v>
      </c>
      <c r="U23" s="1"/>
      <c r="V23" s="1" t="s">
        <v>292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1">
        <v>2005</v>
      </c>
      <c r="S24" s="192"/>
      <c r="T24" s="191">
        <v>2007</v>
      </c>
      <c r="U24" s="191"/>
      <c r="V24" s="191">
        <v>2010</v>
      </c>
      <c r="W24" s="191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289</v>
      </c>
      <c r="Q25" s="1"/>
      <c r="R25" s="193">
        <v>1796380</v>
      </c>
      <c r="S25" s="194">
        <f>R25/R28</f>
        <v>0.79827474039340041</v>
      </c>
      <c r="T25" s="193">
        <v>1954319</v>
      </c>
      <c r="U25" s="194">
        <f>T25/T28</f>
        <v>0.80421241404170929</v>
      </c>
      <c r="V25" s="193">
        <v>1967716</v>
      </c>
      <c r="W25" s="194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8529082</v>
      </c>
      <c r="F26" s="30">
        <f>'[2]2010'!$C$10</f>
        <v>8529082</v>
      </c>
      <c r="G26" s="1"/>
      <c r="H26" s="1" t="s">
        <v>277</v>
      </c>
      <c r="I26" s="1"/>
      <c r="J26" s="178">
        <f>E27*M26</f>
        <v>57991591.301180944</v>
      </c>
      <c r="K26" s="1" t="s">
        <v>278</v>
      </c>
      <c r="L26" s="1"/>
      <c r="M26" s="51">
        <f>W30</f>
        <v>0.80342845616987779</v>
      </c>
      <c r="N26" s="1" t="s">
        <v>279</v>
      </c>
      <c r="O26" s="1"/>
      <c r="P26" s="1" t="s">
        <v>290</v>
      </c>
      <c r="Q26" s="1"/>
      <c r="R26" s="195">
        <v>396844</v>
      </c>
      <c r="S26" s="196">
        <f>R26/R28</f>
        <v>0.17634940328698751</v>
      </c>
      <c r="T26" s="195">
        <v>418061</v>
      </c>
      <c r="U26" s="196">
        <f>T26/T28</f>
        <v>0.17203427179835587</v>
      </c>
      <c r="V26" s="195">
        <v>423833</v>
      </c>
      <c r="W26" s="196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72180156</v>
      </c>
      <c r="F27" s="30">
        <f>'[2]2010'!$D$10</f>
        <v>72180156</v>
      </c>
      <c r="G27" s="1"/>
      <c r="H27" s="1" t="s">
        <v>280</v>
      </c>
      <c r="I27" s="1"/>
      <c r="J27" s="179">
        <f>E27*M27</f>
        <v>14188564.698819058</v>
      </c>
      <c r="K27" s="1" t="s">
        <v>281</v>
      </c>
      <c r="L27" s="1"/>
      <c r="M27" s="51">
        <f>W31</f>
        <v>0.19657154383012221</v>
      </c>
      <c r="N27" s="1" t="s">
        <v>279</v>
      </c>
      <c r="O27" s="1"/>
      <c r="P27" s="1" t="s">
        <v>291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80709238</v>
      </c>
      <c r="F28" s="1"/>
      <c r="G28" s="1"/>
      <c r="H28" s="1"/>
      <c r="I28" s="1"/>
      <c r="J28" s="178">
        <f>SUM(J26:J27)</f>
        <v>72180156</v>
      </c>
      <c r="K28" s="1"/>
      <c r="L28" s="1"/>
      <c r="M28" s="1"/>
      <c r="N28" s="1"/>
      <c r="O28" s="1"/>
      <c r="P28" s="1" t="s">
        <v>294</v>
      </c>
      <c r="Q28" s="1"/>
      <c r="R28" s="198">
        <f>SUM(R25:R27)</f>
        <v>2250328</v>
      </c>
      <c r="S28" s="199"/>
      <c r="T28" s="198">
        <f>SUM(T25:T27)</f>
        <v>2430103</v>
      </c>
      <c r="U28" s="200"/>
      <c r="V28" s="198">
        <f>SUM(V25:V27)</f>
        <v>2449149</v>
      </c>
      <c r="W28" s="200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40210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40210</v>
      </c>
      <c r="B31" s="1" t="s">
        <v>75</v>
      </c>
      <c r="C31" s="1"/>
      <c r="D31" s="1"/>
      <c r="E31" s="1" t="str">
        <f>E23</f>
        <v>February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202" t="s">
        <v>296</v>
      </c>
      <c r="E32" s="203">
        <f>E28+E36</f>
        <v>80855962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'[2]2010'!$D$46</f>
        <v>146724</v>
      </c>
      <c r="F36" s="1"/>
      <c r="G36" s="45">
        <f>0.02*E36</f>
        <v>2934.48</v>
      </c>
      <c r="H36" s="45">
        <f>'[2]2010'!$D$70</f>
        <v>2875.79</v>
      </c>
      <c r="I36" s="1"/>
      <c r="J36" s="51">
        <f>H36/G36</f>
        <v>0.97999986368964853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201"/>
      <c r="C37" s="201"/>
      <c r="D37" s="202" t="s">
        <v>295</v>
      </c>
      <c r="E37" s="203">
        <f>E26+E36</f>
        <v>8675806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[3]Diesel!$AX$19</f>
        <v>22777955.333333332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[3]Diesel!$BA$19</f>
        <v>22777955.333333332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[3]Diesel!$BB$19</f>
        <v>484237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[3]Diesel!$BC$19</f>
        <v>22293718.333333332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[3]Diesel!$BD$19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[3]Diesel!$BE$19</f>
        <v>22293718.333333332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[3]Diesel!$AY$19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[3]Diesel!$AZ$19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'[3]LPG,CNG,Altern.'!$AW$19</f>
        <v>293958.58682028006</v>
      </c>
      <c r="F65" s="42" t="s">
        <v>162</v>
      </c>
      <c r="G65" s="43"/>
      <c r="H65" s="43"/>
      <c r="J65" s="181">
        <f>[3]LPG!$AX$19</f>
        <v>145221.05751391465</v>
      </c>
      <c r="K65" s="181">
        <f>[3]CNG!$AX$19</f>
        <v>148737.52930636541</v>
      </c>
      <c r="L65" s="182">
        <f>SUM(J65:K65)</f>
        <v>293958.58682028006</v>
      </c>
      <c r="M65" s="183">
        <f>IF(L65&gt;0,J65/L65,0)</f>
        <v>0.49401876327123478</v>
      </c>
      <c r="N65" s="183">
        <f>IF(L65&gt;0,K65/L65,0)</f>
        <v>0.50598123672876527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'[3]LPG,CNG,Altern.'!$AZ$19</f>
        <v>293958.58682028006</v>
      </c>
      <c r="F67" s="1" t="s">
        <v>80</v>
      </c>
      <c r="G67" s="1"/>
      <c r="H67" s="1"/>
      <c r="J67" s="181">
        <f>[3]LPG!$BA$19</f>
        <v>145221.05751391465</v>
      </c>
      <c r="K67" s="181">
        <f>[3]CNG!$BA$19</f>
        <v>148737.52930636541</v>
      </c>
      <c r="L67" s="184">
        <f>SUM(J67:K67)</f>
        <v>293958.58682028006</v>
      </c>
      <c r="M67" s="183">
        <f>IF(L67&gt;0,J67/L67,0)</f>
        <v>0.49401876327123478</v>
      </c>
      <c r="N67" s="183">
        <f>IF(L67&gt;0,K67/L67,0)</f>
        <v>0.50598123672876527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'[3]LPG,CNG,Altern.'!$BA$19</f>
        <v>134699.53125</v>
      </c>
      <c r="F69" s="1" t="s">
        <v>82</v>
      </c>
      <c r="G69" s="1"/>
      <c r="H69" s="1"/>
      <c r="J69" s="181">
        <f>[3]LPG!$BB$19</f>
        <v>0</v>
      </c>
      <c r="K69" s="181">
        <f>[3]CNG!$BB$19</f>
        <v>134699.53125</v>
      </c>
      <c r="L69" s="184">
        <f>SUM(J69:K69)</f>
        <v>134699.53125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'[3]LPG,CNG,Altern.'!$BB$19</f>
        <v>159259.05557028006</v>
      </c>
      <c r="F72" s="1" t="s">
        <v>85</v>
      </c>
      <c r="G72" s="1"/>
      <c r="H72" s="1"/>
      <c r="J72" s="181">
        <f>[3]LPG!$BC$19</f>
        <v>145221.05751391465</v>
      </c>
      <c r="K72" s="181">
        <f>[3]CNG!$BC$19</f>
        <v>14037.99805636541</v>
      </c>
      <c r="L72" s="184">
        <f>SUM(J72:K72)</f>
        <v>159259.05557028006</v>
      </c>
      <c r="M72" s="183">
        <f>IF(L72&gt;0,J72/L72,0)</f>
        <v>0.91185431807254114</v>
      </c>
      <c r="N72" s="183">
        <f>IF(L72&gt;0,K72/L72,0)</f>
        <v>8.8145681927458905E-2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'[3]LPG,CNG,Altern.'!$BC$19</f>
        <v>0</v>
      </c>
      <c r="F74" s="1" t="s">
        <v>87</v>
      </c>
      <c r="G74" s="1"/>
      <c r="H74" s="1"/>
      <c r="J74" s="181">
        <f>[3]LPG!$BD$19</f>
        <v>0</v>
      </c>
      <c r="K74" s="181">
        <f>[3]CNG!$BD$19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'[3]LPG,CNG,Altern.'!$BD$19</f>
        <v>159259.05557028006</v>
      </c>
      <c r="F76" s="1" t="s">
        <v>89</v>
      </c>
      <c r="G76" s="1"/>
      <c r="H76" s="1"/>
      <c r="J76" s="181">
        <f>[3]LPG!$BE$19</f>
        <v>145221.05751391465</v>
      </c>
      <c r="K76" s="181">
        <f>[3]CNG!$BE$19</f>
        <v>14037.99805636541</v>
      </c>
      <c r="L76" s="184">
        <f>SUM(J76:K76)</f>
        <v>159259.05557028006</v>
      </c>
      <c r="M76" s="183">
        <f>IF(L76&gt;0,J76/L76,0)</f>
        <v>0.91185431807254114</v>
      </c>
      <c r="N76" s="183">
        <f>IF(L76&gt;0,K76/L76,0)</f>
        <v>8.8145681927458905E-2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'[3]LPG,CNG,Altern.'!$AX$19</f>
        <v>0</v>
      </c>
      <c r="F78" s="1" t="s">
        <v>95</v>
      </c>
      <c r="G78" s="1"/>
      <c r="H78" s="1"/>
      <c r="J78" s="181">
        <f>[3]LPG!$AY$19</f>
        <v>0</v>
      </c>
      <c r="K78" s="181">
        <f>[3]CNG!$AY$19</f>
        <v>0</v>
      </c>
      <c r="L78" s="184">
        <f>SUM(J78:K78)</f>
        <v>0</v>
      </c>
      <c r="M78" s="183">
        <f>IF(L78&gt;0,J78/L78,0)</f>
        <v>0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'[3]LPG,CNG,Altern.'!$AY$19</f>
        <v>0</v>
      </c>
      <c r="F82" s="1" t="s">
        <v>96</v>
      </c>
      <c r="G82" s="1"/>
      <c r="H82" s="1"/>
      <c r="J82" s="181">
        <f>[3]LPG!$AZ$19</f>
        <v>0</v>
      </c>
      <c r="K82" s="181">
        <f>[3]CNG!$AZ$19</f>
        <v>0</v>
      </c>
      <c r="L82" s="184">
        <f>SUM(J82:K82)</f>
        <v>0</v>
      </c>
      <c r="M82" s="183">
        <f>IF(L82&gt;0,J82/L82,0)</f>
        <v>0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2012-06-27T18:24:44Z</dcterms:modified>
</cp:coreProperties>
</file>