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hane/Google Drive/VIM 2016 Spring/Liberty Interactive (QVCA)/Journals/Shane Mulqueen Journal/"/>
    </mc:Choice>
  </mc:AlternateContent>
  <bookViews>
    <workbookView xWindow="19160" yWindow="460" windowWidth="31960" windowHeight="26120" tabRatio="500" activeTab="1"/>
  </bookViews>
  <sheets>
    <sheet name="QVC Group" sheetId="1" r:id="rId1"/>
    <sheet name="QVC" sheetId="2" r:id="rId2"/>
    <sheet name="zulily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4" i="2" l="1"/>
  <c r="G154" i="2"/>
  <c r="M154" i="2"/>
  <c r="F154" i="2"/>
  <c r="E154" i="2"/>
  <c r="J141" i="1"/>
  <c r="K141" i="1"/>
  <c r="L141" i="1"/>
  <c r="M141" i="1"/>
  <c r="N141" i="1"/>
  <c r="O141" i="1"/>
  <c r="P141" i="1"/>
  <c r="Q141" i="1"/>
  <c r="F137" i="1"/>
  <c r="R141" i="1"/>
  <c r="J148" i="1"/>
  <c r="J151" i="1"/>
  <c r="J152" i="1"/>
  <c r="I140" i="1"/>
  <c r="J140" i="1"/>
  <c r="K140" i="1"/>
  <c r="L140" i="1"/>
  <c r="M140" i="1"/>
  <c r="N140" i="1"/>
  <c r="O140" i="1"/>
  <c r="P140" i="1"/>
  <c r="Q140" i="1"/>
  <c r="R140" i="1"/>
  <c r="I148" i="1"/>
  <c r="I151" i="1"/>
  <c r="I152" i="1"/>
  <c r="J153" i="1"/>
  <c r="H139" i="1"/>
  <c r="I139" i="1"/>
  <c r="J139" i="1"/>
  <c r="K139" i="1"/>
  <c r="L139" i="1"/>
  <c r="M139" i="1"/>
  <c r="N139" i="1"/>
  <c r="O139" i="1"/>
  <c r="P139" i="1"/>
  <c r="Q139" i="1"/>
  <c r="R139" i="1"/>
  <c r="H148" i="1"/>
  <c r="H151" i="1"/>
  <c r="H152" i="1"/>
  <c r="I153" i="1"/>
  <c r="J16" i="1"/>
  <c r="J13" i="1"/>
  <c r="J8" i="1"/>
  <c r="J9" i="1"/>
  <c r="J10" i="1"/>
  <c r="J20" i="1"/>
  <c r="J30" i="1"/>
  <c r="J31" i="1"/>
  <c r="J32" i="1"/>
  <c r="J38" i="1"/>
  <c r="J44" i="1"/>
  <c r="J60" i="1"/>
  <c r="J80" i="1"/>
  <c r="K16" i="1"/>
  <c r="K13" i="1"/>
  <c r="K8" i="1"/>
  <c r="K9" i="1"/>
  <c r="K10" i="1"/>
  <c r="K20" i="1"/>
  <c r="K30" i="1"/>
  <c r="K31" i="1"/>
  <c r="K32" i="1"/>
  <c r="K38" i="1"/>
  <c r="K44" i="1"/>
  <c r="K60" i="1"/>
  <c r="K80" i="1"/>
  <c r="L16" i="1"/>
  <c r="L13" i="1"/>
  <c r="L8" i="1"/>
  <c r="L9" i="1"/>
  <c r="L10" i="1"/>
  <c r="L20" i="1"/>
  <c r="L30" i="1"/>
  <c r="L31" i="1"/>
  <c r="L32" i="1"/>
  <c r="L38" i="1"/>
  <c r="L44" i="1"/>
  <c r="L60" i="1"/>
  <c r="L80" i="1"/>
  <c r="M16" i="1"/>
  <c r="M13" i="1"/>
  <c r="M8" i="1"/>
  <c r="M9" i="1"/>
  <c r="M10" i="1"/>
  <c r="M20" i="1"/>
  <c r="M30" i="1"/>
  <c r="M31" i="1"/>
  <c r="M32" i="1"/>
  <c r="M38" i="1"/>
  <c r="M44" i="1"/>
  <c r="M60" i="1"/>
  <c r="M80" i="1"/>
  <c r="N16" i="1"/>
  <c r="N13" i="1"/>
  <c r="N8" i="1"/>
  <c r="N9" i="1"/>
  <c r="N10" i="1"/>
  <c r="N20" i="1"/>
  <c r="N30" i="1"/>
  <c r="N31" i="1"/>
  <c r="N32" i="1"/>
  <c r="N38" i="1"/>
  <c r="N44" i="1"/>
  <c r="N60" i="1"/>
  <c r="N80" i="1"/>
  <c r="O16" i="1"/>
  <c r="O13" i="1"/>
  <c r="O8" i="1"/>
  <c r="O9" i="1"/>
  <c r="O10" i="1"/>
  <c r="O20" i="1"/>
  <c r="O30" i="1"/>
  <c r="O31" i="1"/>
  <c r="O32" i="1"/>
  <c r="O38" i="1"/>
  <c r="O44" i="1"/>
  <c r="O60" i="1"/>
  <c r="O80" i="1"/>
  <c r="P16" i="1"/>
  <c r="P13" i="1"/>
  <c r="P8" i="1"/>
  <c r="P9" i="1"/>
  <c r="P10" i="1"/>
  <c r="P20" i="1"/>
  <c r="P30" i="1"/>
  <c r="P31" i="1"/>
  <c r="P32" i="1"/>
  <c r="P38" i="1"/>
  <c r="P44" i="1"/>
  <c r="P60" i="1"/>
  <c r="P80" i="1"/>
  <c r="Q16" i="1"/>
  <c r="Q13" i="1"/>
  <c r="Q8" i="1"/>
  <c r="Q9" i="1"/>
  <c r="Q10" i="1"/>
  <c r="Q20" i="1"/>
  <c r="Q30" i="1"/>
  <c r="Q31" i="1"/>
  <c r="Q32" i="1"/>
  <c r="Q38" i="1"/>
  <c r="Q44" i="1"/>
  <c r="Q60" i="1"/>
  <c r="Q80" i="1"/>
  <c r="H16" i="1"/>
  <c r="H13" i="1"/>
  <c r="H8" i="1"/>
  <c r="H9" i="1"/>
  <c r="H10" i="1"/>
  <c r="H20" i="1"/>
  <c r="H30" i="1"/>
  <c r="H31" i="1"/>
  <c r="H32" i="1"/>
  <c r="H38" i="1"/>
  <c r="H44" i="1"/>
  <c r="H60" i="1"/>
  <c r="H80" i="1"/>
  <c r="H82" i="1"/>
  <c r="I81" i="1"/>
  <c r="I16" i="1"/>
  <c r="I13" i="1"/>
  <c r="I8" i="1"/>
  <c r="I9" i="1"/>
  <c r="I10" i="1"/>
  <c r="I20" i="1"/>
  <c r="I30" i="1"/>
  <c r="I31" i="1"/>
  <c r="I32" i="1"/>
  <c r="I38" i="1"/>
  <c r="I44" i="1"/>
  <c r="I60" i="1"/>
  <c r="I80" i="1"/>
  <c r="I82" i="1"/>
  <c r="J81" i="1"/>
  <c r="J82" i="1"/>
  <c r="J150" i="1"/>
  <c r="J143" i="1"/>
  <c r="J145" i="1"/>
  <c r="J146" i="1"/>
  <c r="I150" i="1"/>
  <c r="H150" i="1"/>
  <c r="H81" i="1"/>
  <c r="H78" i="1"/>
  <c r="I78" i="1"/>
  <c r="J78" i="1"/>
  <c r="K78" i="1"/>
  <c r="L78" i="1"/>
  <c r="M78" i="1"/>
  <c r="N78" i="1"/>
  <c r="O78" i="1"/>
  <c r="P78" i="1"/>
  <c r="Q78" i="1"/>
  <c r="H145" i="1"/>
  <c r="H146" i="1"/>
  <c r="I143" i="1"/>
  <c r="I145" i="1"/>
  <c r="I146" i="1"/>
  <c r="J138" i="1"/>
  <c r="K138" i="1"/>
  <c r="L138" i="1"/>
  <c r="M138" i="1"/>
  <c r="N138" i="1"/>
  <c r="O138" i="1"/>
  <c r="P138" i="1"/>
  <c r="Q138" i="1"/>
  <c r="I138" i="1"/>
  <c r="Q19" i="1"/>
  <c r="Q29" i="1"/>
  <c r="Q46" i="1"/>
  <c r="H47" i="1"/>
  <c r="I47" i="1"/>
  <c r="J47" i="1"/>
  <c r="K47" i="1"/>
  <c r="L47" i="1"/>
  <c r="M47" i="1"/>
  <c r="N47" i="1"/>
  <c r="O47" i="1"/>
  <c r="P47" i="1"/>
  <c r="Q47" i="1"/>
  <c r="Q67" i="1"/>
  <c r="P19" i="1"/>
  <c r="P29" i="1"/>
  <c r="P46" i="1"/>
  <c r="P67" i="1"/>
  <c r="O19" i="1"/>
  <c r="O29" i="1"/>
  <c r="O46" i="1"/>
  <c r="O67" i="1"/>
  <c r="N19" i="1"/>
  <c r="N29" i="1"/>
  <c r="N46" i="1"/>
  <c r="N67" i="1"/>
  <c r="M19" i="1"/>
  <c r="M29" i="1"/>
  <c r="M46" i="1"/>
  <c r="M67" i="1"/>
  <c r="L19" i="1"/>
  <c r="L29" i="1"/>
  <c r="L46" i="1"/>
  <c r="L67" i="1"/>
  <c r="K19" i="1"/>
  <c r="K29" i="1"/>
  <c r="K46" i="1"/>
  <c r="K67" i="1"/>
  <c r="J19" i="1"/>
  <c r="J29" i="1"/>
  <c r="J46" i="1"/>
  <c r="J67" i="1"/>
  <c r="I19" i="1"/>
  <c r="I29" i="1"/>
  <c r="I46" i="1"/>
  <c r="I67" i="1"/>
  <c r="H19" i="1"/>
  <c r="H29" i="1"/>
  <c r="H46" i="1"/>
  <c r="H67" i="1"/>
  <c r="Q33" i="1"/>
  <c r="Q34" i="1"/>
  <c r="Q40" i="1"/>
  <c r="P33" i="1"/>
  <c r="P34" i="1"/>
  <c r="P40" i="1"/>
  <c r="O33" i="1"/>
  <c r="O34" i="1"/>
  <c r="O40" i="1"/>
  <c r="N33" i="1"/>
  <c r="N34" i="1"/>
  <c r="N40" i="1"/>
  <c r="M33" i="1"/>
  <c r="M34" i="1"/>
  <c r="M40" i="1"/>
  <c r="L33" i="1"/>
  <c r="L34" i="1"/>
  <c r="L40" i="1"/>
  <c r="K33" i="1"/>
  <c r="K34" i="1"/>
  <c r="K40" i="1"/>
  <c r="J33" i="1"/>
  <c r="J34" i="1"/>
  <c r="J40" i="1"/>
  <c r="I33" i="1"/>
  <c r="I34" i="1"/>
  <c r="I40" i="1"/>
  <c r="Q39" i="1"/>
  <c r="P39" i="1"/>
  <c r="O39" i="1"/>
  <c r="N39" i="1"/>
  <c r="M39" i="1"/>
  <c r="L39" i="1"/>
  <c r="K39" i="1"/>
  <c r="J39" i="1"/>
  <c r="I39" i="1"/>
  <c r="H33" i="1"/>
  <c r="H34" i="1"/>
  <c r="H40" i="1"/>
  <c r="H39" i="1"/>
  <c r="AB22" i="2"/>
  <c r="AB19" i="2"/>
  <c r="AB10" i="2"/>
  <c r="AB18" i="2"/>
  <c r="AB17" i="2"/>
  <c r="AB11" i="2"/>
  <c r="AB12" i="2"/>
  <c r="AH75" i="3"/>
  <c r="AH76" i="3"/>
  <c r="AH77" i="3"/>
  <c r="AH70" i="3"/>
  <c r="AH78" i="3"/>
  <c r="AH71" i="3"/>
  <c r="AH79" i="3"/>
  <c r="AH80" i="3"/>
  <c r="AH81" i="3"/>
  <c r="AH88" i="3"/>
  <c r="AH89" i="3"/>
  <c r="AG75" i="3"/>
  <c r="AG76" i="3"/>
  <c r="AG77" i="3"/>
  <c r="AG70" i="3"/>
  <c r="AG78" i="3"/>
  <c r="AG71" i="3"/>
  <c r="AG79" i="3"/>
  <c r="AG80" i="3"/>
  <c r="AG81" i="3"/>
  <c r="AG88" i="3"/>
  <c r="AG89" i="3"/>
  <c r="AF75" i="3"/>
  <c r="AF76" i="3"/>
  <c r="AF77" i="3"/>
  <c r="AF70" i="3"/>
  <c r="AF78" i="3"/>
  <c r="AF71" i="3"/>
  <c r="AF79" i="3"/>
  <c r="AF80" i="3"/>
  <c r="AF81" i="3"/>
  <c r="AF88" i="3"/>
  <c r="AF89" i="3"/>
  <c r="AA19" i="2"/>
  <c r="AA10" i="2"/>
  <c r="AA18" i="2"/>
  <c r="AA17" i="2"/>
  <c r="AA11" i="2"/>
  <c r="AA12" i="2"/>
  <c r="Z19" i="2"/>
  <c r="Z18" i="2"/>
  <c r="Z17" i="2"/>
  <c r="Z10" i="2"/>
  <c r="Z11" i="2"/>
  <c r="Z12" i="2"/>
  <c r="H176" i="1"/>
  <c r="H177" i="1"/>
  <c r="H178" i="1"/>
  <c r="H179" i="1"/>
  <c r="H181" i="1"/>
  <c r="H182" i="1"/>
  <c r="H183" i="1"/>
  <c r="H184" i="1"/>
  <c r="H185" i="1"/>
  <c r="H186" i="1"/>
  <c r="H187" i="1"/>
  <c r="H188" i="1"/>
  <c r="H170" i="1"/>
  <c r="Q159" i="1"/>
  <c r="Q161" i="1"/>
  <c r="Q162" i="1"/>
  <c r="Q163" i="1"/>
  <c r="Q164" i="1"/>
  <c r="Q165" i="1"/>
  <c r="Q166" i="1"/>
  <c r="R166" i="1"/>
  <c r="S225" i="2"/>
  <c r="R225" i="2"/>
  <c r="R224" i="2"/>
  <c r="R223" i="2"/>
  <c r="R222" i="2"/>
  <c r="R221" i="2"/>
  <c r="R220" i="2"/>
  <c r="R218" i="2"/>
  <c r="AA79" i="3"/>
  <c r="AB79" i="3"/>
  <c r="AC79" i="3"/>
  <c r="AD79" i="3"/>
  <c r="AE79" i="3"/>
  <c r="AA78" i="3"/>
  <c r="AB78" i="3"/>
  <c r="AC78" i="3"/>
  <c r="AD78" i="3"/>
  <c r="AE78" i="3"/>
  <c r="Z79" i="3"/>
  <c r="Z78" i="3"/>
  <c r="AE71" i="3"/>
  <c r="AD71" i="3"/>
  <c r="AC71" i="3"/>
  <c r="AB71" i="3"/>
  <c r="AA71" i="3"/>
  <c r="Z71" i="3"/>
  <c r="AE70" i="3"/>
  <c r="AD70" i="3"/>
  <c r="AC70" i="3"/>
  <c r="AB70" i="3"/>
  <c r="AA70" i="3"/>
  <c r="Z70" i="3"/>
  <c r="AA75" i="3"/>
  <c r="AB75" i="3"/>
  <c r="AC75" i="3"/>
  <c r="AD75" i="3"/>
  <c r="AE75" i="3"/>
  <c r="Z75" i="3"/>
  <c r="Y75" i="3"/>
  <c r="AD73" i="3"/>
  <c r="AC73" i="3"/>
  <c r="AB73" i="3"/>
  <c r="AA73" i="3"/>
  <c r="Z73" i="3"/>
  <c r="Y73" i="3"/>
  <c r="AE76" i="3"/>
  <c r="AD76" i="3"/>
  <c r="AC76" i="3"/>
  <c r="AB76" i="3"/>
  <c r="AA76" i="3"/>
  <c r="Z76" i="3"/>
  <c r="Y76" i="3"/>
  <c r="Y19" i="2"/>
  <c r="X19" i="2"/>
  <c r="W19" i="2"/>
  <c r="V19" i="2"/>
  <c r="U19" i="2"/>
  <c r="T19" i="2"/>
  <c r="S19" i="2"/>
  <c r="Y18" i="2"/>
  <c r="X18" i="2"/>
  <c r="W18" i="2"/>
  <c r="V18" i="2"/>
  <c r="U18" i="2"/>
  <c r="T18" i="2"/>
  <c r="Y17" i="2"/>
  <c r="X17" i="2"/>
  <c r="W17" i="2"/>
  <c r="V17" i="2"/>
  <c r="U17" i="2"/>
  <c r="T17" i="2"/>
  <c r="S18" i="2"/>
  <c r="S1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Y12" i="2"/>
  <c r="X12" i="2"/>
  <c r="W12" i="2"/>
  <c r="V12" i="2"/>
  <c r="U12" i="2"/>
  <c r="T12" i="2"/>
  <c r="S12" i="2"/>
  <c r="Y11" i="2"/>
  <c r="X11" i="2"/>
  <c r="W11" i="2"/>
  <c r="V11" i="2"/>
  <c r="Y10" i="2"/>
  <c r="X10" i="2"/>
  <c r="W10" i="2"/>
  <c r="V10" i="2"/>
  <c r="U11" i="2"/>
  <c r="T11" i="2"/>
  <c r="S11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R4" i="2"/>
  <c r="AE88" i="3"/>
  <c r="AE77" i="3"/>
  <c r="AE89" i="3"/>
  <c r="AE81" i="3"/>
  <c r="AE80" i="3"/>
  <c r="AA22" i="2"/>
  <c r="Z22" i="2"/>
  <c r="Y22" i="2"/>
  <c r="X22" i="2"/>
  <c r="W22" i="2"/>
  <c r="V22" i="2"/>
  <c r="U9" i="2"/>
  <c r="T9" i="2"/>
  <c r="U30" i="2"/>
  <c r="V30" i="2"/>
  <c r="W30" i="2"/>
  <c r="X30" i="2"/>
  <c r="Y30" i="2"/>
  <c r="Z30" i="2"/>
  <c r="AA30" i="2"/>
  <c r="AA82" i="3"/>
  <c r="AB81" i="3"/>
  <c r="AC81" i="3"/>
  <c r="AD81" i="3"/>
  <c r="AB80" i="3"/>
  <c r="AC80" i="3"/>
  <c r="AD80" i="3"/>
  <c r="AA81" i="3"/>
  <c r="AA80" i="3"/>
  <c r="AD77" i="3"/>
  <c r="AD88" i="3"/>
  <c r="AD89" i="3"/>
  <c r="AC77" i="3"/>
  <c r="AC88" i="3"/>
  <c r="AC89" i="3"/>
  <c r="AB77" i="3"/>
  <c r="AB88" i="3"/>
  <c r="AB89" i="3"/>
  <c r="AA77" i="3"/>
  <c r="AA88" i="3"/>
  <c r="AA89" i="3"/>
  <c r="Z88" i="3"/>
  <c r="Z77" i="3"/>
  <c r="Z89" i="3"/>
  <c r="Z81" i="3"/>
  <c r="Z80" i="3"/>
  <c r="Y77" i="3"/>
  <c r="Y89" i="3"/>
  <c r="Y88" i="3"/>
  <c r="Q73" i="3"/>
  <c r="Y82" i="3"/>
  <c r="Y81" i="3"/>
  <c r="Y80" i="3"/>
  <c r="Y79" i="3"/>
  <c r="Y78" i="3"/>
  <c r="V71" i="3"/>
  <c r="K70" i="3"/>
  <c r="K71" i="3"/>
  <c r="P70" i="3"/>
  <c r="P71" i="3"/>
  <c r="U70" i="3"/>
  <c r="U71" i="3"/>
  <c r="U72" i="3"/>
  <c r="R88" i="3"/>
  <c r="R72" i="3"/>
  <c r="Q88" i="3"/>
  <c r="Q72" i="3"/>
  <c r="P88" i="3"/>
  <c r="P72" i="3"/>
  <c r="K88" i="3"/>
  <c r="K72" i="3"/>
  <c r="F88" i="3"/>
  <c r="F72" i="3"/>
  <c r="E88" i="3"/>
  <c r="E72" i="3"/>
  <c r="D88" i="3"/>
  <c r="D72" i="3"/>
  <c r="V77" i="3"/>
  <c r="V73" i="3"/>
  <c r="U77" i="3"/>
  <c r="U73" i="3"/>
  <c r="R77" i="3"/>
  <c r="R73" i="3"/>
  <c r="Q77" i="3"/>
  <c r="P77" i="3"/>
  <c r="P73" i="3"/>
  <c r="D77" i="3"/>
  <c r="D73" i="3"/>
  <c r="E77" i="3"/>
  <c r="E73" i="3"/>
  <c r="F77" i="3"/>
  <c r="F73" i="3"/>
  <c r="K77" i="3"/>
  <c r="K73" i="3"/>
  <c r="E6" i="1"/>
  <c r="E7" i="1"/>
  <c r="E8" i="1"/>
  <c r="E10" i="1"/>
  <c r="E12" i="1"/>
  <c r="E16" i="1"/>
  <c r="E20" i="1"/>
  <c r="E22" i="1"/>
  <c r="E29" i="1"/>
  <c r="E30" i="1"/>
  <c r="E32" i="1"/>
  <c r="E44" i="1"/>
  <c r="E34" i="1"/>
  <c r="E14" i="1"/>
  <c r="V81" i="3"/>
  <c r="V89" i="3"/>
  <c r="R211" i="2"/>
  <c r="R85" i="2"/>
  <c r="R77" i="2"/>
  <c r="R76" i="2"/>
  <c r="R75" i="2"/>
  <c r="R73" i="2"/>
  <c r="R63" i="2"/>
  <c r="R56" i="2"/>
  <c r="R44" i="2"/>
  <c r="R29" i="2"/>
  <c r="R30" i="2"/>
  <c r="R32" i="2"/>
  <c r="R36" i="2"/>
  <c r="R38" i="2"/>
  <c r="R40" i="2"/>
  <c r="P36" i="2"/>
  <c r="O36" i="2"/>
  <c r="M36" i="2"/>
  <c r="P34" i="2"/>
  <c r="O34" i="2"/>
  <c r="N34" i="2"/>
  <c r="M34" i="2"/>
  <c r="P31" i="2"/>
  <c r="P32" i="2"/>
  <c r="O32" i="2"/>
  <c r="N32" i="2"/>
  <c r="M32" i="2"/>
  <c r="R34" i="2"/>
  <c r="M30" i="2"/>
  <c r="N30" i="2"/>
  <c r="O30" i="2"/>
  <c r="M29" i="2"/>
  <c r="N29" i="2"/>
  <c r="O29" i="2"/>
  <c r="P30" i="2"/>
  <c r="P29" i="2"/>
  <c r="R22" i="2"/>
  <c r="R21" i="2"/>
  <c r="R12" i="2"/>
  <c r="K131" i="3"/>
  <c r="K132" i="3"/>
  <c r="K123" i="3"/>
  <c r="K124" i="3"/>
  <c r="K89" i="3"/>
  <c r="K92" i="3"/>
  <c r="K94" i="3"/>
  <c r="K104" i="3"/>
  <c r="K119" i="3"/>
  <c r="K134" i="3"/>
  <c r="K136" i="3"/>
  <c r="F131" i="3"/>
  <c r="F132" i="3"/>
  <c r="F123" i="3"/>
  <c r="F124" i="3"/>
  <c r="F89" i="3"/>
  <c r="F92" i="3"/>
  <c r="F94" i="3"/>
  <c r="F104" i="3"/>
  <c r="F119" i="3"/>
  <c r="F134" i="3"/>
  <c r="F136" i="3"/>
  <c r="P132" i="3"/>
  <c r="P124" i="3"/>
  <c r="P89" i="3"/>
  <c r="P92" i="3"/>
  <c r="P94" i="3"/>
  <c r="P104" i="3"/>
  <c r="P119" i="3"/>
  <c r="P134" i="3"/>
  <c r="P136" i="3"/>
  <c r="J77" i="3"/>
  <c r="J88" i="3"/>
  <c r="J89" i="3"/>
  <c r="J92" i="3"/>
  <c r="J94" i="3"/>
  <c r="J104" i="3"/>
  <c r="I77" i="3"/>
  <c r="I88" i="3"/>
  <c r="I89" i="3"/>
  <c r="I92" i="3"/>
  <c r="I94" i="3"/>
  <c r="I104" i="3"/>
  <c r="H77" i="3"/>
  <c r="H88" i="3"/>
  <c r="H89" i="3"/>
  <c r="H92" i="3"/>
  <c r="H94" i="3"/>
  <c r="H104" i="3"/>
  <c r="G77" i="3"/>
  <c r="G88" i="3"/>
  <c r="G89" i="3"/>
  <c r="G92" i="3"/>
  <c r="G94" i="3"/>
  <c r="G104" i="3"/>
  <c r="E89" i="3"/>
  <c r="E92" i="3"/>
  <c r="E94" i="3"/>
  <c r="E104" i="3"/>
  <c r="D89" i="3"/>
  <c r="D92" i="3"/>
  <c r="D94" i="3"/>
  <c r="D104" i="3"/>
  <c r="R89" i="3"/>
  <c r="R92" i="3"/>
  <c r="R94" i="3"/>
  <c r="Q89" i="3"/>
  <c r="Q92" i="3"/>
  <c r="Q94" i="3"/>
  <c r="O77" i="3"/>
  <c r="O88" i="3"/>
  <c r="O89" i="3"/>
  <c r="O92" i="3"/>
  <c r="O94" i="3"/>
  <c r="N77" i="3"/>
  <c r="N88" i="3"/>
  <c r="N89" i="3"/>
  <c r="N92" i="3"/>
  <c r="N94" i="3"/>
  <c r="M77" i="3"/>
  <c r="M88" i="3"/>
  <c r="M89" i="3"/>
  <c r="M92" i="3"/>
  <c r="M94" i="3"/>
  <c r="L77" i="3"/>
  <c r="L88" i="3"/>
  <c r="L89" i="3"/>
  <c r="L92" i="3"/>
  <c r="L94" i="3"/>
  <c r="G203" i="2"/>
  <c r="G205" i="2"/>
  <c r="F181" i="2"/>
  <c r="E211" i="2"/>
  <c r="F211" i="2"/>
  <c r="G211" i="2"/>
  <c r="E203" i="2"/>
  <c r="F203" i="2"/>
  <c r="E205" i="2"/>
  <c r="F205" i="2"/>
  <c r="D85" i="2"/>
  <c r="E85" i="2"/>
  <c r="Q85" i="2"/>
  <c r="L85" i="2"/>
  <c r="G85" i="2"/>
  <c r="F85" i="2"/>
  <c r="G56" i="2"/>
  <c r="G63" i="2"/>
  <c r="G73" i="2"/>
  <c r="G75" i="2"/>
  <c r="F56" i="2"/>
  <c r="F63" i="2"/>
  <c r="F73" i="2"/>
  <c r="F75" i="2"/>
  <c r="E56" i="2"/>
  <c r="E63" i="2"/>
  <c r="E73" i="2"/>
  <c r="E75" i="2"/>
  <c r="D56" i="2"/>
  <c r="D63" i="2"/>
  <c r="D73" i="2"/>
  <c r="D75" i="2"/>
  <c r="D77" i="2"/>
  <c r="E76" i="2"/>
  <c r="E77" i="2"/>
  <c r="F76" i="2"/>
  <c r="F77" i="2"/>
  <c r="G76" i="2"/>
  <c r="G77" i="2"/>
  <c r="L76" i="2"/>
  <c r="L56" i="2"/>
  <c r="L63" i="2"/>
  <c r="L73" i="2"/>
  <c r="L75" i="2"/>
  <c r="L77" i="2"/>
  <c r="H73" i="2"/>
  <c r="H63" i="2"/>
  <c r="I29" i="2"/>
  <c r="I12" i="2"/>
  <c r="I21" i="2"/>
  <c r="I22" i="2"/>
  <c r="I30" i="2"/>
  <c r="I32" i="2"/>
  <c r="I36" i="2"/>
  <c r="E25" i="2"/>
  <c r="E26" i="2"/>
  <c r="E29" i="2"/>
  <c r="E12" i="2"/>
  <c r="E18" i="2"/>
  <c r="E21" i="2"/>
  <c r="E22" i="2"/>
  <c r="E30" i="2"/>
  <c r="E32" i="2"/>
  <c r="E36" i="2"/>
  <c r="F25" i="2"/>
  <c r="F26" i="2"/>
  <c r="F29" i="2"/>
  <c r="F12" i="2"/>
  <c r="F18" i="2"/>
  <c r="F21" i="2"/>
  <c r="F22" i="2"/>
  <c r="F30" i="2"/>
  <c r="F32" i="2"/>
  <c r="F36" i="2"/>
  <c r="G29" i="2"/>
  <c r="G12" i="2"/>
  <c r="G21" i="2"/>
  <c r="G22" i="2"/>
  <c r="G30" i="2"/>
  <c r="G32" i="2"/>
  <c r="G36" i="2"/>
  <c r="H36" i="2"/>
  <c r="H44" i="2"/>
  <c r="H56" i="2"/>
  <c r="H75" i="2"/>
  <c r="H77" i="2"/>
  <c r="I73" i="2"/>
  <c r="I63" i="2"/>
  <c r="I56" i="2"/>
  <c r="I75" i="2"/>
  <c r="I77" i="2"/>
  <c r="J73" i="2"/>
  <c r="J63" i="2"/>
  <c r="J56" i="2"/>
  <c r="J75" i="2"/>
  <c r="J77" i="2"/>
  <c r="K73" i="2"/>
  <c r="K63" i="2"/>
  <c r="K56" i="2"/>
  <c r="K75" i="2"/>
  <c r="K77" i="2"/>
  <c r="M73" i="2"/>
  <c r="M63" i="2"/>
  <c r="N12" i="2"/>
  <c r="N21" i="2"/>
  <c r="N22" i="2"/>
  <c r="N36" i="2"/>
  <c r="J29" i="2"/>
  <c r="J12" i="2"/>
  <c r="J21" i="2"/>
  <c r="J22" i="2"/>
  <c r="J30" i="2"/>
  <c r="J32" i="2"/>
  <c r="J36" i="2"/>
  <c r="K24" i="2"/>
  <c r="K25" i="2"/>
  <c r="K26" i="2"/>
  <c r="K27" i="2"/>
  <c r="K28" i="2"/>
  <c r="K29" i="2"/>
  <c r="L12" i="2"/>
  <c r="L21" i="2"/>
  <c r="L22" i="2"/>
  <c r="H12" i="2"/>
  <c r="H21" i="2"/>
  <c r="H22" i="2"/>
  <c r="K22" i="2"/>
  <c r="K30" i="2"/>
  <c r="K31" i="2"/>
  <c r="K32" i="2"/>
  <c r="K36" i="2"/>
  <c r="L29" i="2"/>
  <c r="L30" i="2"/>
  <c r="L32" i="2"/>
  <c r="L36" i="2"/>
  <c r="M44" i="2"/>
  <c r="M56" i="2"/>
  <c r="M75" i="2"/>
  <c r="M77" i="2"/>
  <c r="N73" i="2"/>
  <c r="N63" i="2"/>
  <c r="N56" i="2"/>
  <c r="N75" i="2"/>
  <c r="N77" i="2"/>
  <c r="O73" i="2"/>
  <c r="O63" i="2"/>
  <c r="O56" i="2"/>
  <c r="O75" i="2"/>
  <c r="O77" i="2"/>
  <c r="P73" i="2"/>
  <c r="P63" i="2"/>
  <c r="P56" i="2"/>
  <c r="P75" i="2"/>
  <c r="P77" i="2"/>
  <c r="Q56" i="2"/>
  <c r="Q63" i="2"/>
  <c r="Q73" i="2"/>
  <c r="Q75" i="2"/>
  <c r="F38" i="2"/>
  <c r="F40" i="2"/>
  <c r="E38" i="2"/>
  <c r="E40" i="2"/>
  <c r="D25" i="2"/>
  <c r="D26" i="2"/>
  <c r="D29" i="2"/>
  <c r="D12" i="2"/>
  <c r="D18" i="2"/>
  <c r="D21" i="2"/>
  <c r="D22" i="2"/>
  <c r="D30" i="2"/>
  <c r="D32" i="2"/>
  <c r="D36" i="2"/>
  <c r="D38" i="2"/>
  <c r="D40" i="2"/>
  <c r="F157" i="2"/>
  <c r="F160" i="2"/>
  <c r="E160" i="2"/>
  <c r="F156" i="2"/>
  <c r="E156" i="2"/>
  <c r="F159" i="2"/>
  <c r="D156" i="2"/>
  <c r="E159" i="2"/>
  <c r="E158" i="2"/>
  <c r="F158" i="2"/>
  <c r="J34" i="2"/>
  <c r="K33" i="2"/>
  <c r="K34" i="2"/>
  <c r="L34" i="2"/>
  <c r="I34" i="2"/>
  <c r="E34" i="2"/>
  <c r="F34" i="2"/>
  <c r="G34" i="2"/>
  <c r="H34" i="2"/>
  <c r="D34" i="2"/>
  <c r="H32" i="2"/>
  <c r="H30" i="2"/>
  <c r="H29" i="2"/>
  <c r="Q211" i="2"/>
  <c r="L211" i="2"/>
  <c r="Q212" i="2"/>
  <c r="Q203" i="2"/>
  <c r="Q205" i="2"/>
  <c r="L203" i="2"/>
  <c r="L205" i="2"/>
  <c r="G38" i="2"/>
  <c r="G40" i="2"/>
  <c r="L38" i="2"/>
  <c r="L40" i="2"/>
  <c r="H38" i="2"/>
  <c r="H40" i="2"/>
  <c r="I38" i="2"/>
  <c r="I40" i="2"/>
  <c r="J38" i="2"/>
  <c r="J40" i="2"/>
  <c r="K40" i="2"/>
  <c r="K39" i="2"/>
  <c r="K38" i="2"/>
  <c r="K37" i="2"/>
  <c r="K21" i="2"/>
  <c r="K20" i="2"/>
  <c r="K19" i="2"/>
  <c r="K18" i="2"/>
  <c r="K17" i="2"/>
  <c r="K13" i="2"/>
  <c r="K12" i="2"/>
  <c r="K11" i="2"/>
  <c r="K10" i="2"/>
  <c r="S22" i="2"/>
  <c r="S30" i="2"/>
  <c r="S36" i="2"/>
  <c r="S41" i="2"/>
  <c r="V45" i="2"/>
  <c r="T22" i="2"/>
  <c r="T30" i="2"/>
  <c r="T36" i="2"/>
  <c r="T41" i="2"/>
  <c r="U22" i="2"/>
  <c r="U36" i="2"/>
  <c r="U41" i="2"/>
  <c r="V36" i="2"/>
  <c r="V41" i="2"/>
  <c r="W36" i="2"/>
  <c r="W41" i="2"/>
  <c r="X36" i="2"/>
  <c r="X41" i="2"/>
  <c r="Y36" i="2"/>
  <c r="Y41" i="2"/>
  <c r="Z36" i="2"/>
  <c r="Z41" i="2"/>
  <c r="AA36" i="2"/>
  <c r="AA41" i="2"/>
  <c r="V43" i="2"/>
  <c r="V44" i="2"/>
  <c r="AC41" i="2"/>
  <c r="Q139" i="2"/>
  <c r="S139" i="2"/>
  <c r="T139" i="2"/>
  <c r="U139" i="2"/>
  <c r="U140" i="2"/>
  <c r="T140" i="2"/>
  <c r="S140" i="2"/>
  <c r="H2" i="2"/>
  <c r="I2" i="2"/>
  <c r="J2" i="2"/>
  <c r="L2" i="2"/>
  <c r="M12" i="2"/>
  <c r="M21" i="2"/>
  <c r="M22" i="2"/>
  <c r="M2" i="2"/>
  <c r="N2" i="2"/>
  <c r="O12" i="2"/>
  <c r="O21" i="2"/>
  <c r="O22" i="2"/>
  <c r="O2" i="2"/>
  <c r="Q12" i="2"/>
  <c r="Q18" i="2"/>
  <c r="Q21" i="2"/>
  <c r="Q22" i="2"/>
  <c r="Q2" i="2"/>
  <c r="P22" i="2"/>
  <c r="P10" i="2"/>
  <c r="P2" i="2"/>
  <c r="Q29" i="2"/>
  <c r="Q30" i="2"/>
  <c r="Q32" i="2"/>
  <c r="Q36" i="2"/>
  <c r="Q38" i="2"/>
  <c r="Q40" i="2"/>
  <c r="M38" i="2"/>
  <c r="M40" i="2"/>
  <c r="N38" i="2"/>
  <c r="N40" i="2"/>
  <c r="O31" i="2"/>
  <c r="O38" i="2"/>
  <c r="O40" i="2"/>
  <c r="P40" i="2"/>
  <c r="P39" i="2"/>
  <c r="P38" i="2"/>
  <c r="P37" i="2"/>
  <c r="P35" i="2"/>
  <c r="Q34" i="2"/>
  <c r="P33" i="2"/>
  <c r="P28" i="2"/>
  <c r="P27" i="2"/>
  <c r="P26" i="2"/>
  <c r="P25" i="2"/>
  <c r="P24" i="2"/>
  <c r="P23" i="2"/>
  <c r="P21" i="2"/>
  <c r="P20" i="2"/>
  <c r="P19" i="2"/>
  <c r="P18" i="2"/>
  <c r="P17" i="2"/>
  <c r="P13" i="2"/>
  <c r="P12" i="2"/>
  <c r="P11" i="2"/>
  <c r="S167" i="2"/>
  <c r="M167" i="2"/>
  <c r="T167" i="2"/>
  <c r="U167" i="2"/>
  <c r="S168" i="2"/>
  <c r="M168" i="2"/>
  <c r="T168" i="2"/>
  <c r="U168" i="2"/>
  <c r="S169" i="2"/>
  <c r="M169" i="2"/>
  <c r="T169" i="2"/>
  <c r="U169" i="2"/>
  <c r="S170" i="2"/>
  <c r="M170" i="2"/>
  <c r="T170" i="2"/>
  <c r="U170" i="2"/>
  <c r="S171" i="2"/>
  <c r="M171" i="2"/>
  <c r="T171" i="2"/>
  <c r="U171" i="2"/>
  <c r="S172" i="2"/>
  <c r="M172" i="2"/>
  <c r="T172" i="2"/>
  <c r="U172" i="2"/>
  <c r="U166" i="2"/>
  <c r="H172" i="2"/>
  <c r="N172" i="2"/>
  <c r="H171" i="2"/>
  <c r="N171" i="2"/>
  <c r="H170" i="2"/>
  <c r="N170" i="2"/>
  <c r="H169" i="2"/>
  <c r="N169" i="2"/>
  <c r="H168" i="2"/>
  <c r="N168" i="2"/>
  <c r="H167" i="2"/>
  <c r="N167" i="2"/>
  <c r="I172" i="2"/>
  <c r="I171" i="2"/>
  <c r="I170" i="2"/>
  <c r="I169" i="2"/>
  <c r="I168" i="2"/>
  <c r="I167" i="2"/>
  <c r="M126" i="2"/>
  <c r="M128" i="2"/>
  <c r="M114" i="2"/>
  <c r="M119" i="2"/>
  <c r="M129" i="2"/>
  <c r="M101" i="2"/>
  <c r="M107" i="2"/>
  <c r="K126" i="2"/>
  <c r="K128" i="2"/>
  <c r="K114" i="2"/>
  <c r="K119" i="2"/>
  <c r="K129" i="2"/>
  <c r="N126" i="2"/>
  <c r="N128" i="2"/>
  <c r="N114" i="2"/>
  <c r="N117" i="2"/>
  <c r="N119" i="2"/>
  <c r="N129" i="2"/>
  <c r="O126" i="2"/>
  <c r="O128" i="2"/>
  <c r="O114" i="2"/>
  <c r="O117" i="2"/>
  <c r="O119" i="2"/>
  <c r="O129" i="2"/>
  <c r="P126" i="2"/>
  <c r="P128" i="2"/>
  <c r="P114" i="2"/>
  <c r="P119" i="2"/>
  <c r="P129" i="2"/>
  <c r="K101" i="2"/>
  <c r="K107" i="2"/>
  <c r="N101" i="2"/>
  <c r="N107" i="2"/>
  <c r="O101" i="2"/>
  <c r="O107" i="2"/>
  <c r="P101" i="2"/>
  <c r="P107" i="2"/>
  <c r="H85" i="2"/>
  <c r="I85" i="2"/>
  <c r="J85" i="2"/>
  <c r="K85" i="2"/>
  <c r="M85" i="2"/>
  <c r="N85" i="2"/>
  <c r="O85" i="2"/>
  <c r="P85" i="2"/>
  <c r="D10" i="1"/>
  <c r="D16" i="1"/>
  <c r="D19" i="1"/>
  <c r="D20" i="1"/>
  <c r="D29" i="1"/>
  <c r="D30" i="1"/>
  <c r="D32" i="1"/>
  <c r="D34" i="1"/>
  <c r="D36" i="1"/>
  <c r="D38" i="1"/>
  <c r="D40" i="1"/>
  <c r="K2" i="2"/>
</calcChain>
</file>

<file path=xl/sharedStrings.xml><?xml version="1.0" encoding="utf-8"?>
<sst xmlns="http://schemas.openxmlformats.org/spreadsheetml/2006/main" count="595" uniqueCount="357">
  <si>
    <t>Stock-based Compensation</t>
  </si>
  <si>
    <t>Intergroup tax allocation</t>
  </si>
  <si>
    <t>Net Revenue</t>
  </si>
  <si>
    <t>Q3 2015</t>
  </si>
  <si>
    <t>QVC</t>
  </si>
  <si>
    <t>Q2 2015</t>
  </si>
  <si>
    <t>Q1 2015</t>
  </si>
  <si>
    <t>Q4 2014</t>
  </si>
  <si>
    <t>COGS</t>
  </si>
  <si>
    <t>Gross Profit</t>
  </si>
  <si>
    <t>Operating Expenses:</t>
  </si>
  <si>
    <t>Operating</t>
  </si>
  <si>
    <t>SG&amp;A including stock-based compensation</t>
  </si>
  <si>
    <t>Depreciation</t>
  </si>
  <si>
    <t>Amortization</t>
  </si>
  <si>
    <t>Operating Income</t>
  </si>
  <si>
    <t>Other (expense) income:</t>
  </si>
  <si>
    <t>Equity in losses of investee</t>
  </si>
  <si>
    <t>Interest expense, (net)</t>
  </si>
  <si>
    <t>Foreign currency gain</t>
  </si>
  <si>
    <t>Income before income taxes</t>
  </si>
  <si>
    <t>Income tax epense</t>
  </si>
  <si>
    <t>Net Income</t>
  </si>
  <si>
    <t>Less net income attributable to the noncontrolling interest</t>
  </si>
  <si>
    <t>Net Income attributable to QVC Inc. Stock holder</t>
  </si>
  <si>
    <t>Loss on extinguishment of debt</t>
  </si>
  <si>
    <t>Q1-3 2015</t>
  </si>
  <si>
    <t>Q3 2014</t>
  </si>
  <si>
    <t>Foreign currency translation adjustments</t>
  </si>
  <si>
    <t>Total comprehensive income (loss)</t>
  </si>
  <si>
    <t>Comprehensive income attributable to noncontrolling interest</t>
  </si>
  <si>
    <t>Comprehensive income (loss) attributable to QVC, Inc holder</t>
  </si>
  <si>
    <t>Q2 2014</t>
  </si>
  <si>
    <t>Q1 2014</t>
  </si>
  <si>
    <t>Q1-3 2014</t>
  </si>
  <si>
    <t>Just QVC</t>
  </si>
  <si>
    <t>Consolidated Statements of Cash Flows</t>
  </si>
  <si>
    <t>Operating Activities</t>
  </si>
  <si>
    <t>Adjustments to reconcile NI to Net Cash from operations</t>
  </si>
  <si>
    <t>Deferred income taxes</t>
  </si>
  <si>
    <t>Foreign currency (gain) loss</t>
  </si>
  <si>
    <t>Noncash Interest</t>
  </si>
  <si>
    <t>Change in other long-term liabilities</t>
  </si>
  <si>
    <t>Effects of changes in working capital items</t>
  </si>
  <si>
    <t>Net Cash Provided by Operating Activities</t>
  </si>
  <si>
    <t>Investing Activities</t>
  </si>
  <si>
    <t>Capital Expenditures, net</t>
  </si>
  <si>
    <t>Expenditures for cable and satellite TV distribution rights</t>
  </si>
  <si>
    <t>Changes in other noncurrent assets</t>
  </si>
  <si>
    <t>Net cash used in investing activities</t>
  </si>
  <si>
    <t>Financing activities</t>
  </si>
  <si>
    <t>Principal payments of debt and capital lease obligations</t>
  </si>
  <si>
    <t>Principal borrowings of debt from senior secured credit facility</t>
  </si>
  <si>
    <t>Proceeds from issuance of senior secured notes, net of original issue discount</t>
  </si>
  <si>
    <t>Payment of debt origination fess</t>
  </si>
  <si>
    <t>other financing activities</t>
  </si>
  <si>
    <t>Dividends paid to liberty</t>
  </si>
  <si>
    <t>Dividends paid to noncontrolling interest</t>
  </si>
  <si>
    <t>Net Cash used in financing activities</t>
  </si>
  <si>
    <t>Effect of foreign exchange rate changes on cash and cash equivalents</t>
  </si>
  <si>
    <t>Net increase in cash and cash equivalents</t>
  </si>
  <si>
    <t>Increase in prepaid expenses</t>
  </si>
  <si>
    <t>(Decrease) Increase in accounts payable-trade</t>
  </si>
  <si>
    <t>Decrease in addurect liabilities and other</t>
  </si>
  <si>
    <t>Cash &amp; Equivalents, beginning of period</t>
  </si>
  <si>
    <t>Cash &amp; Equivalents, End of Period</t>
  </si>
  <si>
    <t>Q1-2 2015</t>
  </si>
  <si>
    <t>Loss on Extinguishment of debt</t>
  </si>
  <si>
    <t>Payment of bond premium fees</t>
  </si>
  <si>
    <t>Q1-2 2014</t>
  </si>
  <si>
    <t>Decreases in Restricted Cash</t>
  </si>
  <si>
    <t>Other investing activities</t>
  </si>
  <si>
    <t>Q1-4 2015</t>
  </si>
  <si>
    <t>Q1-4 2014</t>
  </si>
  <si>
    <t>Decrease (Increase) in accounts receivable</t>
  </si>
  <si>
    <t>Decrease (Increase) in inventories</t>
  </si>
  <si>
    <t>Cash paid for taxes-to Liberty</t>
  </si>
  <si>
    <t>Cash paid for taxes-other</t>
  </si>
  <si>
    <t>Cash paid for interest</t>
  </si>
  <si>
    <t>Assets</t>
  </si>
  <si>
    <t>Current Assets</t>
  </si>
  <si>
    <t>Cash &amp; equivalents</t>
  </si>
  <si>
    <t>Restricted Cash</t>
  </si>
  <si>
    <t>Accounts receivable, less allowance for allowance for doubtful accounts</t>
  </si>
  <si>
    <t>Inventories</t>
  </si>
  <si>
    <t>Prepaid expenses</t>
  </si>
  <si>
    <t>Total Current assets</t>
  </si>
  <si>
    <t>P&amp;E, net accumulated dpreciation of $941 12/31/15, $884 12/12/14</t>
  </si>
  <si>
    <t>Cable and satellite TV distribution rights, net</t>
  </si>
  <si>
    <t>Goodwill</t>
  </si>
  <si>
    <t>Other intangible assets, next</t>
  </si>
  <si>
    <t>Other noncurrent assets</t>
  </si>
  <si>
    <t>Total Assets</t>
  </si>
  <si>
    <t>Current Liabilities</t>
  </si>
  <si>
    <t>Liabilities and Equity</t>
  </si>
  <si>
    <t>Accounts payable-trade</t>
  </si>
  <si>
    <t>Accrured liabilities</t>
  </si>
  <si>
    <t>Total current liabilities</t>
  </si>
  <si>
    <t>Long-term portion of debt and capital lease obligations</t>
  </si>
  <si>
    <t>other long-term liabilities</t>
  </si>
  <si>
    <t>Total Liabilities</t>
  </si>
  <si>
    <t>Equity</t>
  </si>
  <si>
    <t>QVC, Inc. Stockholder's equity</t>
  </si>
  <si>
    <t>Common stock, $0.01 par value, 1 authorized share</t>
  </si>
  <si>
    <t>Additional paid in capital</t>
  </si>
  <si>
    <t>Accumulated deficit</t>
  </si>
  <si>
    <t>Accumulated other comprehensive loss</t>
  </si>
  <si>
    <t>Total QVC, Inc. stockholder's equity</t>
  </si>
  <si>
    <t>Noncontrolling interest</t>
  </si>
  <si>
    <t>Total Equity</t>
  </si>
  <si>
    <t>Total Liabilities and equity</t>
  </si>
  <si>
    <t>Current portion of debt and capital lease obligations</t>
  </si>
  <si>
    <t>Deferred compensation</t>
  </si>
  <si>
    <t>Q4 2015</t>
  </si>
  <si>
    <t>Gains on financial instruments</t>
  </si>
  <si>
    <t>These numbers are bad: they shuffled around how stock based compensation gets reported</t>
  </si>
  <si>
    <t>Cost of Sales</t>
  </si>
  <si>
    <t>Gross profit</t>
  </si>
  <si>
    <t>Operating Expenses</t>
  </si>
  <si>
    <t>SG&amp;A (excluding sotkc based compensation)</t>
  </si>
  <si>
    <t>Adjusted OIBDA</t>
  </si>
  <si>
    <t>Acquisition related expenses</t>
  </si>
  <si>
    <t>Stock-based compensation</t>
  </si>
  <si>
    <t>Depreciation &amp; amortization</t>
  </si>
  <si>
    <t>Deferred revenue adjustment</t>
  </si>
  <si>
    <t>Operating income(loss)</t>
  </si>
  <si>
    <t>Deferred Income Taxes*</t>
  </si>
  <si>
    <t>zulily annual performance</t>
  </si>
  <si>
    <t>Short Term Investments</t>
  </si>
  <si>
    <t>Deferred income taxes- net</t>
  </si>
  <si>
    <t>Deferred Revenue</t>
  </si>
  <si>
    <t>Preferred stock, 2,000,000 authorized, 0 issued</t>
  </si>
  <si>
    <t>Class A common stock</t>
  </si>
  <si>
    <t>Class B</t>
  </si>
  <si>
    <t>Treasury Stock, at cost- 2,263,189 as of june 28 2015</t>
  </si>
  <si>
    <t>Additional paid-in capital</t>
  </si>
  <si>
    <t>accumulated other comprehensive loss</t>
  </si>
  <si>
    <t>accumulated deficit</t>
  </si>
  <si>
    <t>Total liabilities and equity</t>
  </si>
  <si>
    <t>Income Statement</t>
  </si>
  <si>
    <t>Balance Sheet</t>
  </si>
  <si>
    <t>Still QVC</t>
  </si>
  <si>
    <t>zulily</t>
  </si>
  <si>
    <t>Class A authorized</t>
  </si>
  <si>
    <t>Class A issued</t>
  </si>
  <si>
    <t>Class A outstanding</t>
  </si>
  <si>
    <t>Class B authorized</t>
  </si>
  <si>
    <t>Class B issued</t>
  </si>
  <si>
    <t>Class B outstanding</t>
  </si>
  <si>
    <t>Class A Treasury Stock:</t>
  </si>
  <si>
    <t>Q4 2013</t>
  </si>
  <si>
    <t>P&amp;E</t>
  </si>
  <si>
    <t>Class A outstanding + Class B Outstanding</t>
  </si>
  <si>
    <t>Net Sales</t>
  </si>
  <si>
    <t>Marketing</t>
  </si>
  <si>
    <t>SG&amp;A</t>
  </si>
  <si>
    <t>Total Operating Expenses</t>
  </si>
  <si>
    <t>Loss From Operations</t>
  </si>
  <si>
    <t>Interest Income (Expense)- Net</t>
  </si>
  <si>
    <t>Other Income (Expense)- Net</t>
  </si>
  <si>
    <t>Net Gain (Loss) Before Provision for Income Taxes</t>
  </si>
  <si>
    <t>Provision (Benefit) for Income Taxes</t>
  </si>
  <si>
    <t>Net Gain (Loss)</t>
  </si>
  <si>
    <t>Net loss Attributable to Class A &amp; B shareholders</t>
  </si>
  <si>
    <t>Basic EPS</t>
  </si>
  <si>
    <t>Diluted EPS</t>
  </si>
  <si>
    <t>Weighted average shares outstanding used to compute net gain</t>
  </si>
  <si>
    <t>Basic</t>
  </si>
  <si>
    <t>Diluted</t>
  </si>
  <si>
    <t>Cash Flows</t>
  </si>
  <si>
    <t>Cash Flows from Operating Activities</t>
  </si>
  <si>
    <t>Net Loss</t>
  </si>
  <si>
    <t>Adjustments to reconcile net loss to net cash (used in) provided by operating activities</t>
  </si>
  <si>
    <t>Depreciation &amp; Amortization</t>
  </si>
  <si>
    <t>Excess tax benefit from stock-based compensation</t>
  </si>
  <si>
    <t>Loss on disposal of assets</t>
  </si>
  <si>
    <t>Other</t>
  </si>
  <si>
    <t>Changes in Operating assets and liabilities:</t>
  </si>
  <si>
    <t>Acounts recievable</t>
  </si>
  <si>
    <t>Prepaid expenses and othe assets</t>
  </si>
  <si>
    <t>Accounts payable</t>
  </si>
  <si>
    <t>Accrued expenses and other liabilities</t>
  </si>
  <si>
    <t>Deferred revenue</t>
  </si>
  <si>
    <t>Net Cash (used in) provided by operating activities</t>
  </si>
  <si>
    <t>Cash flows from investing Activities</t>
  </si>
  <si>
    <t>Capital expenditures</t>
  </si>
  <si>
    <t>Purchases of short-term and other investments</t>
  </si>
  <si>
    <t>Proceeds from maturity and sale of short-term and other investments</t>
  </si>
  <si>
    <t>Net cash provided by (used in) investing activities</t>
  </si>
  <si>
    <t>Cash Flows from Financing Activities</t>
  </si>
  <si>
    <t>Proceeds from exercise of stock options</t>
  </si>
  <si>
    <t>Payments of deferred offering costs</t>
  </si>
  <si>
    <t>Debt Issuance costs</t>
  </si>
  <si>
    <t>Repurchase of Class A common stock</t>
  </si>
  <si>
    <t>Net cash used in financing activities</t>
  </si>
  <si>
    <t>Effect of exchange rate changes on cash and cash equivalents</t>
  </si>
  <si>
    <t>Net Increase (decrease) in cash and cash equivalents</t>
  </si>
  <si>
    <t>Cash and Cash Equivalents- Beginning of period</t>
  </si>
  <si>
    <t>Cash &amp; equivalents- end of period</t>
  </si>
  <si>
    <t>Supplemental disclosure of noncash investing activities</t>
  </si>
  <si>
    <t>Payable for capital purchases</t>
  </si>
  <si>
    <t>Stock-based compensation capitalized</t>
  </si>
  <si>
    <t>ZU shares</t>
  </si>
  <si>
    <t>Cash per share</t>
  </si>
  <si>
    <t>Revenue % by segment</t>
  </si>
  <si>
    <t>Home</t>
  </si>
  <si>
    <t>Beauty</t>
  </si>
  <si>
    <t>Apparel</t>
  </si>
  <si>
    <t>Jewelry</t>
  </si>
  <si>
    <t>Accessories</t>
  </si>
  <si>
    <t>Electronics</t>
  </si>
  <si>
    <t>Revenue  By Region</t>
  </si>
  <si>
    <t>QVC US</t>
  </si>
  <si>
    <t>QVC Germany</t>
  </si>
  <si>
    <t>Japan</t>
  </si>
  <si>
    <t>UK</t>
  </si>
  <si>
    <t>Revenue Growth Local Currency</t>
  </si>
  <si>
    <t xml:space="preserve">US </t>
  </si>
  <si>
    <t>Germany</t>
  </si>
  <si>
    <t>Revenue Growth  USD</t>
  </si>
  <si>
    <t>Other Countries</t>
  </si>
  <si>
    <t>QVC.com Revenue</t>
  </si>
  <si>
    <t>Qvc.com % growth</t>
  </si>
  <si>
    <t>qvc tv % grwoth</t>
  </si>
  <si>
    <t>total % growth</t>
  </si>
  <si>
    <t>E-commerce sales growth (source: FRED)</t>
  </si>
  <si>
    <t>Retail Sales growth (FRED)</t>
  </si>
  <si>
    <t># of Employees</t>
  </si>
  <si>
    <t xml:space="preserve">Try sending a letter to the financial department </t>
  </si>
  <si>
    <t xml:space="preserve">What about an email? </t>
  </si>
  <si>
    <t>Ronnie.Prentice</t>
  </si>
  <si>
    <t>1200 Wilson Dr. West Chester Pennsylvania 19380</t>
  </si>
  <si>
    <t>Qvc financial department</t>
  </si>
  <si>
    <t>Property &amp; Equipment, Net</t>
  </si>
  <si>
    <t>Land</t>
  </si>
  <si>
    <t>Buildings &amp; improvements</t>
  </si>
  <si>
    <t>Furniture &amp; other equipment</t>
  </si>
  <si>
    <t>Broadcast equipment</t>
  </si>
  <si>
    <t>Computer equipment</t>
  </si>
  <si>
    <t>Transponders</t>
  </si>
  <si>
    <t>Projects in progress</t>
  </si>
  <si>
    <t>Less accumulated Depreciation</t>
  </si>
  <si>
    <t>N/A</t>
  </si>
  <si>
    <t>8-20 Years</t>
  </si>
  <si>
    <t>2-8 Years</t>
  </si>
  <si>
    <t>3-5 Years</t>
  </si>
  <si>
    <t>2-4 Years</t>
  </si>
  <si>
    <t>8-15 Years</t>
  </si>
  <si>
    <t>Cable &amp; Satellite TV Distribution Rights, Net</t>
  </si>
  <si>
    <t>Rights</t>
  </si>
  <si>
    <t>Less Accumulated Amortization</t>
  </si>
  <si>
    <t>Net</t>
  </si>
  <si>
    <t>Amortization Expense</t>
  </si>
  <si>
    <t>Weighted average of lives</t>
  </si>
  <si>
    <t>7.375% Senior Secured Notes due 2020</t>
  </si>
  <si>
    <t>—</t>
  </si>
  <si>
    <t>5.125% Senior Secured Notes due 2022</t>
  </si>
  <si>
    <t>4.375% Senior Secured Notes due 2023, net of original issue discount</t>
  </si>
  <si>
    <t>4.85% Senior Secured Notes due 2024, net of original issue discount</t>
  </si>
  <si>
    <t>4.45% Senior Secured Notes due 2025, net of original issue discount</t>
  </si>
  <si>
    <t>5.45% Senior Secured Notes due 2034, net of original issue discount</t>
  </si>
  <si>
    <t>5.95% Senior Secured Notes due 2043, net of original issue discount</t>
  </si>
  <si>
    <t>Senior secured credit facility</t>
  </si>
  <si>
    <t>Capital lease obligations</t>
  </si>
  <si>
    <t>Less debt issuance costs, net</t>
  </si>
  <si>
    <t>Total debt</t>
  </si>
  <si>
    <t>Less current portion</t>
  </si>
  <si>
    <t>3.125% Senior Secured Notes due 2019, net of original issue discount</t>
  </si>
  <si>
    <t>SG&amp;A excluding stock-based compensation</t>
  </si>
  <si>
    <t>Stock-Based Compensation</t>
  </si>
  <si>
    <t>Increase in ASP</t>
  </si>
  <si>
    <t>Increase in Units sold</t>
  </si>
  <si>
    <t>Returns as a percent of gross product revenue</t>
  </si>
  <si>
    <t>% Revenue from repeat &amp; reactivated customers</t>
  </si>
  <si>
    <t># of new customers</t>
  </si>
  <si>
    <t>Households Reached</t>
  </si>
  <si>
    <t>Products Shown per week</t>
  </si>
  <si>
    <t>Products shipped</t>
  </si>
  <si>
    <t>Shipped within 48 hours</t>
  </si>
  <si>
    <t># of calls</t>
  </si>
  <si>
    <t>Customers served</t>
  </si>
  <si>
    <t>US households</t>
  </si>
  <si>
    <t>International Households</t>
  </si>
  <si>
    <t>Chinese Households</t>
  </si>
  <si>
    <t>% of new US customers who made first purchse with QVC.com</t>
  </si>
  <si>
    <t>Commissions to program distributors</t>
  </si>
  <si>
    <t>Total reduction in net revenue due to returns</t>
  </si>
  <si>
    <t>Gross Profit margin</t>
  </si>
  <si>
    <t>??</t>
  </si>
  <si>
    <t>Q3 2013</t>
  </si>
  <si>
    <t>Q2 2013</t>
  </si>
  <si>
    <t>Q1 2013</t>
  </si>
  <si>
    <t>Other Financing activities</t>
  </si>
  <si>
    <t>Q1 2016</t>
  </si>
  <si>
    <t>SG&amp;A excluding stock Based comp</t>
  </si>
  <si>
    <t>Stock Based Compensation</t>
  </si>
  <si>
    <t>SG&amp;A Excluding Stock-based Comp</t>
  </si>
  <si>
    <t>Stock Based Comp</t>
  </si>
  <si>
    <t>Amortization of Intangible Assets</t>
  </si>
  <si>
    <t>QVC &amp; Zulily Revenue</t>
  </si>
  <si>
    <t>Overlap</t>
  </si>
  <si>
    <t>Share of Earnings (losses) of affiliates, net</t>
  </si>
  <si>
    <t>Cash Payments for stock based compensation</t>
  </si>
  <si>
    <t>Share of (earnings) losses of affiliates, net</t>
  </si>
  <si>
    <t>Cash receipts from return on equity instruments</t>
  </si>
  <si>
    <t>Realized &amp; unrealized gains (losses) on finanial instruments,net</t>
  </si>
  <si>
    <t>Deferred income tax (benefit) expense</t>
  </si>
  <si>
    <t>Other, net</t>
  </si>
  <si>
    <t>Intergroup tax (payments) receipts</t>
  </si>
  <si>
    <t>Changes in operating assets and liabilities</t>
  </si>
  <si>
    <t>Current &amp; other assets</t>
  </si>
  <si>
    <t>Payables &amp; other current liabilities</t>
  </si>
  <si>
    <t>Capital Expenditures for property &amp; equipment</t>
  </si>
  <si>
    <t>Purchase of ST Marketable Securities</t>
  </si>
  <si>
    <t>Sale of ST Marketable securites</t>
  </si>
  <si>
    <t>Stock Repurchases</t>
  </si>
  <si>
    <t>2016E</t>
  </si>
  <si>
    <t>2017E</t>
  </si>
  <si>
    <t>2018E</t>
  </si>
  <si>
    <t>PV of NI for next 9 Years:</t>
  </si>
  <si>
    <t>Divided by 123M Shares outstanding:</t>
  </si>
  <si>
    <t>EPS for Shares Outstanding</t>
  </si>
  <si>
    <t>Gross Margin:</t>
  </si>
  <si>
    <t xml:space="preserve">Gross Margin Estimate: </t>
  </si>
  <si>
    <t>Stock Comp</t>
  </si>
  <si>
    <t>Back-of-Napkin Valuation for QVC Standalone</t>
  </si>
  <si>
    <t>PV of NI, 12% discount:</t>
  </si>
  <si>
    <t>Gross Margin Estimate:</t>
  </si>
  <si>
    <t>COGS as % of Revenue</t>
  </si>
  <si>
    <t>SG&amp;A as % of Revenue</t>
  </si>
  <si>
    <t>Operating as % of Revenue</t>
  </si>
  <si>
    <t>SG&amp;A Growth Rate</t>
  </si>
  <si>
    <t>Operating Expenses Growth Rate</t>
  </si>
  <si>
    <t>Year</t>
  </si>
  <si>
    <t>Sales Growth Rate</t>
  </si>
  <si>
    <t>Operating Expenses as % of Revenue</t>
  </si>
  <si>
    <t>8.5% Senior Debentures due 2029</t>
  </si>
  <si>
    <t>8.25% Senior Debentures due 2030</t>
  </si>
  <si>
    <t>1% Exchangeable Senior Debentures due 2043</t>
  </si>
  <si>
    <t>Total Interest Payable</t>
  </si>
  <si>
    <t>Avg. purchase Price</t>
  </si>
  <si>
    <t>Number Repurchased</t>
  </si>
  <si>
    <t>Beginnging Shares (Diluted)</t>
  </si>
  <si>
    <t>End Shares</t>
  </si>
  <si>
    <t>Y1 Discounted Cashflows</t>
  </si>
  <si>
    <t>Y2 Discounted Cashflows</t>
  </si>
  <si>
    <t>Discount Rate</t>
  </si>
  <si>
    <t>Debt Level:</t>
  </si>
  <si>
    <t>Fair Equity Value</t>
  </si>
  <si>
    <t>Share Price</t>
  </si>
  <si>
    <t>Cash End of Period</t>
  </si>
  <si>
    <t>Perpetuity Growth Rate</t>
  </si>
  <si>
    <t>Perpetuity Value, 2026</t>
  </si>
  <si>
    <t>PV of CF's</t>
  </si>
  <si>
    <t>Perpetuity</t>
  </si>
  <si>
    <t>QVC TV revenue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</si>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</sst>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#,##0.0"/>
    <numFmt numFmtId="165" formatCode="#,##0.000"/>
    <numFmt numFmtId="166" formatCode="#,##0.0000"/>
    <numFmt numFmtId="167" formatCode="0.0%"/>
    <numFmt numFmtId="168" formatCode="0.0"/>
    <numFmt numFmtId="169" formatCode="0.00000"/>
    <numFmt numFmtId="172" formatCode="yyyy"/>
  </numFmts>
  <fonts count="12" x14ac:knownFonts="1">
    <font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1"/>
      <color theme="1"/>
      <name val="Helvetica"/>
    </font>
    <font>
      <i/>
      <sz val="11"/>
      <color theme="1"/>
      <name val="Helvetica"/>
    </font>
    <font>
      <b/>
      <i/>
      <u/>
      <sz val="11"/>
      <color theme="1"/>
      <name val="Helvetica"/>
    </font>
    <font>
      <b/>
      <sz val="12"/>
      <color theme="1"/>
      <name val="Helvetica"/>
    </font>
    <font>
      <sz val="11"/>
      <color theme="1"/>
      <name val="Helvetica"/>
      <family val="2"/>
    </font>
    <font>
      <sz val="10"/>
      <color theme="1"/>
      <name val="Times New Roman"/>
    </font>
    <font>
      <sz val="10"/>
      <color theme="1"/>
      <name val="Inherit"/>
    </font>
    <font>
      <b/>
      <i/>
      <sz val="11"/>
      <color theme="1"/>
      <name val="Helvetica"/>
    </font>
    <font>
      <b/>
      <sz val="16"/>
      <color theme="1"/>
      <name val="Helvetica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2" borderId="0" xfId="0" applyFont="1" applyFill="1"/>
    <xf numFmtId="0" fontId="0" fillId="0" borderId="0" xfId="0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6" fillId="8" borderId="0" xfId="0" applyFont="1" applyFill="1"/>
    <xf numFmtId="0" fontId="0" fillId="9" borderId="0" xfId="0" applyFill="1"/>
    <xf numFmtId="0" fontId="0" fillId="10" borderId="0" xfId="0" applyFill="1"/>
    <xf numFmtId="0" fontId="4" fillId="10" borderId="0" xfId="0" applyFont="1" applyFill="1"/>
    <xf numFmtId="0" fontId="4" fillId="0" borderId="0" xfId="0" applyFont="1"/>
    <xf numFmtId="166" fontId="0" fillId="0" borderId="0" xfId="0" applyNumberFormat="1"/>
    <xf numFmtId="166" fontId="3" fillId="0" borderId="0" xfId="0" applyNumberFormat="1" applyFont="1"/>
    <xf numFmtId="0" fontId="0" fillId="11" borderId="0" xfId="0" applyFill="1"/>
    <xf numFmtId="166" fontId="0" fillId="11" borderId="0" xfId="0" applyNumberFormat="1" applyFill="1"/>
    <xf numFmtId="9" fontId="0" fillId="0" borderId="0" xfId="1" applyFont="1"/>
    <xf numFmtId="167" fontId="0" fillId="0" borderId="0" xfId="1" applyNumberFormat="1" applyFont="1"/>
    <xf numFmtId="0" fontId="0" fillId="0" borderId="0" xfId="0" applyNumberFormat="1"/>
    <xf numFmtId="10" fontId="0" fillId="0" borderId="0" xfId="0" applyNumberFormat="1"/>
    <xf numFmtId="0" fontId="0" fillId="0" borderId="0" xfId="1" applyNumberFormat="1" applyFont="1"/>
    <xf numFmtId="9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3" fillId="12" borderId="0" xfId="0" applyFont="1" applyFill="1"/>
    <xf numFmtId="0" fontId="0" fillId="12" borderId="0" xfId="0" applyFill="1"/>
    <xf numFmtId="167" fontId="0" fillId="12" borderId="0" xfId="1" applyNumberFormat="1" applyFont="1" applyFill="1"/>
    <xf numFmtId="0" fontId="0" fillId="12" borderId="0" xfId="0" applyNumberFormat="1" applyFill="1"/>
    <xf numFmtId="0" fontId="0" fillId="12" borderId="0" xfId="1" applyNumberFormat="1" applyFont="1" applyFill="1"/>
    <xf numFmtId="9" fontId="0" fillId="12" borderId="0" xfId="1" applyFont="1" applyFill="1"/>
    <xf numFmtId="0" fontId="0" fillId="6" borderId="0" xfId="0" applyFill="1" applyAlignment="1">
      <alignment horizontal="right"/>
    </xf>
    <xf numFmtId="0" fontId="2" fillId="12" borderId="0" xfId="0" applyFont="1" applyFill="1"/>
    <xf numFmtId="0" fontId="0" fillId="13" borderId="0" xfId="0" applyFill="1"/>
    <xf numFmtId="167" fontId="0" fillId="13" borderId="0" xfId="1" applyNumberFormat="1" applyFont="1" applyFill="1"/>
    <xf numFmtId="0" fontId="9" fillId="0" borderId="0" xfId="0" applyFont="1"/>
    <xf numFmtId="0" fontId="9" fillId="0" borderId="0" xfId="0" applyFont="1" applyAlignment="1"/>
    <xf numFmtId="3" fontId="9" fillId="0" borderId="0" xfId="0" applyNumberFormat="1" applyFont="1" applyAlignme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6" fontId="2" fillId="11" borderId="0" xfId="0" applyNumberFormat="1" applyFont="1" applyFill="1"/>
    <xf numFmtId="2" fontId="2" fillId="11" borderId="0" xfId="0" applyNumberFormat="1" applyFont="1" applyFill="1"/>
    <xf numFmtId="0" fontId="0" fillId="12" borderId="0" xfId="0" applyFont="1" applyFill="1"/>
    <xf numFmtId="0" fontId="0" fillId="0" borderId="0" xfId="0" applyFont="1" applyFill="1"/>
    <xf numFmtId="0" fontId="2" fillId="6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Fill="1"/>
    <xf numFmtId="3" fontId="0" fillId="0" borderId="0" xfId="0" applyNumberFormat="1" applyFill="1"/>
    <xf numFmtId="164" fontId="3" fillId="0" borderId="0" xfId="0" applyNumberFormat="1" applyFont="1" applyFill="1"/>
    <xf numFmtId="3" fontId="3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6" fontId="3" fillId="0" borderId="0" xfId="0" applyNumberFormat="1" applyFont="1" applyFill="1"/>
    <xf numFmtId="0" fontId="10" fillId="0" borderId="0" xfId="0" applyFont="1"/>
    <xf numFmtId="2" fontId="4" fillId="0" borderId="0" xfId="0" applyNumberFormat="1" applyFont="1"/>
    <xf numFmtId="0" fontId="0" fillId="14" borderId="0" xfId="0" applyFill="1"/>
    <xf numFmtId="0" fontId="0" fillId="0" borderId="0" xfId="0" applyAlignment="1"/>
    <xf numFmtId="169" fontId="0" fillId="0" borderId="0" xfId="0" applyNumberFormat="1"/>
    <xf numFmtId="2" fontId="3" fillId="0" borderId="0" xfId="0" applyNumberFormat="1" applyFont="1" applyFill="1"/>
    <xf numFmtId="0" fontId="9" fillId="0" borderId="0" xfId="0" applyFont="1" applyFill="1"/>
    <xf numFmtId="2" fontId="3" fillId="6" borderId="0" xfId="0" applyNumberFormat="1" applyFont="1" applyFill="1"/>
    <xf numFmtId="2" fontId="0" fillId="6" borderId="0" xfId="0" applyNumberFormat="1" applyFill="1"/>
    <xf numFmtId="44" fontId="0" fillId="0" borderId="0" xfId="2" applyFont="1" applyFill="1"/>
    <xf numFmtId="0" fontId="11" fillId="0" borderId="0" xfId="0" applyFont="1" applyFill="1"/>
    <xf numFmtId="44" fontId="2" fillId="0" borderId="0" xfId="2" applyFont="1" applyFill="1"/>
    <xf numFmtId="44" fontId="0" fillId="0" borderId="0" xfId="0" applyNumberFormat="1" applyFill="1"/>
    <xf numFmtId="0" fontId="2" fillId="7" borderId="0" xfId="0" applyFont="1" applyFill="1"/>
    <xf numFmtId="0" fontId="9" fillId="7" borderId="0" xfId="0" applyFont="1" applyFill="1" applyAlignment="1"/>
    <xf numFmtId="3" fontId="9" fillId="7" borderId="0" xfId="0" applyNumberFormat="1" applyFont="1" applyFill="1" applyAlignment="1"/>
    <xf numFmtId="0" fontId="0" fillId="15" borderId="0" xfId="0" applyFill="1"/>
    <xf numFmtId="0" fontId="6" fillId="11" borderId="0" xfId="0" applyFont="1" applyFill="1"/>
    <xf numFmtId="44" fontId="6" fillId="11" borderId="0" xfId="0" applyNumberFormat="1" applyFont="1" applyFill="1"/>
    <xf numFmtId="0" fontId="2" fillId="11" borderId="0" xfId="0" applyFont="1" applyFill="1"/>
    <xf numFmtId="44" fontId="0" fillId="0" borderId="0" xfId="2" applyFont="1"/>
    <xf numFmtId="9" fontId="6" fillId="11" borderId="0" xfId="1" applyFont="1" applyFill="1"/>
    <xf numFmtId="167" fontId="2" fillId="7" borderId="0" xfId="0" applyNumberFormat="1" applyFont="1" applyFill="1"/>
    <xf numFmtId="9" fontId="0" fillId="0" borderId="0" xfId="0" applyNumberFormat="1" applyFill="1"/>
    <xf numFmtId="167" fontId="0" fillId="0" borderId="0" xfId="0" applyNumberFormat="1" applyFill="1"/>
    <xf numFmtId="167" fontId="2" fillId="7" borderId="0" xfId="1" applyNumberFormat="1" applyFont="1" applyFill="1"/>
    <xf numFmtId="0" fontId="0" fillId="2" borderId="0" xfId="0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2" fillId="0" borderId="0" xfId="0" applyFont="1" applyAlignment="1">
      <alignment horizontal="center"/>
    </xf>
    <xf numFmtId="172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Sales: TV vs. Web ($MM)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6736501687289"/>
          <c:y val="0.128728070175439"/>
          <c:w val="0.909702723457645"/>
          <c:h val="0.712834004302094"/>
        </c:manualLayout>
      </c:layout>
      <c:lineChart>
        <c:grouping val="standard"/>
        <c:varyColors val="0"/>
        <c:ser>
          <c:idx val="0"/>
          <c:order val="0"/>
          <c:tx>
            <c:strRef>
              <c:f>QVC!$C$155</c:f>
              <c:strCache>
                <c:ptCount val="1"/>
                <c:pt idx="0">
                  <c:v>QVC.com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QVC!$D$154:$M$154</c:f>
              <c:numCache>
                <c:formatCode>yyyy</c:formatCode>
                <c:ptCount val="6"/>
                <c:pt idx="0">
                  <c:v>40179.0</c:v>
                </c:pt>
                <c:pt idx="1">
                  <c:v>40544.0</c:v>
                </c:pt>
                <c:pt idx="2">
                  <c:v>40909.0</c:v>
                </c:pt>
                <c:pt idx="3">
                  <c:v>41275.0</c:v>
                </c:pt>
                <c:pt idx="4">
                  <c:v>41640.0</c:v>
                </c:pt>
                <c:pt idx="5">
                  <c:v>42005.0</c:v>
                </c:pt>
              </c:numCache>
            </c:numRef>
          </c:cat>
          <c:val>
            <c:numRef>
              <c:f>QVC!$D$155:$M$155</c:f>
              <c:numCache>
                <c:formatCode>General</c:formatCode>
                <c:ptCount val="6"/>
                <c:pt idx="0">
                  <c:v>1728.0</c:v>
                </c:pt>
                <c:pt idx="1">
                  <c:v>1993.0</c:v>
                </c:pt>
                <c:pt idx="2">
                  <c:v>2239.0</c:v>
                </c:pt>
                <c:pt idx="3">
                  <c:v>2501.0</c:v>
                </c:pt>
                <c:pt idx="4">
                  <c:v>2740.0</c:v>
                </c:pt>
                <c:pt idx="5">
                  <c:v>3059.0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QVC!$C$156</c:f>
              <c:strCache>
                <c:ptCount val="1"/>
                <c:pt idx="0">
                  <c:v>QVC TV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QVC!$D$154:$M$154</c:f>
              <c:numCache>
                <c:formatCode>yyyy</c:formatCode>
                <c:ptCount val="6"/>
                <c:pt idx="0">
                  <c:v>40179.0</c:v>
                </c:pt>
                <c:pt idx="1">
                  <c:v>40544.0</c:v>
                </c:pt>
                <c:pt idx="2">
                  <c:v>40909.0</c:v>
                </c:pt>
                <c:pt idx="3">
                  <c:v>41275.0</c:v>
                </c:pt>
                <c:pt idx="4">
                  <c:v>41640.0</c:v>
                </c:pt>
                <c:pt idx="5">
                  <c:v>42005.0</c:v>
                </c:pt>
              </c:numCache>
            </c:numRef>
          </c:cat>
          <c:val>
            <c:numRef>
              <c:f>QVC!$D$156:$M$156</c:f>
              <c:numCache>
                <c:formatCode>General</c:formatCode>
                <c:ptCount val="6"/>
                <c:pt idx="0">
                  <c:v>3513.0</c:v>
                </c:pt>
                <c:pt idx="1">
                  <c:v>3419.0</c:v>
                </c:pt>
                <c:pt idx="2">
                  <c:v>3346.0</c:v>
                </c:pt>
                <c:pt idx="3">
                  <c:v>3343.0</c:v>
                </c:pt>
                <c:pt idx="4">
                  <c:v>3315.0</c:v>
                </c:pt>
                <c:pt idx="5">
                  <c:v>3198.0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QVC!$C$157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QVC!$D$154:$M$154</c:f>
              <c:numCache>
                <c:formatCode>yyyy</c:formatCode>
                <c:ptCount val="6"/>
                <c:pt idx="0">
                  <c:v>40179.0</c:v>
                </c:pt>
                <c:pt idx="1">
                  <c:v>40544.0</c:v>
                </c:pt>
                <c:pt idx="2">
                  <c:v>40909.0</c:v>
                </c:pt>
                <c:pt idx="3">
                  <c:v>41275.0</c:v>
                </c:pt>
                <c:pt idx="4">
                  <c:v>41640.0</c:v>
                </c:pt>
                <c:pt idx="5">
                  <c:v>42005.0</c:v>
                </c:pt>
              </c:numCache>
            </c:numRef>
          </c:cat>
          <c:val>
            <c:numRef>
              <c:f>QVC!$D$157:$M$157</c:f>
              <c:numCache>
                <c:formatCode>General</c:formatCode>
                <c:ptCount val="6"/>
                <c:pt idx="0">
                  <c:v>5241.0</c:v>
                </c:pt>
                <c:pt idx="1">
                  <c:v>5412.0</c:v>
                </c:pt>
                <c:pt idx="2">
                  <c:v>5585.0</c:v>
                </c:pt>
                <c:pt idx="3">
                  <c:v>5844.0</c:v>
                </c:pt>
                <c:pt idx="4">
                  <c:v>6055.0</c:v>
                </c:pt>
                <c:pt idx="5">
                  <c:v>6257.0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4763056"/>
        <c:axId val="802878096"/>
      </c:lineChart>
      <c:dateAx>
        <c:axId val="1144763056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78096"/>
        <c:crosses val="autoZero"/>
        <c:auto val="1"/>
        <c:lblOffset val="100"/>
        <c:baseTimeUnit val="years"/>
      </c:dateAx>
      <c:valAx>
        <c:axId val="802878096"/>
        <c:scaling>
          <c:orientation val="minMax"/>
          <c:min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63056"/>
        <c:crossesAt val="40179.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1371600</xdr:colOff>
      <xdr:row>119</xdr:row>
      <xdr:rowOff>0</xdr:rowOff>
    </xdr:from>
    <xdr:to>
      <xdr:col>12</xdr:col>
      <xdr:colOff>254000</xdr:colOff>
      <xdr:row>140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4"/>
  <sheetViews>
    <sheetView zoomScale="75" workbookViewId="0">
      <selection activeCell="H34" sqref="H34"/>
    </sheetView>
  </sheetViews>
  <sheetFormatPr baseColWidth="10" defaultColWidth="11" defaultRowHeight="15" x14ac:dyDescent="0.2"/>
  <cols>
    <col min="1" max="1" width="19" customWidth="1"/>
    <col min="2" max="2" width="53.5" customWidth="1"/>
    <col min="5" max="5" width="21.6640625" customWidth="1"/>
    <col min="7" max="7" width="17.33203125" customWidth="1"/>
    <col min="8" max="8" width="16.1640625" bestFit="1" customWidth="1"/>
    <col min="9" max="9" width="11.83203125" bestFit="1" customWidth="1"/>
    <col min="10" max="10" width="12" customWidth="1"/>
  </cols>
  <sheetData>
    <row r="1" spans="1:18" x14ac:dyDescent="0.2">
      <c r="C1">
        <v>2014</v>
      </c>
      <c r="D1">
        <v>2015</v>
      </c>
      <c r="E1" t="s">
        <v>293</v>
      </c>
    </row>
    <row r="4" spans="1:18" x14ac:dyDescent="0.2">
      <c r="A4" s="98"/>
      <c r="B4" s="98"/>
    </row>
    <row r="5" spans="1:18" x14ac:dyDescent="0.2">
      <c r="A5" s="98"/>
      <c r="B5" s="98"/>
      <c r="D5" s="3">
        <v>2015</v>
      </c>
      <c r="E5" s="3"/>
      <c r="F5" s="3"/>
      <c r="G5" s="3"/>
      <c r="H5" s="3">
        <v>2016</v>
      </c>
      <c r="I5" s="3">
        <v>2017</v>
      </c>
      <c r="J5" s="3">
        <v>2018</v>
      </c>
      <c r="K5" s="3">
        <v>2019</v>
      </c>
      <c r="L5" s="3">
        <v>2020</v>
      </c>
      <c r="M5" s="1">
        <v>2021</v>
      </c>
      <c r="N5" s="1">
        <v>2022</v>
      </c>
      <c r="O5" s="1">
        <v>2023</v>
      </c>
      <c r="P5" s="1">
        <v>2024</v>
      </c>
      <c r="Q5" s="1">
        <v>2025</v>
      </c>
      <c r="R5" s="1"/>
    </row>
    <row r="6" spans="1:18" x14ac:dyDescent="0.2">
      <c r="A6" s="35"/>
      <c r="B6" s="35" t="s">
        <v>299</v>
      </c>
      <c r="D6" s="3"/>
      <c r="E6" s="1">
        <f>355+QVC!R10</f>
        <v>2368</v>
      </c>
      <c r="F6" s="3"/>
      <c r="G6" s="3"/>
      <c r="H6" s="3"/>
      <c r="I6" s="3"/>
      <c r="J6" s="3"/>
      <c r="K6" s="3"/>
      <c r="L6" s="3"/>
    </row>
    <row r="7" spans="1:18" x14ac:dyDescent="0.2">
      <c r="A7" s="35"/>
      <c r="B7" s="35" t="s">
        <v>300</v>
      </c>
      <c r="D7" s="3"/>
      <c r="E7" s="2">
        <f>-1</f>
        <v>-1</v>
      </c>
      <c r="F7" s="3"/>
      <c r="G7" s="3"/>
      <c r="H7" s="3"/>
      <c r="I7" s="3"/>
      <c r="J7" s="3"/>
      <c r="K7" s="3"/>
      <c r="L7" s="3"/>
    </row>
    <row r="8" spans="1:18" x14ac:dyDescent="0.2">
      <c r="A8" s="8" t="s">
        <v>139</v>
      </c>
      <c r="B8" t="s">
        <v>2</v>
      </c>
      <c r="D8" s="3">
        <v>8743</v>
      </c>
      <c r="E8" s="1">
        <f>E6+E7</f>
        <v>2367</v>
      </c>
      <c r="F8" s="3"/>
      <c r="G8" s="3"/>
      <c r="H8" s="3">
        <f>QVC!S10+zulily!Y75</f>
        <v>10494.050000000001</v>
      </c>
      <c r="I8" s="3">
        <f>QVC!T10+zulily!Z75</f>
        <v>10881.6119</v>
      </c>
      <c r="J8" s="3">
        <f>QVC!U10+zulily!AA75</f>
        <v>11167.010139000002</v>
      </c>
      <c r="K8" s="3">
        <f>QVC!V10+zulily!AB75</f>
        <v>11443.221925380001</v>
      </c>
      <c r="L8" s="3">
        <f>QVC!W10+zulily!AC75</f>
        <v>11690.591418147602</v>
      </c>
      <c r="M8" s="3">
        <f>QVC!X10+zulily!AD75</f>
        <v>11943.463452398353</v>
      </c>
      <c r="N8" s="3">
        <f>QVC!Y10+zulily!AE75</f>
        <v>12201.964733510755</v>
      </c>
      <c r="O8" s="3">
        <f>QVC!Z10+zulily!AF75</f>
        <v>12466.225000607337</v>
      </c>
      <c r="P8" s="3">
        <f>QVC!AA10+zulily!AG75</f>
        <v>12736.377102218641</v>
      </c>
      <c r="Q8" s="3">
        <f>QVC!AB10+zulily!AH75</f>
        <v>13012.557073910148</v>
      </c>
      <c r="R8" s="3"/>
    </row>
    <row r="9" spans="1:18" x14ac:dyDescent="0.2">
      <c r="A9" s="4"/>
      <c r="B9" t="s">
        <v>8</v>
      </c>
      <c r="D9" s="3">
        <v>5528</v>
      </c>
      <c r="E9" s="2">
        <v>1535</v>
      </c>
      <c r="F9" s="3"/>
      <c r="G9" s="3"/>
      <c r="H9" s="3">
        <f>QVC!S11+zulily!Y76</f>
        <v>6835.9600000000009</v>
      </c>
      <c r="I9" s="3">
        <f>QVC!T11+zulily!Z76</f>
        <v>7094.7787360000002</v>
      </c>
      <c r="J9" s="3">
        <f>QVC!U11+zulily!AA76</f>
        <v>7287.8773785600006</v>
      </c>
      <c r="K9" s="3">
        <f>QVC!V11+zulily!AB76</f>
        <v>7471.7024663232014</v>
      </c>
      <c r="L9" s="3">
        <f>QVC!W11+zulily!AC76</f>
        <v>7634.460154716865</v>
      </c>
      <c r="M9" s="3">
        <f>QVC!X11+zulily!AD76</f>
        <v>7800.8727060504179</v>
      </c>
      <c r="N9" s="3">
        <f>QVC!Y11+zulily!AE76</f>
        <v>7971.0252088578191</v>
      </c>
      <c r="O9" s="3">
        <f>QVC!Z11+zulily!AF76</f>
        <v>8145.0048131819603</v>
      </c>
      <c r="P9" s="3">
        <f>QVC!AA11+zulily!AG76</f>
        <v>8322.9007825969929</v>
      </c>
      <c r="Q9" s="3">
        <f>QVC!AB11+zulily!AH76</f>
        <v>8504.8045475948693</v>
      </c>
      <c r="R9" s="3"/>
    </row>
    <row r="10" spans="1:18" x14ac:dyDescent="0.2">
      <c r="A10" s="4"/>
      <c r="B10" s="15" t="s">
        <v>9</v>
      </c>
      <c r="C10" s="15"/>
      <c r="D10" s="16">
        <f>D8-D9</f>
        <v>3215</v>
      </c>
      <c r="E10" s="16">
        <f>E8-E9</f>
        <v>832</v>
      </c>
      <c r="F10" s="16"/>
      <c r="G10" s="16"/>
      <c r="H10" s="16">
        <f>H8-H9</f>
        <v>3658.09</v>
      </c>
      <c r="I10" s="16">
        <f t="shared" ref="I10:Q10" si="0">I8-I9</f>
        <v>3786.8331639999997</v>
      </c>
      <c r="J10" s="16">
        <f t="shared" si="0"/>
        <v>3879.1327604400012</v>
      </c>
      <c r="K10" s="16">
        <f t="shared" si="0"/>
        <v>3971.5194590567999</v>
      </c>
      <c r="L10" s="16">
        <f t="shared" si="0"/>
        <v>4056.1312634307369</v>
      </c>
      <c r="M10" s="16">
        <f t="shared" si="0"/>
        <v>4142.5907463479352</v>
      </c>
      <c r="N10" s="16">
        <f t="shared" si="0"/>
        <v>4230.9395246529357</v>
      </c>
      <c r="O10" s="16">
        <f t="shared" si="0"/>
        <v>4321.2201874253769</v>
      </c>
      <c r="P10" s="16">
        <f t="shared" si="0"/>
        <v>4413.4763196216481</v>
      </c>
      <c r="Q10" s="16">
        <f t="shared" si="0"/>
        <v>4507.7525263152784</v>
      </c>
      <c r="R10" s="3"/>
    </row>
    <row r="11" spans="1:18" ht="23" customHeight="1" x14ac:dyDescent="0.2">
      <c r="A11" s="4"/>
      <c r="B11" t="s">
        <v>10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23" customHeight="1" x14ac:dyDescent="0.2">
      <c r="A12" s="4"/>
      <c r="B12" t="s">
        <v>294</v>
      </c>
      <c r="D12" s="3"/>
      <c r="E12" s="3">
        <f>264-18</f>
        <v>246</v>
      </c>
      <c r="F12" s="3"/>
      <c r="G12" s="3"/>
      <c r="H12" s="3"/>
      <c r="I12" s="3"/>
      <c r="J12" s="3"/>
      <c r="K12" s="3"/>
      <c r="L12" s="3"/>
    </row>
    <row r="13" spans="1:18" ht="23" customHeight="1" x14ac:dyDescent="0.2">
      <c r="A13" s="4"/>
      <c r="B13" s="36" t="s">
        <v>11</v>
      </c>
      <c r="C13" s="36"/>
      <c r="D13" s="37">
        <v>607</v>
      </c>
      <c r="E13" s="2">
        <v>153</v>
      </c>
      <c r="F13" s="3"/>
      <c r="G13" s="3"/>
      <c r="H13" s="3">
        <f>QVC!S17+zulily!Y78</f>
        <v>-678.28497500000003</v>
      </c>
      <c r="I13" s="3">
        <f>QVC!T17+zulily!Z78</f>
        <v>-697.42898945000002</v>
      </c>
      <c r="J13" s="3">
        <f>QVC!U17+zulily!AA78</f>
        <v>-709.70559333950007</v>
      </c>
      <c r="K13" s="3">
        <f>QVC!V17+zulily!AB78</f>
        <v>-724.83329720629001</v>
      </c>
      <c r="L13" s="3">
        <f>QVC!W17+zulily!AC78</f>
        <v>-739.81543099041585</v>
      </c>
      <c r="M13" s="3">
        <f>QVC!X17+zulily!AD78</f>
        <v>-754.61173961022416</v>
      </c>
      <c r="N13" s="3">
        <f>QVC!Y17+zulily!AE78</f>
        <v>-770.21400691513259</v>
      </c>
      <c r="O13" s="3">
        <f>QVC!Z17+zulily!AF78</f>
        <v>-786.14362054152048</v>
      </c>
      <c r="P13" s="3">
        <f>QVC!AA17+zulily!AG78</f>
        <v>-802.40758644507844</v>
      </c>
      <c r="Q13" s="3">
        <f>QVC!AB17+zulily!AH78</f>
        <v>-819.01306447148954</v>
      </c>
      <c r="R13" s="3"/>
    </row>
    <row r="14" spans="1:18" s="36" customFormat="1" ht="22" customHeight="1" x14ac:dyDescent="0.2">
      <c r="B14" s="36" t="s">
        <v>120</v>
      </c>
      <c r="E14" s="37">
        <f>E10-E12-E13</f>
        <v>433</v>
      </c>
      <c r="F14" s="37"/>
      <c r="G14" s="37"/>
      <c r="H14" s="37"/>
      <c r="I14" s="37"/>
      <c r="J14" s="37"/>
      <c r="K14" s="37"/>
      <c r="L14" s="37"/>
    </row>
    <row r="15" spans="1:18" s="36" customFormat="1" ht="22" customHeight="1" x14ac:dyDescent="0.2">
      <c r="B15" s="36" t="s">
        <v>295</v>
      </c>
      <c r="D15" s="37"/>
      <c r="E15" s="60">
        <v>18</v>
      </c>
      <c r="F15" s="37"/>
      <c r="G15" s="37"/>
      <c r="H15" s="37"/>
      <c r="I15" s="37"/>
      <c r="J15" s="37"/>
      <c r="K15" s="37"/>
      <c r="L15" s="37"/>
    </row>
    <row r="16" spans="1:18" s="36" customFormat="1" x14ac:dyDescent="0.2">
      <c r="B16" s="36" t="s">
        <v>12</v>
      </c>
      <c r="D16" s="37">
        <f>714 + 31</f>
        <v>745</v>
      </c>
      <c r="E16" s="37">
        <f>E15+E12</f>
        <v>264</v>
      </c>
      <c r="F16" s="37"/>
      <c r="G16" s="37"/>
      <c r="H16" s="77">
        <f>QVC!S18+zulily!Y79+zulily!Y80</f>
        <v>-1073.7377000000001</v>
      </c>
      <c r="I16" s="77">
        <f>QVC!T18+zulily!Z79+zulily!Z80</f>
        <v>-1107.6804694</v>
      </c>
      <c r="J16" s="77">
        <f>QVC!U18+zulily!AA79+zulily!AA80</f>
        <v>-1133.6956656340001</v>
      </c>
      <c r="K16" s="77">
        <f>QVC!V18+zulily!AB79+zulily!AB80</f>
        <v>-1163.0880389466799</v>
      </c>
      <c r="L16" s="77">
        <f>QVC!W18+zulily!AC79+zulily!AC80</f>
        <v>-1193.3436131256137</v>
      </c>
      <c r="M16" s="77">
        <f>QVC!X18+zulily!AD79+zulily!AD80</f>
        <v>-1224.490997074126</v>
      </c>
      <c r="N16" s="77">
        <f>QVC!Y18+zulily!AE79+zulily!AE80</f>
        <v>-1256.5598422065484</v>
      </c>
      <c r="O16" s="77">
        <f>QVC!Z18+zulily!AF79+zulily!AF80</f>
        <v>-1289.5808829386319</v>
      </c>
      <c r="P16" s="77">
        <f>QVC!AA18+zulily!AG79+zulily!AG80</f>
        <v>-1323.5859788147191</v>
      </c>
      <c r="Q16" s="77">
        <f>QVC!AB18+zulily!AH79+zulily!AH80</f>
        <v>-1358.6081583395564</v>
      </c>
      <c r="R16" s="77"/>
    </row>
    <row r="17" spans="1:24" x14ac:dyDescent="0.2">
      <c r="A17" s="4"/>
      <c r="B17" t="s">
        <v>13</v>
      </c>
      <c r="D17" s="3">
        <v>134</v>
      </c>
      <c r="E17" s="3"/>
      <c r="F17" s="3"/>
      <c r="G17" s="3"/>
      <c r="H17" s="2">
        <v>150</v>
      </c>
      <c r="I17" s="2">
        <v>150</v>
      </c>
      <c r="J17" s="2">
        <v>155</v>
      </c>
      <c r="K17" s="2">
        <v>156</v>
      </c>
      <c r="L17" s="2">
        <v>158</v>
      </c>
      <c r="M17" s="2">
        <v>160</v>
      </c>
      <c r="N17" s="2">
        <v>162</v>
      </c>
      <c r="O17" s="2">
        <v>162</v>
      </c>
      <c r="P17" s="2">
        <v>162</v>
      </c>
      <c r="Q17" s="2">
        <v>162</v>
      </c>
      <c r="R17" s="2"/>
    </row>
    <row r="18" spans="1:24" x14ac:dyDescent="0.2">
      <c r="A18" s="4"/>
      <c r="B18" t="s">
        <v>14</v>
      </c>
      <c r="D18" s="3">
        <v>454</v>
      </c>
      <c r="E18" s="3"/>
      <c r="F18" s="3"/>
      <c r="G18" s="3"/>
      <c r="H18" s="2">
        <v>705</v>
      </c>
      <c r="I18" s="2">
        <v>502</v>
      </c>
      <c r="J18" s="2">
        <v>231</v>
      </c>
      <c r="K18" s="2">
        <v>96</v>
      </c>
      <c r="L18" s="2">
        <v>60</v>
      </c>
      <c r="M18" s="2">
        <v>60</v>
      </c>
      <c r="N18" s="2">
        <v>60</v>
      </c>
      <c r="O18" s="2">
        <v>60</v>
      </c>
      <c r="P18" s="2">
        <v>60</v>
      </c>
      <c r="Q18" s="2">
        <v>60</v>
      </c>
      <c r="R18" s="2"/>
    </row>
    <row r="19" spans="1:24" x14ac:dyDescent="0.2">
      <c r="A19" s="4"/>
      <c r="B19" t="s">
        <v>173</v>
      </c>
      <c r="D19" s="3">
        <f>SUM(D13:D18)</f>
        <v>1940</v>
      </c>
      <c r="E19" s="2">
        <v>209</v>
      </c>
      <c r="F19" s="3"/>
      <c r="G19" s="3"/>
      <c r="H19" s="3">
        <f>-(H17+H18)</f>
        <v>-855</v>
      </c>
      <c r="I19" s="3">
        <f t="shared" ref="I19:Q19" si="1">-(I17+I18)</f>
        <v>-652</v>
      </c>
      <c r="J19" s="3">
        <f t="shared" si="1"/>
        <v>-386</v>
      </c>
      <c r="K19" s="3">
        <f t="shared" si="1"/>
        <v>-252</v>
      </c>
      <c r="L19" s="3">
        <f t="shared" si="1"/>
        <v>-218</v>
      </c>
      <c r="M19" s="3">
        <f t="shared" si="1"/>
        <v>-220</v>
      </c>
      <c r="N19" s="3">
        <f t="shared" si="1"/>
        <v>-222</v>
      </c>
      <c r="O19" s="3">
        <f t="shared" si="1"/>
        <v>-222</v>
      </c>
      <c r="P19" s="3">
        <f t="shared" si="1"/>
        <v>-222</v>
      </c>
      <c r="Q19" s="3">
        <f t="shared" si="1"/>
        <v>-222</v>
      </c>
      <c r="R19" s="3"/>
    </row>
    <row r="20" spans="1:24" x14ac:dyDescent="0.2">
      <c r="A20" s="4"/>
      <c r="B20" s="44" t="s">
        <v>15</v>
      </c>
      <c r="C20" s="15"/>
      <c r="D20" s="16">
        <f>D10-D19</f>
        <v>1275</v>
      </c>
      <c r="E20" s="16">
        <f>E10-E13-E16-E19</f>
        <v>206</v>
      </c>
      <c r="F20" s="16"/>
      <c r="G20" s="16"/>
      <c r="H20" s="79">
        <f>H19+H16+H13+H10</f>
        <v>1051.067325</v>
      </c>
      <c r="I20" s="79">
        <f t="shared" ref="I20:Q20" si="2">I19+I16+I13+I10</f>
        <v>1329.7237051499997</v>
      </c>
      <c r="J20" s="79">
        <f t="shared" si="2"/>
        <v>1649.731501466501</v>
      </c>
      <c r="K20" s="79">
        <f t="shared" si="2"/>
        <v>1831.5981229038298</v>
      </c>
      <c r="L20" s="79">
        <f t="shared" si="2"/>
        <v>1904.9722193147072</v>
      </c>
      <c r="M20" s="79">
        <f t="shared" si="2"/>
        <v>1943.4880096635852</v>
      </c>
      <c r="N20" s="79">
        <f t="shared" si="2"/>
        <v>1982.1656755312547</v>
      </c>
      <c r="O20" s="79">
        <f t="shared" si="2"/>
        <v>2023.4956839452243</v>
      </c>
      <c r="P20" s="79">
        <f t="shared" si="2"/>
        <v>2065.4827543618508</v>
      </c>
      <c r="Q20" s="79">
        <f t="shared" si="2"/>
        <v>2108.1313035042322</v>
      </c>
      <c r="R20" s="56"/>
    </row>
    <row r="21" spans="1:24" x14ac:dyDescent="0.2">
      <c r="A21" s="4"/>
      <c r="B21" s="9" t="s">
        <v>301</v>
      </c>
      <c r="D21" s="3"/>
      <c r="E21" s="2">
        <v>21</v>
      </c>
      <c r="F21" s="3"/>
      <c r="G21" s="3"/>
      <c r="H21" s="3"/>
      <c r="I21" s="3"/>
      <c r="J21" s="3"/>
      <c r="K21" s="3"/>
      <c r="L21" s="3"/>
    </row>
    <row r="22" spans="1:24" x14ac:dyDescent="0.2">
      <c r="A22" s="4"/>
      <c r="B22" t="s">
        <v>16</v>
      </c>
      <c r="D22" s="3"/>
      <c r="E22" s="3">
        <f>5-1</f>
        <v>4</v>
      </c>
      <c r="F22" s="3"/>
      <c r="G22" s="3"/>
      <c r="H22" s="3"/>
      <c r="I22" s="3"/>
      <c r="J22" s="3"/>
      <c r="K22" s="3"/>
      <c r="L22" s="3"/>
    </row>
    <row r="23" spans="1:24" x14ac:dyDescent="0.2">
      <c r="A23" s="4"/>
      <c r="B23" t="s">
        <v>16</v>
      </c>
      <c r="D23" s="3"/>
      <c r="E23" s="3"/>
      <c r="F23" s="3"/>
      <c r="G23" s="3"/>
      <c r="H23" s="3"/>
      <c r="I23" s="3"/>
      <c r="J23" s="3"/>
      <c r="K23" s="3"/>
      <c r="L23" s="3"/>
    </row>
    <row r="24" spans="1:24" x14ac:dyDescent="0.2">
      <c r="A24" s="4"/>
      <c r="B24" t="s">
        <v>17</v>
      </c>
      <c r="D24" s="3">
        <v>-9</v>
      </c>
      <c r="E24" s="3"/>
      <c r="F24" s="3"/>
      <c r="G24" s="3"/>
      <c r="H24" s="3"/>
      <c r="I24" s="3"/>
      <c r="J24" s="3"/>
      <c r="K24" s="3"/>
      <c r="L24" s="3"/>
    </row>
    <row r="25" spans="1:24" x14ac:dyDescent="0.2">
      <c r="A25" s="4"/>
      <c r="B25" t="s">
        <v>114</v>
      </c>
      <c r="D25" s="3">
        <v>0</v>
      </c>
      <c r="E25" s="3"/>
      <c r="F25" s="3"/>
      <c r="G25" s="3"/>
      <c r="H25" s="3"/>
      <c r="I25" s="3"/>
      <c r="J25" s="3"/>
      <c r="K25" s="3"/>
      <c r="L25" s="3"/>
    </row>
    <row r="26" spans="1:24" x14ac:dyDescent="0.2">
      <c r="A26" s="4"/>
      <c r="B26" t="s">
        <v>18</v>
      </c>
      <c r="D26" s="3">
        <v>-208</v>
      </c>
      <c r="E26" s="3">
        <v>-76</v>
      </c>
      <c r="F26" s="3"/>
      <c r="G26" s="3"/>
      <c r="H26" s="2">
        <v>-280</v>
      </c>
      <c r="I26" s="2">
        <v>-280</v>
      </c>
      <c r="J26" s="2">
        <v>-280</v>
      </c>
      <c r="K26" s="2">
        <v>-280</v>
      </c>
      <c r="L26" s="2">
        <v>-275</v>
      </c>
      <c r="M26" s="2">
        <v>-275</v>
      </c>
      <c r="N26" s="2">
        <v>-275</v>
      </c>
      <c r="O26" s="2">
        <v>-275</v>
      </c>
      <c r="P26" s="2">
        <v>-275</v>
      </c>
      <c r="Q26" s="2">
        <v>-275</v>
      </c>
      <c r="X26" s="3"/>
    </row>
    <row r="27" spans="1:24" x14ac:dyDescent="0.2">
      <c r="A27" s="4"/>
      <c r="B27" t="s">
        <v>19</v>
      </c>
      <c r="D27" s="3">
        <v>14</v>
      </c>
      <c r="E27" s="3"/>
      <c r="F27" s="3"/>
      <c r="G27" s="3"/>
      <c r="H27" s="3"/>
      <c r="I27" s="3"/>
      <c r="J27" s="3"/>
      <c r="K27" s="3"/>
      <c r="L27" s="3"/>
    </row>
    <row r="28" spans="1:24" x14ac:dyDescent="0.2">
      <c r="A28" s="4"/>
      <c r="B28" t="s">
        <v>25</v>
      </c>
      <c r="D28" s="3">
        <v>-21</v>
      </c>
      <c r="E28" s="3"/>
      <c r="F28" s="3"/>
      <c r="G28" s="3"/>
      <c r="H28" s="3"/>
      <c r="I28" s="3"/>
      <c r="J28" s="3"/>
      <c r="K28" s="3"/>
      <c r="L28" s="3"/>
    </row>
    <row r="29" spans="1:24" x14ac:dyDescent="0.2">
      <c r="A29" s="4"/>
      <c r="D29" s="3">
        <f>SUM(D24:D28)</f>
        <v>-224</v>
      </c>
      <c r="E29" s="3">
        <f>E26+E22+E21</f>
        <v>-51</v>
      </c>
      <c r="F29" s="3"/>
      <c r="G29" s="3"/>
      <c r="H29" s="3">
        <f>SUM(H21:H28)</f>
        <v>-280</v>
      </c>
      <c r="I29" s="3">
        <f t="shared" ref="I29:Q29" si="3">SUM(I21:I28)</f>
        <v>-280</v>
      </c>
      <c r="J29" s="3">
        <f t="shared" si="3"/>
        <v>-280</v>
      </c>
      <c r="K29" s="3">
        <f t="shared" si="3"/>
        <v>-280</v>
      </c>
      <c r="L29" s="3">
        <f t="shared" si="3"/>
        <v>-275</v>
      </c>
      <c r="M29" s="3">
        <f t="shared" si="3"/>
        <v>-275</v>
      </c>
      <c r="N29" s="3">
        <f t="shared" si="3"/>
        <v>-275</v>
      </c>
      <c r="O29" s="3">
        <f t="shared" si="3"/>
        <v>-275</v>
      </c>
      <c r="P29" s="3">
        <f t="shared" si="3"/>
        <v>-275</v>
      </c>
      <c r="Q29" s="3">
        <f t="shared" si="3"/>
        <v>-275</v>
      </c>
    </row>
    <row r="30" spans="1:24" x14ac:dyDescent="0.2">
      <c r="A30" s="4"/>
      <c r="B30" s="15" t="s">
        <v>20</v>
      </c>
      <c r="C30" s="15"/>
      <c r="D30" s="16">
        <f>D29+D20</f>
        <v>1051</v>
      </c>
      <c r="E30" s="16">
        <f>E20+E29</f>
        <v>155</v>
      </c>
      <c r="F30" s="16"/>
      <c r="G30" s="16"/>
      <c r="H30" s="79">
        <f>H20+H29</f>
        <v>771.06732499999998</v>
      </c>
      <c r="I30" s="79">
        <f t="shared" ref="I30:Q30" si="4">I20+I29</f>
        <v>1049.7237051499997</v>
      </c>
      <c r="J30" s="79">
        <f t="shared" si="4"/>
        <v>1369.731501466501</v>
      </c>
      <c r="K30" s="79">
        <f t="shared" si="4"/>
        <v>1551.5981229038298</v>
      </c>
      <c r="L30" s="79">
        <f t="shared" si="4"/>
        <v>1629.9722193147072</v>
      </c>
      <c r="M30" s="79">
        <f t="shared" si="4"/>
        <v>1668.4880096635852</v>
      </c>
      <c r="N30" s="79">
        <f t="shared" si="4"/>
        <v>1707.1656755312547</v>
      </c>
      <c r="O30" s="79">
        <f t="shared" si="4"/>
        <v>1748.4956839452243</v>
      </c>
      <c r="P30" s="79">
        <f t="shared" si="4"/>
        <v>1790.4827543618508</v>
      </c>
      <c r="Q30" s="79">
        <f t="shared" si="4"/>
        <v>1833.1313035042322</v>
      </c>
    </row>
    <row r="31" spans="1:24" x14ac:dyDescent="0.2">
      <c r="A31" s="4"/>
      <c r="B31" t="s">
        <v>21</v>
      </c>
      <c r="D31" s="3">
        <v>-389</v>
      </c>
      <c r="E31" s="2">
        <v>-57</v>
      </c>
      <c r="F31" s="3"/>
      <c r="G31" s="3"/>
      <c r="H31" s="3">
        <f>H30*0.38</f>
        <v>293.0055835</v>
      </c>
      <c r="I31" s="3">
        <f t="shared" ref="I31:Q31" si="5">I30*0.38</f>
        <v>398.89500795699985</v>
      </c>
      <c r="J31" s="3">
        <f t="shared" si="5"/>
        <v>520.49797055727038</v>
      </c>
      <c r="K31" s="3">
        <f t="shared" si="5"/>
        <v>589.60728670345532</v>
      </c>
      <c r="L31" s="3">
        <f t="shared" si="5"/>
        <v>619.38944333958875</v>
      </c>
      <c r="M31" s="3">
        <f t="shared" si="5"/>
        <v>634.0254436721624</v>
      </c>
      <c r="N31" s="3">
        <f t="shared" si="5"/>
        <v>648.7229567018768</v>
      </c>
      <c r="O31" s="3">
        <f t="shared" si="5"/>
        <v>664.42835989918524</v>
      </c>
      <c r="P31" s="3">
        <f t="shared" si="5"/>
        <v>680.38344665750333</v>
      </c>
      <c r="Q31" s="3">
        <f t="shared" si="5"/>
        <v>696.5898953316082</v>
      </c>
    </row>
    <row r="32" spans="1:24" ht="18" customHeight="1" x14ac:dyDescent="0.2">
      <c r="A32" s="4"/>
      <c r="B32" s="15" t="s">
        <v>22</v>
      </c>
      <c r="C32" s="15"/>
      <c r="D32" s="16">
        <f>D30+D31</f>
        <v>662</v>
      </c>
      <c r="E32" s="16">
        <f>E30+E31</f>
        <v>98</v>
      </c>
      <c r="F32" s="16"/>
      <c r="G32" s="16"/>
      <c r="H32" s="79">
        <f>H30-H31</f>
        <v>478.06174149999998</v>
      </c>
      <c r="I32" s="79">
        <f t="shared" ref="I32:Q32" si="6">I30-I31</f>
        <v>650.82869719299981</v>
      </c>
      <c r="J32" s="79">
        <f t="shared" si="6"/>
        <v>849.23353090923058</v>
      </c>
      <c r="K32" s="79">
        <f t="shared" si="6"/>
        <v>961.99083620037447</v>
      </c>
      <c r="L32" s="79">
        <f t="shared" si="6"/>
        <v>1010.5827759751185</v>
      </c>
      <c r="M32" s="79">
        <f t="shared" si="6"/>
        <v>1034.4625659914227</v>
      </c>
      <c r="N32" s="79">
        <f t="shared" si="6"/>
        <v>1058.442718829378</v>
      </c>
      <c r="O32" s="79">
        <f t="shared" si="6"/>
        <v>1084.0673240460392</v>
      </c>
      <c r="P32" s="79">
        <f t="shared" si="6"/>
        <v>1110.0993077043474</v>
      </c>
      <c r="Q32" s="79">
        <f t="shared" si="6"/>
        <v>1136.541408172624</v>
      </c>
    </row>
    <row r="33" spans="1:17" x14ac:dyDescent="0.2">
      <c r="A33" s="4"/>
      <c r="B33" t="s">
        <v>23</v>
      </c>
      <c r="D33" s="3">
        <v>-34</v>
      </c>
      <c r="E33" s="2">
        <v>8</v>
      </c>
      <c r="F33" s="3"/>
      <c r="G33" s="3"/>
      <c r="H33" s="3">
        <f>H32*-0.06</f>
        <v>-28.683704489999997</v>
      </c>
      <c r="I33" s="3">
        <f t="shared" ref="I33:Q33" si="7">I32*-0.06</f>
        <v>-39.049721831579987</v>
      </c>
      <c r="J33" s="3">
        <f t="shared" si="7"/>
        <v>-50.954011854553833</v>
      </c>
      <c r="K33" s="3">
        <f t="shared" si="7"/>
        <v>-57.719450172022469</v>
      </c>
      <c r="L33" s="3">
        <f t="shared" si="7"/>
        <v>-60.634966558507102</v>
      </c>
      <c r="M33" s="3">
        <f t="shared" si="7"/>
        <v>-62.067753959485358</v>
      </c>
      <c r="N33" s="3">
        <f t="shared" si="7"/>
        <v>-63.506563129762675</v>
      </c>
      <c r="O33" s="3">
        <f t="shared" si="7"/>
        <v>-65.044039442762354</v>
      </c>
      <c r="P33" s="3">
        <f t="shared" si="7"/>
        <v>-66.605958462260844</v>
      </c>
      <c r="Q33" s="3">
        <f t="shared" si="7"/>
        <v>-68.19248449035743</v>
      </c>
    </row>
    <row r="34" spans="1:17" x14ac:dyDescent="0.2">
      <c r="A34" s="4"/>
      <c r="B34" s="15" t="s">
        <v>24</v>
      </c>
      <c r="C34" s="15"/>
      <c r="D34" s="16">
        <f>D32+D33</f>
        <v>628</v>
      </c>
      <c r="E34" s="16">
        <f>E32-E33</f>
        <v>90</v>
      </c>
      <c r="F34" s="16"/>
      <c r="G34" s="16"/>
      <c r="H34" s="79">
        <f>H32+H33</f>
        <v>449.37803700999996</v>
      </c>
      <c r="I34" s="79">
        <f t="shared" ref="I34:Q34" si="8">I32+I33</f>
        <v>611.77897536141984</v>
      </c>
      <c r="J34" s="79">
        <f t="shared" si="8"/>
        <v>798.27951905467671</v>
      </c>
      <c r="K34" s="79">
        <f t="shared" si="8"/>
        <v>904.27138602835203</v>
      </c>
      <c r="L34" s="79">
        <f t="shared" si="8"/>
        <v>949.94780941661134</v>
      </c>
      <c r="M34" s="79">
        <f t="shared" si="8"/>
        <v>972.39481203193736</v>
      </c>
      <c r="N34" s="79">
        <f t="shared" si="8"/>
        <v>994.93615569961537</v>
      </c>
      <c r="O34" s="79">
        <f t="shared" si="8"/>
        <v>1019.0232846032768</v>
      </c>
      <c r="P34" s="79">
        <f t="shared" si="8"/>
        <v>1043.4933492420867</v>
      </c>
      <c r="Q34" s="79">
        <f t="shared" si="8"/>
        <v>1068.3489236822666</v>
      </c>
    </row>
    <row r="35" spans="1:17" x14ac:dyDescent="0.2">
      <c r="A35" s="4"/>
      <c r="H35" s="3"/>
    </row>
    <row r="36" spans="1:17" x14ac:dyDescent="0.2">
      <c r="A36" s="4"/>
      <c r="B36" t="s">
        <v>22</v>
      </c>
      <c r="D36" s="3">
        <f>D32</f>
        <v>662</v>
      </c>
      <c r="E36" s="3"/>
      <c r="F36" s="3"/>
      <c r="G36" s="3"/>
      <c r="H36" s="3"/>
      <c r="I36" s="3"/>
      <c r="J36" s="3"/>
      <c r="K36" s="3"/>
      <c r="L36" s="3"/>
    </row>
    <row r="37" spans="1:17" x14ac:dyDescent="0.2">
      <c r="A37" s="4"/>
      <c r="B37" t="s">
        <v>28</v>
      </c>
      <c r="D37" s="3">
        <v>-102</v>
      </c>
      <c r="E37" s="3"/>
      <c r="F37" s="3"/>
      <c r="G37" s="3"/>
      <c r="H37" s="3"/>
      <c r="I37" s="3"/>
      <c r="J37" s="3"/>
      <c r="K37" s="3"/>
      <c r="L37" s="3"/>
    </row>
    <row r="38" spans="1:17" x14ac:dyDescent="0.2">
      <c r="A38" s="4"/>
      <c r="B38" t="s">
        <v>29</v>
      </c>
      <c r="D38" s="3">
        <f>D37+D36</f>
        <v>560</v>
      </c>
      <c r="E38" s="3"/>
      <c r="F38" s="3"/>
      <c r="G38" s="3"/>
      <c r="H38" s="56">
        <f>H32</f>
        <v>478.06174149999998</v>
      </c>
      <c r="I38" s="56">
        <f t="shared" ref="I38:Q38" si="9">I32</f>
        <v>650.82869719299981</v>
      </c>
      <c r="J38" s="56">
        <f t="shared" si="9"/>
        <v>849.23353090923058</v>
      </c>
      <c r="K38" s="56">
        <f t="shared" si="9"/>
        <v>961.99083620037447</v>
      </c>
      <c r="L38" s="56">
        <f t="shared" si="9"/>
        <v>1010.5827759751185</v>
      </c>
      <c r="M38" s="56">
        <f t="shared" si="9"/>
        <v>1034.4625659914227</v>
      </c>
      <c r="N38" s="56">
        <f t="shared" si="9"/>
        <v>1058.442718829378</v>
      </c>
      <c r="O38" s="56">
        <f t="shared" si="9"/>
        <v>1084.0673240460392</v>
      </c>
      <c r="P38" s="56">
        <f t="shared" si="9"/>
        <v>1110.0993077043474</v>
      </c>
      <c r="Q38" s="56">
        <f t="shared" si="9"/>
        <v>1136.541408172624</v>
      </c>
    </row>
    <row r="39" spans="1:17" x14ac:dyDescent="0.2">
      <c r="A39" s="4"/>
      <c r="B39" t="s">
        <v>30</v>
      </c>
      <c r="D39" s="3">
        <v>-33</v>
      </c>
      <c r="E39" s="3"/>
      <c r="F39" s="3"/>
      <c r="G39" s="3"/>
      <c r="H39" s="56">
        <f>H33</f>
        <v>-28.683704489999997</v>
      </c>
      <c r="I39" s="56">
        <f t="shared" ref="I39:Q39" si="10">I33</f>
        <v>-39.049721831579987</v>
      </c>
      <c r="J39" s="56">
        <f t="shared" si="10"/>
        <v>-50.954011854553833</v>
      </c>
      <c r="K39" s="56">
        <f t="shared" si="10"/>
        <v>-57.719450172022469</v>
      </c>
      <c r="L39" s="56">
        <f t="shared" si="10"/>
        <v>-60.634966558507102</v>
      </c>
      <c r="M39" s="56">
        <f t="shared" si="10"/>
        <v>-62.067753959485358</v>
      </c>
      <c r="N39" s="56">
        <f t="shared" si="10"/>
        <v>-63.506563129762675</v>
      </c>
      <c r="O39" s="56">
        <f t="shared" si="10"/>
        <v>-65.044039442762354</v>
      </c>
      <c r="P39" s="56">
        <f t="shared" si="10"/>
        <v>-66.605958462260844</v>
      </c>
      <c r="Q39" s="56">
        <f t="shared" si="10"/>
        <v>-68.19248449035743</v>
      </c>
    </row>
    <row r="40" spans="1:17" x14ac:dyDescent="0.2">
      <c r="A40" s="4"/>
      <c r="B40" s="15" t="s">
        <v>31</v>
      </c>
      <c r="C40" s="15"/>
      <c r="D40" s="16">
        <f>D38+D39</f>
        <v>527</v>
      </c>
      <c r="E40" s="16"/>
      <c r="F40" s="16"/>
      <c r="G40" s="16"/>
      <c r="H40" s="79">
        <f>H34</f>
        <v>449.37803700999996</v>
      </c>
      <c r="I40" s="79">
        <f t="shared" ref="I40:Q40" si="11">I34</f>
        <v>611.77897536141984</v>
      </c>
      <c r="J40" s="79">
        <f t="shared" si="11"/>
        <v>798.27951905467671</v>
      </c>
      <c r="K40" s="79">
        <f t="shared" si="11"/>
        <v>904.27138602835203</v>
      </c>
      <c r="L40" s="79">
        <f t="shared" si="11"/>
        <v>949.94780941661134</v>
      </c>
      <c r="M40" s="79">
        <f t="shared" si="11"/>
        <v>972.39481203193736</v>
      </c>
      <c r="N40" s="79">
        <f t="shared" si="11"/>
        <v>994.93615569961537</v>
      </c>
      <c r="O40" s="79">
        <f t="shared" si="11"/>
        <v>1019.0232846032768</v>
      </c>
      <c r="P40" s="79">
        <f t="shared" si="11"/>
        <v>1043.4933492420867</v>
      </c>
      <c r="Q40" s="79">
        <f t="shared" si="11"/>
        <v>1068.3489236822666</v>
      </c>
    </row>
    <row r="41" spans="1:17" x14ac:dyDescent="0.2">
      <c r="A41" s="4"/>
    </row>
    <row r="42" spans="1:17" ht="16" x14ac:dyDescent="0.2">
      <c r="A42" s="4"/>
      <c r="B42" s="7" t="s">
        <v>36</v>
      </c>
    </row>
    <row r="43" spans="1:17" s="10" customFormat="1" x14ac:dyDescent="0.2">
      <c r="B43" s="11" t="s">
        <v>37</v>
      </c>
    </row>
    <row r="44" spans="1:17" x14ac:dyDescent="0.2">
      <c r="A44" s="4"/>
      <c r="B44" t="s">
        <v>22</v>
      </c>
      <c r="E44">
        <f>E32</f>
        <v>98</v>
      </c>
      <c r="H44" s="52">
        <f>H38</f>
        <v>478.06174149999998</v>
      </c>
      <c r="I44" s="52">
        <f t="shared" ref="I44:Q44" si="12">I38</f>
        <v>650.82869719299981</v>
      </c>
      <c r="J44" s="52">
        <f t="shared" si="12"/>
        <v>849.23353090923058</v>
      </c>
      <c r="K44" s="52">
        <f t="shared" si="12"/>
        <v>961.99083620037447</v>
      </c>
      <c r="L44" s="52">
        <f t="shared" si="12"/>
        <v>1010.5827759751185</v>
      </c>
      <c r="M44" s="52">
        <f t="shared" si="12"/>
        <v>1034.4625659914227</v>
      </c>
      <c r="N44" s="52">
        <f t="shared" si="12"/>
        <v>1058.442718829378</v>
      </c>
      <c r="O44" s="52">
        <f t="shared" si="12"/>
        <v>1084.0673240460392</v>
      </c>
      <c r="P44" s="52">
        <f t="shared" si="12"/>
        <v>1110.0993077043474</v>
      </c>
      <c r="Q44" s="52">
        <f t="shared" si="12"/>
        <v>1136.541408172624</v>
      </c>
    </row>
    <row r="45" spans="1:17" x14ac:dyDescent="0.2">
      <c r="A45" s="4"/>
      <c r="B45" t="s">
        <v>38</v>
      </c>
    </row>
    <row r="46" spans="1:17" x14ac:dyDescent="0.2">
      <c r="A46" s="4"/>
      <c r="B46" t="s">
        <v>173</v>
      </c>
      <c r="H46">
        <f>SUM(H17:H18)</f>
        <v>855</v>
      </c>
      <c r="I46">
        <f t="shared" ref="I46:Q46" si="13">SUM(I17:I18)</f>
        <v>652</v>
      </c>
      <c r="J46">
        <f t="shared" si="13"/>
        <v>386</v>
      </c>
      <c r="K46">
        <f t="shared" si="13"/>
        <v>252</v>
      </c>
      <c r="L46">
        <f t="shared" si="13"/>
        <v>218</v>
      </c>
      <c r="M46">
        <f t="shared" si="13"/>
        <v>220</v>
      </c>
      <c r="N46">
        <f t="shared" si="13"/>
        <v>222</v>
      </c>
      <c r="O46">
        <f t="shared" si="13"/>
        <v>222</v>
      </c>
      <c r="P46">
        <f t="shared" si="13"/>
        <v>222</v>
      </c>
      <c r="Q46">
        <f t="shared" si="13"/>
        <v>222</v>
      </c>
    </row>
    <row r="47" spans="1:17" x14ac:dyDescent="0.2">
      <c r="A47" s="4"/>
      <c r="B47" t="s">
        <v>0</v>
      </c>
      <c r="H47">
        <f>80</f>
        <v>80</v>
      </c>
      <c r="I47">
        <f>H47*1.03</f>
        <v>82.4</v>
      </c>
      <c r="J47">
        <f t="shared" ref="J47:Q47" si="14">I47*1.03</f>
        <v>84.872000000000014</v>
      </c>
      <c r="K47">
        <f t="shared" si="14"/>
        <v>87.418160000000015</v>
      </c>
      <c r="L47">
        <f t="shared" si="14"/>
        <v>90.040704800000015</v>
      </c>
      <c r="M47">
        <f t="shared" si="14"/>
        <v>92.741925944000016</v>
      </c>
      <c r="N47">
        <f t="shared" si="14"/>
        <v>95.524183722320018</v>
      </c>
      <c r="O47">
        <f t="shared" si="14"/>
        <v>98.389909233989627</v>
      </c>
      <c r="P47">
        <f t="shared" si="14"/>
        <v>101.34160651100932</v>
      </c>
      <c r="Q47">
        <f t="shared" si="14"/>
        <v>104.3818547063396</v>
      </c>
    </row>
    <row r="48" spans="1:17" x14ac:dyDescent="0.2">
      <c r="A48" s="4"/>
      <c r="B48" t="s">
        <v>302</v>
      </c>
    </row>
    <row r="49" spans="1:17" x14ac:dyDescent="0.2">
      <c r="A49" s="4"/>
      <c r="B49" t="s">
        <v>174</v>
      </c>
    </row>
    <row r="50" spans="1:17" x14ac:dyDescent="0.2">
      <c r="A50" s="4"/>
      <c r="B50" t="s">
        <v>303</v>
      </c>
    </row>
    <row r="51" spans="1:17" x14ac:dyDescent="0.2">
      <c r="A51" s="4"/>
      <c r="B51" t="s">
        <v>304</v>
      </c>
    </row>
    <row r="52" spans="1:17" x14ac:dyDescent="0.2">
      <c r="A52" s="4"/>
      <c r="B52" t="s">
        <v>305</v>
      </c>
    </row>
    <row r="53" spans="1:17" x14ac:dyDescent="0.2">
      <c r="A53" s="4"/>
      <c r="B53" t="s">
        <v>306</v>
      </c>
    </row>
    <row r="54" spans="1:17" x14ac:dyDescent="0.2">
      <c r="A54" s="4"/>
      <c r="B54" t="s">
        <v>307</v>
      </c>
    </row>
    <row r="55" spans="1:17" x14ac:dyDescent="0.2">
      <c r="A55" s="4"/>
      <c r="B55" t="s">
        <v>1</v>
      </c>
    </row>
    <row r="56" spans="1:17" x14ac:dyDescent="0.2">
      <c r="A56" s="4"/>
      <c r="B56" t="s">
        <v>308</v>
      </c>
    </row>
    <row r="57" spans="1:17" x14ac:dyDescent="0.2">
      <c r="A57" s="4"/>
      <c r="B57" t="s">
        <v>309</v>
      </c>
    </row>
    <row r="58" spans="1:17" x14ac:dyDescent="0.2">
      <c r="A58" s="4"/>
      <c r="B58" t="s">
        <v>310</v>
      </c>
    </row>
    <row r="59" spans="1:17" x14ac:dyDescent="0.2">
      <c r="A59" s="4"/>
      <c r="B59" t="s">
        <v>311</v>
      </c>
    </row>
    <row r="60" spans="1:17" s="15" customFormat="1" x14ac:dyDescent="0.2">
      <c r="B60" s="16" t="s">
        <v>44</v>
      </c>
      <c r="H60" s="80">
        <f>SUM(H44:H59)</f>
        <v>1413.0617414999999</v>
      </c>
      <c r="I60" s="80">
        <f t="shared" ref="I60:Q60" si="15">SUM(I44:I59)</f>
        <v>1385.2286971929998</v>
      </c>
      <c r="J60" s="80">
        <f t="shared" si="15"/>
        <v>1320.1055309092305</v>
      </c>
      <c r="K60" s="80">
        <f t="shared" si="15"/>
        <v>1301.4089962003743</v>
      </c>
      <c r="L60" s="80">
        <f t="shared" si="15"/>
        <v>1318.6234807751184</v>
      </c>
      <c r="M60" s="80">
        <f t="shared" si="15"/>
        <v>1347.2044919354228</v>
      </c>
      <c r="N60" s="80">
        <f t="shared" si="15"/>
        <v>1375.966902551698</v>
      </c>
      <c r="O60" s="80">
        <f t="shared" si="15"/>
        <v>1404.4572332800287</v>
      </c>
      <c r="P60" s="80">
        <f t="shared" si="15"/>
        <v>1433.4409142153568</v>
      </c>
      <c r="Q60" s="80">
        <f t="shared" si="15"/>
        <v>1462.9232628789637</v>
      </c>
    </row>
    <row r="61" spans="1:17" s="10" customFormat="1" x14ac:dyDescent="0.2">
      <c r="B61" s="11" t="s">
        <v>45</v>
      </c>
    </row>
    <row r="62" spans="1:17" x14ac:dyDescent="0.2">
      <c r="A62" s="4"/>
      <c r="B62" t="s">
        <v>312</v>
      </c>
    </row>
    <row r="63" spans="1:17" x14ac:dyDescent="0.2">
      <c r="A63" s="4"/>
      <c r="B63" t="s">
        <v>313</v>
      </c>
    </row>
    <row r="64" spans="1:17" x14ac:dyDescent="0.2">
      <c r="A64" s="4"/>
      <c r="B64" t="s">
        <v>314</v>
      </c>
    </row>
    <row r="65" spans="1:17" x14ac:dyDescent="0.2">
      <c r="A65" s="4"/>
      <c r="B65" t="s">
        <v>48</v>
      </c>
    </row>
    <row r="66" spans="1:17" x14ac:dyDescent="0.2">
      <c r="A66" s="4"/>
      <c r="B66" t="s">
        <v>71</v>
      </c>
    </row>
    <row r="67" spans="1:17" s="15" customFormat="1" x14ac:dyDescent="0.2">
      <c r="B67" s="16" t="s">
        <v>49</v>
      </c>
      <c r="H67" s="15">
        <f>-300</f>
        <v>-300</v>
      </c>
      <c r="I67" s="15">
        <f t="shared" ref="I67:Q67" si="16">-300</f>
        <v>-300</v>
      </c>
      <c r="J67" s="15">
        <f t="shared" si="16"/>
        <v>-300</v>
      </c>
      <c r="K67" s="15">
        <f t="shared" si="16"/>
        <v>-300</v>
      </c>
      <c r="L67" s="15">
        <f t="shared" si="16"/>
        <v>-300</v>
      </c>
      <c r="M67" s="15">
        <f t="shared" si="16"/>
        <v>-300</v>
      </c>
      <c r="N67" s="15">
        <f t="shared" si="16"/>
        <v>-300</v>
      </c>
      <c r="O67" s="15">
        <f t="shared" si="16"/>
        <v>-300</v>
      </c>
      <c r="P67" s="15">
        <f t="shared" si="16"/>
        <v>-300</v>
      </c>
      <c r="Q67" s="15">
        <f t="shared" si="16"/>
        <v>-300</v>
      </c>
    </row>
    <row r="68" spans="1:17" s="4" customFormat="1" x14ac:dyDescent="0.2">
      <c r="B68" s="12" t="s">
        <v>50</v>
      </c>
    </row>
    <row r="69" spans="1:17" x14ac:dyDescent="0.2">
      <c r="A69" s="4"/>
      <c r="B69" t="s">
        <v>51</v>
      </c>
    </row>
    <row r="70" spans="1:17" x14ac:dyDescent="0.2">
      <c r="A70" s="4"/>
      <c r="B70" t="s">
        <v>52</v>
      </c>
    </row>
    <row r="71" spans="1:17" x14ac:dyDescent="0.2">
      <c r="A71" s="4"/>
      <c r="B71" t="s">
        <v>53</v>
      </c>
    </row>
    <row r="72" spans="1:17" x14ac:dyDescent="0.2">
      <c r="A72" s="4"/>
      <c r="B72" t="s">
        <v>54</v>
      </c>
    </row>
    <row r="73" spans="1:17" x14ac:dyDescent="0.2">
      <c r="A73" s="4"/>
      <c r="B73" t="s">
        <v>68</v>
      </c>
    </row>
    <row r="74" spans="1:17" x14ac:dyDescent="0.2">
      <c r="A74" s="4"/>
      <c r="B74" t="s">
        <v>56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spans="1:17" x14ac:dyDescent="0.2">
      <c r="A75" s="4"/>
      <c r="B75" t="s">
        <v>315</v>
      </c>
      <c r="H75" s="37">
        <v>-600</v>
      </c>
      <c r="I75" s="37">
        <v>-300</v>
      </c>
      <c r="J75" s="37">
        <v>-200</v>
      </c>
      <c r="K75" s="37">
        <v>-100</v>
      </c>
      <c r="L75" s="37">
        <v>-100</v>
      </c>
      <c r="M75" s="37">
        <v>-100</v>
      </c>
      <c r="N75" s="37">
        <v>-100</v>
      </c>
      <c r="O75" s="37">
        <v>-100</v>
      </c>
      <c r="P75" s="37">
        <v>-100</v>
      </c>
      <c r="Q75" s="37">
        <v>-100</v>
      </c>
    </row>
    <row r="76" spans="1:17" x14ac:dyDescent="0.2">
      <c r="A76" s="4"/>
      <c r="B76" t="s">
        <v>57</v>
      </c>
    </row>
    <row r="77" spans="1:17" x14ac:dyDescent="0.2">
      <c r="A77" s="4"/>
      <c r="B77" t="s">
        <v>55</v>
      </c>
    </row>
    <row r="78" spans="1:17" s="15" customFormat="1" x14ac:dyDescent="0.2">
      <c r="B78" s="16" t="s">
        <v>58</v>
      </c>
      <c r="D78" s="16"/>
      <c r="E78" s="16"/>
      <c r="F78" s="16"/>
      <c r="G78" s="16"/>
      <c r="H78" s="16">
        <f>H75</f>
        <v>-600</v>
      </c>
      <c r="I78" s="16">
        <f t="shared" ref="I78:Q78" si="17">I75</f>
        <v>-300</v>
      </c>
      <c r="J78" s="16">
        <f t="shared" si="17"/>
        <v>-200</v>
      </c>
      <c r="K78" s="16">
        <f t="shared" si="17"/>
        <v>-100</v>
      </c>
      <c r="L78" s="16">
        <f t="shared" si="17"/>
        <v>-100</v>
      </c>
      <c r="M78" s="16">
        <f t="shared" si="17"/>
        <v>-100</v>
      </c>
      <c r="N78" s="16">
        <f t="shared" si="17"/>
        <v>-100</v>
      </c>
      <c r="O78" s="16">
        <f t="shared" si="17"/>
        <v>-100</v>
      </c>
      <c r="P78" s="16">
        <f t="shared" si="17"/>
        <v>-100</v>
      </c>
      <c r="Q78" s="16">
        <f t="shared" si="17"/>
        <v>-100</v>
      </c>
    </row>
    <row r="79" spans="1:17" x14ac:dyDescent="0.2">
      <c r="A79" s="4"/>
      <c r="B79" t="s">
        <v>59</v>
      </c>
    </row>
    <row r="80" spans="1:17" x14ac:dyDescent="0.2">
      <c r="A80" s="4"/>
      <c r="B80" t="s">
        <v>60</v>
      </c>
      <c r="H80" s="52">
        <f>H60+H67+H78</f>
        <v>513.06174149999993</v>
      </c>
      <c r="I80" s="52">
        <f t="shared" ref="I80:Q80" si="18">I60+I67+I78</f>
        <v>785.22869719299979</v>
      </c>
      <c r="J80" s="52">
        <f t="shared" si="18"/>
        <v>820.10553090923054</v>
      </c>
      <c r="K80" s="52">
        <f t="shared" si="18"/>
        <v>901.4089962003743</v>
      </c>
      <c r="L80" s="52">
        <f t="shared" si="18"/>
        <v>918.62348077511842</v>
      </c>
      <c r="M80" s="52">
        <f t="shared" si="18"/>
        <v>947.20449193542277</v>
      </c>
      <c r="N80" s="52">
        <f t="shared" si="18"/>
        <v>975.96690255169801</v>
      </c>
      <c r="O80" s="52">
        <f t="shared" si="18"/>
        <v>1004.4572332800287</v>
      </c>
      <c r="P80" s="52">
        <f t="shared" si="18"/>
        <v>1033.4409142153568</v>
      </c>
      <c r="Q80" s="52">
        <f t="shared" si="18"/>
        <v>1062.9232628789637</v>
      </c>
    </row>
    <row r="81" spans="1:10" x14ac:dyDescent="0.2">
      <c r="A81" s="4"/>
      <c r="B81" t="s">
        <v>64</v>
      </c>
      <c r="H81">
        <f>426</f>
        <v>426</v>
      </c>
      <c r="I81" s="52">
        <f>H82</f>
        <v>939.06174149999993</v>
      </c>
      <c r="J81" s="52">
        <f>I82</f>
        <v>1724.2904386929997</v>
      </c>
    </row>
    <row r="82" spans="1:10" x14ac:dyDescent="0.2">
      <c r="A82" s="4"/>
      <c r="B82" t="s">
        <v>65</v>
      </c>
      <c r="H82" s="52">
        <f>H81+H80</f>
        <v>939.06174149999993</v>
      </c>
      <c r="I82" s="52">
        <f>I81+I80</f>
        <v>1724.2904386929997</v>
      </c>
      <c r="J82" s="52">
        <f>J81+J80</f>
        <v>2544.3959696022303</v>
      </c>
    </row>
    <row r="83" spans="1:10" x14ac:dyDescent="0.2">
      <c r="A83" s="4"/>
    </row>
    <row r="84" spans="1:10" x14ac:dyDescent="0.2">
      <c r="A84" s="4"/>
    </row>
    <row r="85" spans="1:10" x14ac:dyDescent="0.2">
      <c r="A85" s="4"/>
      <c r="B85" t="s">
        <v>43</v>
      </c>
    </row>
    <row r="86" spans="1:10" x14ac:dyDescent="0.2">
      <c r="A86" s="4"/>
      <c r="B86" t="s">
        <v>74</v>
      </c>
    </row>
    <row r="87" spans="1:10" x14ac:dyDescent="0.2">
      <c r="A87" s="4"/>
      <c r="B87" t="s">
        <v>75</v>
      </c>
    </row>
    <row r="88" spans="1:10" x14ac:dyDescent="0.2">
      <c r="A88" s="4"/>
      <c r="B88" t="s">
        <v>61</v>
      </c>
    </row>
    <row r="89" spans="1:10" x14ac:dyDescent="0.2">
      <c r="A89" s="4"/>
      <c r="B89" t="s">
        <v>62</v>
      </c>
    </row>
    <row r="90" spans="1:10" x14ac:dyDescent="0.2">
      <c r="A90" s="4"/>
      <c r="B90" t="s">
        <v>63</v>
      </c>
    </row>
    <row r="91" spans="1:10" x14ac:dyDescent="0.2">
      <c r="A91" s="4"/>
      <c r="B91" t="s">
        <v>43</v>
      </c>
    </row>
    <row r="92" spans="1:10" x14ac:dyDescent="0.2">
      <c r="A92" s="4"/>
    </row>
    <row r="93" spans="1:10" x14ac:dyDescent="0.2">
      <c r="A93" s="4"/>
      <c r="B93" s="13" t="s">
        <v>76</v>
      </c>
    </row>
    <row r="94" spans="1:10" x14ac:dyDescent="0.2">
      <c r="A94" s="4"/>
      <c r="B94" s="13" t="s">
        <v>77</v>
      </c>
    </row>
    <row r="95" spans="1:10" x14ac:dyDescent="0.2">
      <c r="A95" s="4"/>
      <c r="B95" s="13" t="s">
        <v>78</v>
      </c>
    </row>
    <row r="98" spans="1:4" s="19" customFormat="1" ht="16" x14ac:dyDescent="0.2">
      <c r="B98" s="20" t="s">
        <v>140</v>
      </c>
    </row>
    <row r="99" spans="1:4" x14ac:dyDescent="0.2">
      <c r="A99" s="14" t="s">
        <v>141</v>
      </c>
      <c r="B99" s="17" t="s">
        <v>79</v>
      </c>
    </row>
    <row r="100" spans="1:4" x14ac:dyDescent="0.2">
      <c r="A100" s="14"/>
      <c r="B100" t="s">
        <v>80</v>
      </c>
    </row>
    <row r="101" spans="1:4" x14ac:dyDescent="0.2">
      <c r="A101" s="14"/>
      <c r="B101" t="s">
        <v>81</v>
      </c>
    </row>
    <row r="102" spans="1:4" x14ac:dyDescent="0.2">
      <c r="A102" s="14"/>
      <c r="B102" t="s">
        <v>82</v>
      </c>
    </row>
    <row r="103" spans="1:4" x14ac:dyDescent="0.2">
      <c r="A103" s="14"/>
      <c r="B103" t="s">
        <v>83</v>
      </c>
    </row>
    <row r="104" spans="1:4" x14ac:dyDescent="0.2">
      <c r="A104" s="14"/>
      <c r="B104" t="s">
        <v>84</v>
      </c>
    </row>
    <row r="105" spans="1:4" x14ac:dyDescent="0.2">
      <c r="A105" s="14"/>
      <c r="B105" t="s">
        <v>126</v>
      </c>
    </row>
    <row r="106" spans="1:4" x14ac:dyDescent="0.2">
      <c r="A106" s="14"/>
      <c r="B106" t="s">
        <v>85</v>
      </c>
    </row>
    <row r="107" spans="1:4" x14ac:dyDescent="0.2">
      <c r="A107" s="14"/>
      <c r="B107" t="s">
        <v>86</v>
      </c>
      <c r="D107" s="3"/>
    </row>
    <row r="108" spans="1:4" x14ac:dyDescent="0.2">
      <c r="A108" s="14"/>
      <c r="B108" t="s">
        <v>87</v>
      </c>
    </row>
    <row r="109" spans="1:4" x14ac:dyDescent="0.2">
      <c r="A109" s="14"/>
      <c r="B109" t="s">
        <v>88</v>
      </c>
    </row>
    <row r="110" spans="1:4" x14ac:dyDescent="0.2">
      <c r="A110" s="14"/>
      <c r="B110" t="s">
        <v>89</v>
      </c>
    </row>
    <row r="111" spans="1:4" x14ac:dyDescent="0.2">
      <c r="A111" s="14"/>
      <c r="B111" t="s">
        <v>90</v>
      </c>
    </row>
    <row r="112" spans="1:4" x14ac:dyDescent="0.2">
      <c r="A112" s="14"/>
      <c r="B112" t="s">
        <v>91</v>
      </c>
    </row>
    <row r="113" spans="1:4" s="17" customFormat="1" x14ac:dyDescent="0.2">
      <c r="A113" s="14"/>
      <c r="B113" s="17" t="s">
        <v>92</v>
      </c>
      <c r="D113" s="18"/>
    </row>
    <row r="114" spans="1:4" x14ac:dyDescent="0.2">
      <c r="A114" s="14"/>
    </row>
    <row r="115" spans="1:4" x14ac:dyDescent="0.2">
      <c r="A115" s="14"/>
      <c r="B115" t="s">
        <v>94</v>
      </c>
    </row>
    <row r="116" spans="1:4" x14ac:dyDescent="0.2">
      <c r="A116" s="14"/>
      <c r="B116" t="s">
        <v>93</v>
      </c>
    </row>
    <row r="117" spans="1:4" x14ac:dyDescent="0.2">
      <c r="A117" s="14"/>
      <c r="B117" t="s">
        <v>111</v>
      </c>
    </row>
    <row r="118" spans="1:4" x14ac:dyDescent="0.2">
      <c r="A118" s="14"/>
      <c r="B118" t="s">
        <v>95</v>
      </c>
    </row>
    <row r="119" spans="1:4" x14ac:dyDescent="0.2">
      <c r="A119" s="14"/>
      <c r="B119" t="s">
        <v>96</v>
      </c>
    </row>
    <row r="120" spans="1:4" x14ac:dyDescent="0.2">
      <c r="A120" s="14"/>
      <c r="B120" t="s">
        <v>97</v>
      </c>
    </row>
    <row r="121" spans="1:4" x14ac:dyDescent="0.2">
      <c r="A121" s="14"/>
      <c r="B121" t="s">
        <v>98</v>
      </c>
    </row>
    <row r="122" spans="1:4" x14ac:dyDescent="0.2">
      <c r="A122" s="14"/>
      <c r="B122" t="s">
        <v>112</v>
      </c>
    </row>
    <row r="123" spans="1:4" x14ac:dyDescent="0.2">
      <c r="A123" s="14"/>
      <c r="B123" t="s">
        <v>39</v>
      </c>
    </row>
    <row r="124" spans="1:4" x14ac:dyDescent="0.2">
      <c r="A124" s="14"/>
      <c r="B124" t="s">
        <v>99</v>
      </c>
    </row>
    <row r="125" spans="1:4" x14ac:dyDescent="0.2">
      <c r="A125" s="14"/>
      <c r="B125" t="s">
        <v>100</v>
      </c>
    </row>
    <row r="126" spans="1:4" x14ac:dyDescent="0.2">
      <c r="A126" s="14"/>
      <c r="B126" t="s">
        <v>101</v>
      </c>
    </row>
    <row r="127" spans="1:4" x14ac:dyDescent="0.2">
      <c r="A127" s="14"/>
      <c r="B127" t="s">
        <v>102</v>
      </c>
    </row>
    <row r="128" spans="1:4" x14ac:dyDescent="0.2">
      <c r="A128" s="14"/>
      <c r="B128" t="s">
        <v>103</v>
      </c>
    </row>
    <row r="129" spans="1:24" x14ac:dyDescent="0.2">
      <c r="A129" s="14"/>
      <c r="B129" t="s">
        <v>104</v>
      </c>
    </row>
    <row r="130" spans="1:24" x14ac:dyDescent="0.2">
      <c r="A130" s="14"/>
      <c r="B130" t="s">
        <v>105</v>
      </c>
    </row>
    <row r="131" spans="1:24" x14ac:dyDescent="0.2">
      <c r="A131" s="14"/>
      <c r="B131" t="s">
        <v>106</v>
      </c>
    </row>
    <row r="132" spans="1:24" x14ac:dyDescent="0.2">
      <c r="A132" s="14"/>
      <c r="B132" t="s">
        <v>107</v>
      </c>
      <c r="D132" s="3"/>
    </row>
    <row r="133" spans="1:24" x14ac:dyDescent="0.2">
      <c r="A133" s="14"/>
      <c r="B133" t="s">
        <v>108</v>
      </c>
    </row>
    <row r="134" spans="1:24" x14ac:dyDescent="0.2">
      <c r="A134" s="14"/>
      <c r="B134" t="s">
        <v>109</v>
      </c>
      <c r="D134" s="3"/>
    </row>
    <row r="135" spans="1:24" x14ac:dyDescent="0.2">
      <c r="A135" s="14"/>
      <c r="B135" t="s">
        <v>110</v>
      </c>
      <c r="D135" s="3"/>
      <c r="E135" s="17" t="s">
        <v>346</v>
      </c>
      <c r="F135" s="97">
        <v>7.2999999999999995E-2</v>
      </c>
    </row>
    <row r="136" spans="1:24" x14ac:dyDescent="0.2">
      <c r="E136" s="85" t="s">
        <v>351</v>
      </c>
      <c r="F136" s="94">
        <v>2.1999999999999999E-2</v>
      </c>
    </row>
    <row r="137" spans="1:24" x14ac:dyDescent="0.2">
      <c r="E137" t="s">
        <v>352</v>
      </c>
      <c r="F137">
        <f>Q80*(1+F$136)/(F$135-F$136)</f>
        <v>21300.148522790212</v>
      </c>
      <c r="R137" s="88" t="s">
        <v>354</v>
      </c>
    </row>
    <row r="138" spans="1:24" x14ac:dyDescent="0.2">
      <c r="H138">
        <v>1</v>
      </c>
      <c r="I138">
        <f>H138+1</f>
        <v>2</v>
      </c>
      <c r="J138">
        <f t="shared" ref="J138:Q138" si="19">I138+1</f>
        <v>3</v>
      </c>
      <c r="K138">
        <f t="shared" si="19"/>
        <v>4</v>
      </c>
      <c r="L138">
        <f t="shared" si="19"/>
        <v>5</v>
      </c>
      <c r="M138">
        <f t="shared" si="19"/>
        <v>6</v>
      </c>
      <c r="N138">
        <f t="shared" si="19"/>
        <v>7</v>
      </c>
      <c r="O138">
        <f t="shared" si="19"/>
        <v>8</v>
      </c>
      <c r="P138">
        <f t="shared" si="19"/>
        <v>9</v>
      </c>
      <c r="Q138">
        <f t="shared" si="19"/>
        <v>10</v>
      </c>
      <c r="R138" s="88">
        <v>11</v>
      </c>
    </row>
    <row r="139" spans="1:24" x14ac:dyDescent="0.2">
      <c r="E139" t="s">
        <v>344</v>
      </c>
      <c r="H139">
        <f t="shared" ref="H139:Q139" si="20">H80/(1+$F$135)^H138</f>
        <v>478.15632945013976</v>
      </c>
      <c r="I139">
        <f t="shared" si="20"/>
        <v>682.01938559091263</v>
      </c>
      <c r="J139">
        <f t="shared" si="20"/>
        <v>663.85094062355495</v>
      </c>
      <c r="K139">
        <f t="shared" si="20"/>
        <v>680.02205799083117</v>
      </c>
      <c r="L139">
        <f t="shared" si="20"/>
        <v>645.86080911596014</v>
      </c>
      <c r="M139">
        <f t="shared" si="20"/>
        <v>620.64808132285168</v>
      </c>
      <c r="N139">
        <f t="shared" si="20"/>
        <v>595.98734223446058</v>
      </c>
      <c r="O139">
        <f t="shared" si="20"/>
        <v>571.65456352320007</v>
      </c>
      <c r="P139">
        <f t="shared" si="20"/>
        <v>548.13578224743185</v>
      </c>
      <c r="Q139">
        <f t="shared" si="20"/>
        <v>525.41769198582028</v>
      </c>
      <c r="R139" s="88">
        <f>$F$137/(1+$F$135)^R$138</f>
        <v>9812.6360252454779</v>
      </c>
    </row>
    <row r="140" spans="1:24" x14ac:dyDescent="0.2">
      <c r="E140" t="s">
        <v>345</v>
      </c>
      <c r="I140">
        <f t="shared" ref="I140:Q140" si="21">I80/(1+$F$135)^(I138-1)</f>
        <v>731.80680073904921</v>
      </c>
      <c r="J140">
        <f t="shared" si="21"/>
        <v>712.31205928907434</v>
      </c>
      <c r="K140">
        <f t="shared" si="21"/>
        <v>729.66366822416182</v>
      </c>
      <c r="L140">
        <f t="shared" si="21"/>
        <v>693.0086481814252</v>
      </c>
      <c r="M140">
        <f t="shared" si="21"/>
        <v>665.9553912594198</v>
      </c>
      <c r="N140">
        <f t="shared" si="21"/>
        <v>639.49441821757603</v>
      </c>
      <c r="O140">
        <f t="shared" si="21"/>
        <v>613.38534666039357</v>
      </c>
      <c r="P140">
        <f t="shared" si="21"/>
        <v>588.1496943514943</v>
      </c>
      <c r="Q140">
        <f t="shared" si="21"/>
        <v>563.77318350078508</v>
      </c>
      <c r="R140" s="88">
        <f>$F$137/(1+$F$135)^(R$138-1)</f>
        <v>10528.958455088397</v>
      </c>
    </row>
    <row r="141" spans="1:24" x14ac:dyDescent="0.2">
      <c r="A141" s="36"/>
      <c r="B141" s="36"/>
      <c r="C141" s="36"/>
      <c r="D141" s="36"/>
      <c r="E141" s="36"/>
      <c r="F141" s="36"/>
      <c r="G141" s="36"/>
      <c r="H141" s="36"/>
      <c r="I141" s="36"/>
      <c r="J141" s="36">
        <f>J80/(1+$F$135)^(J138-2)</f>
        <v>764.31083961717673</v>
      </c>
      <c r="K141" s="36">
        <f t="shared" ref="K141:Q141" si="22">K80/(1+$F$135)^(K138-2)</f>
        <v>782.92911600452555</v>
      </c>
      <c r="L141" s="36">
        <f t="shared" si="22"/>
        <v>743.59827949866917</v>
      </c>
      <c r="M141" s="36">
        <f t="shared" si="22"/>
        <v>714.57013482135733</v>
      </c>
      <c r="N141" s="36">
        <f t="shared" si="22"/>
        <v>686.17751074745911</v>
      </c>
      <c r="O141" s="36">
        <f t="shared" si="22"/>
        <v>658.16247696660218</v>
      </c>
      <c r="P141" s="36">
        <f t="shared" si="22"/>
        <v>631.08462203915337</v>
      </c>
      <c r="Q141" s="36">
        <f t="shared" si="22"/>
        <v>604.9286258963424</v>
      </c>
      <c r="R141" s="88">
        <f>$F$137/(1+$F$135)^(R$138-2)</f>
        <v>11297.57242230985</v>
      </c>
      <c r="S141" s="36"/>
      <c r="T141" s="36"/>
      <c r="U141" s="36"/>
      <c r="V141" s="36"/>
      <c r="W141" s="36"/>
      <c r="X141" s="36"/>
    </row>
    <row r="142" spans="1:24" x14ac:dyDescent="0.2">
      <c r="A142" s="36"/>
      <c r="B142" s="36"/>
      <c r="C142" s="36"/>
      <c r="D142" s="36"/>
      <c r="E142" s="36"/>
      <c r="F142" s="36"/>
      <c r="G142" s="27" t="s">
        <v>333</v>
      </c>
      <c r="H142" s="91">
        <v>2016</v>
      </c>
      <c r="I142" s="91">
        <v>2017</v>
      </c>
      <c r="J142" s="91">
        <v>2017</v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x14ac:dyDescent="0.2">
      <c r="A143" s="36"/>
      <c r="B143" t="s">
        <v>342</v>
      </c>
      <c r="C143" s="36"/>
      <c r="D143" s="36"/>
      <c r="E143" s="36"/>
      <c r="F143" s="36"/>
      <c r="G143" s="36"/>
      <c r="H143" s="36">
        <v>491</v>
      </c>
      <c r="I143" s="36">
        <f>H146</f>
        <v>468.77777777777777</v>
      </c>
      <c r="J143" s="36">
        <f>I146</f>
        <v>457.66666666666669</v>
      </c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x14ac:dyDescent="0.2">
      <c r="A144" s="36"/>
      <c r="B144" t="s">
        <v>340</v>
      </c>
      <c r="C144" s="36"/>
      <c r="D144" s="36"/>
      <c r="E144" s="36"/>
      <c r="F144" s="36"/>
      <c r="G144" s="36"/>
      <c r="H144" s="36">
        <v>27</v>
      </c>
      <c r="I144" s="36">
        <v>27</v>
      </c>
      <c r="J144" s="36">
        <v>27</v>
      </c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x14ac:dyDescent="0.2">
      <c r="A145" s="36"/>
      <c r="B145" t="s">
        <v>341</v>
      </c>
      <c r="C145" s="36"/>
      <c r="D145" s="36"/>
      <c r="E145" s="36"/>
      <c r="F145" s="36"/>
      <c r="G145" s="36"/>
      <c r="H145" s="36">
        <f>-H75/H144</f>
        <v>22.222222222222221</v>
      </c>
      <c r="I145" s="36">
        <f>-I75/I144</f>
        <v>11.111111111111111</v>
      </c>
      <c r="J145" s="36">
        <f>-J75/J144</f>
        <v>7.4074074074074074</v>
      </c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x14ac:dyDescent="0.2">
      <c r="A146" s="36"/>
      <c r="B146" s="36" t="s">
        <v>343</v>
      </c>
      <c r="C146" s="36"/>
      <c r="D146" s="36"/>
      <c r="E146" s="36"/>
      <c r="F146" s="36"/>
      <c r="G146" s="36"/>
      <c r="H146" s="36">
        <f>H143-H145</f>
        <v>468.77777777777777</v>
      </c>
      <c r="I146" s="36">
        <f>I143-I145</f>
        <v>457.66666666666669</v>
      </c>
      <c r="J146" s="36">
        <f>J143-J145</f>
        <v>450.2592592592593</v>
      </c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x14ac:dyDescent="0.2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x14ac:dyDescent="0.2">
      <c r="A148" s="36"/>
      <c r="C148" s="36"/>
      <c r="D148" s="36"/>
      <c r="E148" s="36"/>
      <c r="G148" s="36" t="s">
        <v>353</v>
      </c>
      <c r="H148" s="81">
        <f>SUM(H139:R139)</f>
        <v>15824.38900933064</v>
      </c>
      <c r="I148" s="81">
        <f>SUM(I140:R140)</f>
        <v>16466.507665511777</v>
      </c>
      <c r="J148" s="81">
        <f>SUM(J141:R141)</f>
        <v>16883.334027901135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x14ac:dyDescent="0.2">
      <c r="A149" s="36"/>
      <c r="C149" s="36"/>
      <c r="D149" s="36"/>
      <c r="E149" s="36"/>
      <c r="G149" t="s">
        <v>347</v>
      </c>
      <c r="H149" s="92">
        <v>6653</v>
      </c>
      <c r="I149" s="92">
        <v>6653</v>
      </c>
      <c r="J149" s="92">
        <v>6653</v>
      </c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x14ac:dyDescent="0.2">
      <c r="A150" s="36"/>
      <c r="C150" s="36"/>
      <c r="D150" s="36"/>
      <c r="E150" s="36"/>
      <c r="G150" t="s">
        <v>350</v>
      </c>
      <c r="H150" s="92">
        <f>H82</f>
        <v>939.06174149999993</v>
      </c>
      <c r="I150" s="92">
        <f>I82</f>
        <v>1724.2904386929997</v>
      </c>
      <c r="J150" s="92">
        <f>J82</f>
        <v>2544.3959696022303</v>
      </c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s="24" customFormat="1" ht="21" x14ac:dyDescent="0.25">
      <c r="A151" s="62"/>
      <c r="B151" s="63"/>
      <c r="C151" s="62"/>
      <c r="D151" s="62"/>
      <c r="E151" s="62"/>
      <c r="F151" s="82" t="s">
        <v>348</v>
      </c>
      <c r="H151" s="83">
        <f>H148-H149+H150</f>
        <v>10110.45075083064</v>
      </c>
      <c r="I151" s="83">
        <f>I148-I149+I150</f>
        <v>11537.798104204778</v>
      </c>
      <c r="J151" s="83">
        <f>J148-J149+J150</f>
        <v>12774.729997503366</v>
      </c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 spans="1:24" ht="16" x14ac:dyDescent="0.2">
      <c r="A152" s="36"/>
      <c r="B152" s="36"/>
      <c r="C152" s="36"/>
      <c r="D152" s="36"/>
      <c r="E152" s="36"/>
      <c r="F152" s="36"/>
      <c r="G152" s="89" t="s">
        <v>349</v>
      </c>
      <c r="H152" s="90">
        <f>H151/H143</f>
        <v>20.591549390693768</v>
      </c>
      <c r="I152" s="90">
        <f>I151/I143</f>
        <v>24.612510769813461</v>
      </c>
      <c r="J152" s="90">
        <f>J151/J143</f>
        <v>27.91273852331398</v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ht="16" x14ac:dyDescent="0.2">
      <c r="A153" s="36"/>
      <c r="B153" s="36"/>
      <c r="C153" s="36"/>
      <c r="D153" s="36"/>
      <c r="E153" s="36"/>
      <c r="F153" s="36"/>
      <c r="G153" s="89"/>
      <c r="H153" s="90"/>
      <c r="I153" s="93">
        <f>I152/H152-1</f>
        <v>0.19527240533618828</v>
      </c>
      <c r="J153" s="93">
        <f>J152/I152-1</f>
        <v>0.1340874071875735</v>
      </c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ht="16" x14ac:dyDescent="0.2">
      <c r="A154" s="36"/>
      <c r="B154" s="36"/>
      <c r="C154" s="36"/>
      <c r="D154" s="36"/>
      <c r="E154" s="36"/>
      <c r="F154" s="36"/>
      <c r="G154" s="89"/>
      <c r="H154" s="90"/>
      <c r="I154" s="90"/>
      <c r="J154" s="90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x14ac:dyDescent="0.2">
      <c r="A155" s="36"/>
      <c r="B155" s="36"/>
      <c r="C155" s="36"/>
      <c r="D155" s="36"/>
      <c r="F155" s="36"/>
      <c r="G155" s="36"/>
      <c r="H155" s="36">
        <v>2016</v>
      </c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x14ac:dyDescent="0.2">
      <c r="A156" s="36"/>
      <c r="B156" s="36" t="s">
        <v>336</v>
      </c>
      <c r="C156" s="36"/>
      <c r="D156" s="36">
        <v>287</v>
      </c>
      <c r="G156" s="36"/>
      <c r="H156" s="36">
        <v>287</v>
      </c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x14ac:dyDescent="0.2">
      <c r="A157" s="36"/>
      <c r="B157" s="36" t="s">
        <v>337</v>
      </c>
      <c r="C157" s="36"/>
      <c r="D157" s="36">
        <v>504</v>
      </c>
      <c r="G157" s="36"/>
      <c r="H157" s="36">
        <v>504</v>
      </c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x14ac:dyDescent="0.2">
      <c r="A158" s="36"/>
      <c r="B158" s="36" t="s">
        <v>338</v>
      </c>
      <c r="C158" s="36"/>
      <c r="D158" s="36">
        <v>346</v>
      </c>
      <c r="G158" s="36"/>
      <c r="H158" s="36">
        <v>346</v>
      </c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s="17" customFormat="1" x14ac:dyDescent="0.2">
      <c r="A159" s="36"/>
      <c r="B159" s="49" t="s">
        <v>267</v>
      </c>
      <c r="C159" s="49">
        <v>399</v>
      </c>
      <c r="D159" s="49">
        <v>399</v>
      </c>
      <c r="G159" s="78"/>
      <c r="H159" s="49">
        <v>400</v>
      </c>
      <c r="I159" s="36"/>
      <c r="J159" s="36"/>
      <c r="K159" s="36"/>
      <c r="L159" s="36"/>
      <c r="M159" s="36"/>
      <c r="N159" s="36"/>
      <c r="O159" s="36"/>
      <c r="P159" s="36"/>
      <c r="Q159" s="49">
        <f>D159*0.03125</f>
        <v>12.46875</v>
      </c>
      <c r="R159"/>
      <c r="S159" s="36"/>
      <c r="T159" s="36"/>
      <c r="U159" s="36"/>
      <c r="V159" s="36"/>
      <c r="W159" s="36"/>
      <c r="X159" s="36"/>
    </row>
    <row r="160" spans="1:24" x14ac:dyDescent="0.2">
      <c r="A160" s="36"/>
      <c r="B160" s="49" t="s">
        <v>254</v>
      </c>
      <c r="C160" s="49">
        <v>500</v>
      </c>
      <c r="D160" s="49" t="s">
        <v>255</v>
      </c>
      <c r="G160" s="36"/>
      <c r="H160" s="49" t="s">
        <v>255</v>
      </c>
      <c r="I160" s="36"/>
      <c r="J160" s="36"/>
      <c r="K160" s="36"/>
      <c r="L160" s="36"/>
      <c r="M160" s="36"/>
      <c r="N160" s="36"/>
      <c r="O160" s="36"/>
      <c r="P160" s="36"/>
      <c r="Q160" s="49"/>
      <c r="S160" s="36"/>
      <c r="T160" s="36"/>
      <c r="U160" s="36"/>
      <c r="V160" s="36"/>
      <c r="W160" s="36"/>
      <c r="X160" s="36"/>
    </row>
    <row r="161" spans="1:24" x14ac:dyDescent="0.2">
      <c r="A161" s="36"/>
      <c r="B161" s="49" t="s">
        <v>256</v>
      </c>
      <c r="C161" s="49">
        <v>500</v>
      </c>
      <c r="D161" s="49">
        <v>500</v>
      </c>
      <c r="G161" s="36"/>
      <c r="H161" s="49">
        <v>500</v>
      </c>
      <c r="I161" s="36"/>
      <c r="J161" s="36"/>
      <c r="K161" s="36"/>
      <c r="L161" s="36"/>
      <c r="M161" s="36"/>
      <c r="N161" s="36"/>
      <c r="O161" s="36"/>
      <c r="P161" s="36"/>
      <c r="Q161" s="49">
        <f>D161*0.05125</f>
        <v>25.625</v>
      </c>
      <c r="S161" s="36"/>
      <c r="T161" s="36"/>
      <c r="U161" s="36"/>
      <c r="V161" s="36"/>
      <c r="W161" s="36"/>
      <c r="X161" s="36"/>
    </row>
    <row r="162" spans="1:24" x14ac:dyDescent="0.2">
      <c r="A162" s="36"/>
      <c r="B162" s="49" t="s">
        <v>257</v>
      </c>
      <c r="C162" s="49">
        <v>750</v>
      </c>
      <c r="D162" s="49">
        <v>750</v>
      </c>
      <c r="G162" s="36"/>
      <c r="H162" s="49">
        <v>750</v>
      </c>
      <c r="I162" s="36"/>
      <c r="J162" s="36"/>
      <c r="K162" s="36"/>
      <c r="L162" s="36"/>
      <c r="M162" s="36"/>
      <c r="N162" s="36"/>
      <c r="O162" s="36"/>
      <c r="P162" s="36"/>
      <c r="Q162" s="49">
        <f>D162*0.04375</f>
        <v>32.8125</v>
      </c>
      <c r="S162" s="36"/>
      <c r="T162" s="36"/>
      <c r="U162" s="36"/>
      <c r="V162" s="36"/>
      <c r="W162" s="36"/>
      <c r="X162" s="36"/>
    </row>
    <row r="163" spans="1:24" x14ac:dyDescent="0.2">
      <c r="A163" s="36"/>
      <c r="B163" s="49" t="s">
        <v>258</v>
      </c>
      <c r="C163" s="49">
        <v>600</v>
      </c>
      <c r="D163" s="49">
        <v>600</v>
      </c>
      <c r="G163" s="36"/>
      <c r="H163" s="49">
        <v>600</v>
      </c>
      <c r="I163" s="36"/>
      <c r="J163" s="36"/>
      <c r="K163" s="36"/>
      <c r="L163" s="36"/>
      <c r="M163" s="36"/>
      <c r="N163" s="36"/>
      <c r="O163" s="36"/>
      <c r="P163" s="36"/>
      <c r="Q163" s="49">
        <f>D163*0.0485</f>
        <v>29.1</v>
      </c>
      <c r="S163" s="36"/>
      <c r="T163" s="36"/>
      <c r="U163" s="36"/>
      <c r="V163" s="36"/>
      <c r="W163" s="36"/>
      <c r="X163" s="36"/>
    </row>
    <row r="164" spans="1:24" x14ac:dyDescent="0.2">
      <c r="A164" s="36"/>
      <c r="B164" s="49" t="s">
        <v>259</v>
      </c>
      <c r="C164" s="49">
        <v>599</v>
      </c>
      <c r="D164" s="49">
        <v>599</v>
      </c>
      <c r="G164" s="36"/>
      <c r="H164" s="49">
        <v>600</v>
      </c>
      <c r="I164" s="36"/>
      <c r="J164" s="36"/>
      <c r="K164" s="36"/>
      <c r="L164" s="36"/>
      <c r="M164" s="36"/>
      <c r="N164" s="36"/>
      <c r="O164" s="36"/>
      <c r="P164" s="36"/>
      <c r="Q164" s="49">
        <f>D164*0.0445</f>
        <v>26.6555</v>
      </c>
      <c r="S164" s="36"/>
      <c r="T164" s="36"/>
      <c r="U164" s="36"/>
      <c r="V164" s="36"/>
      <c r="W164" s="36"/>
      <c r="X164" s="36"/>
    </row>
    <row r="165" spans="1:24" x14ac:dyDescent="0.2">
      <c r="A165" s="36"/>
      <c r="B165" s="49" t="s">
        <v>260</v>
      </c>
      <c r="C165" s="49">
        <v>399</v>
      </c>
      <c r="D165" s="49">
        <v>399</v>
      </c>
      <c r="G165" s="36"/>
      <c r="H165" s="49">
        <v>400</v>
      </c>
      <c r="I165" s="36"/>
      <c r="J165" s="36"/>
      <c r="K165" s="36"/>
      <c r="L165" s="36"/>
      <c r="M165" s="36"/>
      <c r="N165" s="36"/>
      <c r="O165" s="36"/>
      <c r="P165" s="36"/>
      <c r="Q165" s="49">
        <f>D165*0.0545</f>
        <v>21.7455</v>
      </c>
      <c r="S165" s="36"/>
      <c r="T165" s="36"/>
      <c r="U165" s="36"/>
      <c r="V165" s="36"/>
      <c r="W165" s="36"/>
      <c r="X165" s="36"/>
    </row>
    <row r="166" spans="1:24" x14ac:dyDescent="0.2">
      <c r="A166" s="36"/>
      <c r="B166" s="49" t="s">
        <v>261</v>
      </c>
      <c r="C166" s="49">
        <v>300</v>
      </c>
      <c r="D166" s="49">
        <v>300</v>
      </c>
      <c r="G166" s="36"/>
      <c r="H166" s="49">
        <v>300</v>
      </c>
      <c r="I166" s="36"/>
      <c r="J166" s="36"/>
      <c r="K166" s="36"/>
      <c r="L166" s="36"/>
      <c r="M166" s="36"/>
      <c r="N166" s="36"/>
      <c r="O166" s="36"/>
      <c r="P166" s="36"/>
      <c r="Q166" s="49">
        <f>D166*0.0595</f>
        <v>17.849999999999998</v>
      </c>
      <c r="R166">
        <f>SUM(Q159:Q166)</f>
        <v>166.25725</v>
      </c>
      <c r="S166" s="36"/>
      <c r="T166" s="36"/>
      <c r="U166" s="36"/>
      <c r="V166" s="36"/>
      <c r="W166" s="36"/>
      <c r="X166" s="36"/>
    </row>
    <row r="167" spans="1:24" x14ac:dyDescent="0.2">
      <c r="A167" s="36"/>
      <c r="B167" s="49" t="s">
        <v>262</v>
      </c>
      <c r="C167" s="49">
        <v>508</v>
      </c>
      <c r="D167" s="50">
        <v>1815</v>
      </c>
      <c r="G167" s="36"/>
      <c r="H167" s="50">
        <v>1894</v>
      </c>
      <c r="I167" s="36"/>
      <c r="J167" s="36"/>
      <c r="K167" s="36"/>
      <c r="L167" s="36"/>
      <c r="M167" s="36"/>
      <c r="N167" s="36"/>
      <c r="O167" s="36"/>
      <c r="P167" s="36"/>
      <c r="Q167" s="50"/>
      <c r="S167" s="36"/>
      <c r="T167" s="36"/>
      <c r="U167" s="36"/>
      <c r="V167" s="36"/>
      <c r="W167" s="36"/>
      <c r="X167" s="36"/>
    </row>
    <row r="168" spans="1:24" x14ac:dyDescent="0.2">
      <c r="A168" s="36"/>
      <c r="B168" s="49" t="s">
        <v>263</v>
      </c>
      <c r="C168" s="49">
        <v>74</v>
      </c>
      <c r="D168" s="49">
        <v>72</v>
      </c>
      <c r="F168" s="49"/>
      <c r="G168" s="36"/>
      <c r="H168" s="49">
        <v>72</v>
      </c>
      <c r="I168" s="36"/>
      <c r="J168" s="36"/>
      <c r="K168" s="36"/>
      <c r="L168" s="36"/>
      <c r="M168" s="36"/>
      <c r="N168" s="36"/>
      <c r="O168" s="36"/>
      <c r="P168" s="36"/>
      <c r="Q168" s="49"/>
      <c r="S168" s="36"/>
      <c r="T168" s="36"/>
      <c r="U168" s="36"/>
      <c r="V168" s="36"/>
      <c r="W168" s="36"/>
      <c r="X168" s="36"/>
    </row>
    <row r="169" spans="1:24" x14ac:dyDescent="0.2">
      <c r="A169" s="36"/>
      <c r="B169" s="48" t="s">
        <v>264</v>
      </c>
      <c r="C169" s="48">
        <v>-41</v>
      </c>
      <c r="D169" s="48">
        <v>-32</v>
      </c>
      <c r="F169" s="48"/>
      <c r="G169" s="36"/>
      <c r="I169" s="36"/>
      <c r="J169" s="36"/>
      <c r="K169" s="36"/>
      <c r="L169" s="36"/>
      <c r="M169" s="36"/>
      <c r="N169" s="36"/>
      <c r="O169" s="36"/>
      <c r="P169" s="36"/>
      <c r="Q169" s="48"/>
      <c r="S169" s="36"/>
      <c r="T169" s="36"/>
      <c r="U169" s="36"/>
      <c r="V169" s="36"/>
      <c r="W169" s="36"/>
      <c r="X169" s="36"/>
    </row>
    <row r="170" spans="1:24" x14ac:dyDescent="0.2">
      <c r="A170" s="36"/>
      <c r="B170" s="86" t="s">
        <v>265</v>
      </c>
      <c r="C170" s="87">
        <v>4588</v>
      </c>
      <c r="D170" s="87">
        <v>5402</v>
      </c>
      <c r="E170" s="17"/>
      <c r="F170" s="86"/>
      <c r="G170" s="17"/>
      <c r="H170" s="17">
        <f>SUM(H156:H168)</f>
        <v>6653</v>
      </c>
      <c r="I170" s="36"/>
      <c r="J170" s="36"/>
      <c r="K170" s="36"/>
      <c r="L170" s="36"/>
      <c r="M170" s="36"/>
      <c r="N170" s="36"/>
      <c r="O170" s="36"/>
      <c r="P170" s="36"/>
      <c r="Q170" s="50"/>
      <c r="S170" s="36"/>
      <c r="T170" s="36"/>
      <c r="U170" s="36"/>
      <c r="V170" s="36"/>
      <c r="W170" s="36"/>
      <c r="X170" s="36"/>
    </row>
    <row r="171" spans="1:24" x14ac:dyDescent="0.2">
      <c r="A171" s="36"/>
      <c r="B171" s="49"/>
      <c r="F171" s="49"/>
      <c r="G171" s="36"/>
      <c r="I171" s="36"/>
      <c r="J171" s="36"/>
      <c r="K171" s="36"/>
      <c r="L171" s="36"/>
      <c r="M171" s="36"/>
      <c r="N171" s="36"/>
      <c r="O171" s="36"/>
      <c r="P171" s="36"/>
      <c r="S171" s="36"/>
      <c r="T171" s="36"/>
      <c r="U171" s="36"/>
      <c r="V171" s="36"/>
      <c r="W171" s="36"/>
      <c r="X171" s="36"/>
    </row>
    <row r="172" spans="1:24" x14ac:dyDescent="0.2">
      <c r="A172" s="36"/>
      <c r="B172" s="48" t="s">
        <v>266</v>
      </c>
      <c r="C172" s="50">
        <v>-9</v>
      </c>
      <c r="D172" s="50">
        <v>-9</v>
      </c>
      <c r="F172" s="48"/>
      <c r="G172" s="36"/>
      <c r="I172" s="36"/>
      <c r="J172" s="36"/>
      <c r="K172" s="36"/>
      <c r="L172" s="36"/>
      <c r="M172" s="36"/>
      <c r="N172" s="36"/>
      <c r="O172" s="36"/>
      <c r="P172" s="36"/>
      <c r="Q172" s="50"/>
      <c r="S172" s="36"/>
      <c r="T172" s="36"/>
      <c r="U172" s="36"/>
      <c r="V172" s="36"/>
      <c r="W172" s="36"/>
      <c r="X172" s="36"/>
    </row>
    <row r="173" spans="1:24" x14ac:dyDescent="0.2">
      <c r="A173" s="36"/>
      <c r="B173" s="49" t="s">
        <v>98</v>
      </c>
      <c r="C173" s="49">
        <v>4579</v>
      </c>
      <c r="D173" s="49">
        <v>5393</v>
      </c>
      <c r="F173" s="50"/>
      <c r="G173" s="99"/>
      <c r="I173" s="36"/>
      <c r="J173" s="36"/>
      <c r="K173" s="36"/>
      <c r="L173" s="36"/>
      <c r="M173" s="36"/>
      <c r="N173" s="36"/>
      <c r="O173" s="36"/>
      <c r="P173" s="36"/>
      <c r="Q173" s="49"/>
      <c r="S173" s="36"/>
      <c r="T173" s="36"/>
      <c r="U173" s="36"/>
      <c r="V173" s="36"/>
      <c r="W173" s="36"/>
      <c r="X173" s="36"/>
    </row>
    <row r="174" spans="1:24" x14ac:dyDescent="0.2">
      <c r="A174" s="36"/>
      <c r="B174" s="49"/>
      <c r="C174" s="49"/>
      <c r="D174" s="50"/>
      <c r="F174" s="50"/>
      <c r="G174" s="99"/>
      <c r="H174" s="49"/>
      <c r="I174" s="36"/>
      <c r="J174" s="36"/>
      <c r="K174" s="36"/>
      <c r="L174" s="36"/>
      <c r="M174" s="36"/>
      <c r="N174" s="36"/>
      <c r="O174" s="36"/>
      <c r="P174" s="36"/>
      <c r="S174" s="36"/>
      <c r="T174" s="36"/>
      <c r="U174" s="36"/>
      <c r="V174" s="36"/>
      <c r="W174" s="36"/>
      <c r="X174" s="36"/>
    </row>
    <row r="175" spans="1:24" x14ac:dyDescent="0.2">
      <c r="A175" s="36"/>
      <c r="B175" s="36"/>
      <c r="C175" s="36"/>
      <c r="D175" s="36"/>
      <c r="F175" s="36"/>
      <c r="G175" s="36"/>
      <c r="H175" s="36">
        <v>2016</v>
      </c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x14ac:dyDescent="0.2">
      <c r="A176" s="36"/>
      <c r="B176" s="36"/>
      <c r="C176" s="36"/>
      <c r="D176" s="36"/>
      <c r="F176" s="36"/>
      <c r="G176" s="36"/>
      <c r="H176" s="36">
        <f>H156*0.085</f>
        <v>24.395000000000003</v>
      </c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x14ac:dyDescent="0.2">
      <c r="A177" s="36"/>
      <c r="B177" s="36"/>
      <c r="C177" s="36"/>
      <c r="D177" s="36"/>
      <c r="F177" s="36"/>
      <c r="G177" s="36"/>
      <c r="H177" s="36">
        <f>H157*0.0825</f>
        <v>41.580000000000005</v>
      </c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x14ac:dyDescent="0.2">
      <c r="A178" s="36"/>
      <c r="B178" s="36"/>
      <c r="C178" s="36"/>
      <c r="D178" s="36"/>
      <c r="F178" s="36"/>
      <c r="G178" s="36"/>
      <c r="H178" s="36">
        <f>H158*0.01</f>
        <v>3.46</v>
      </c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x14ac:dyDescent="0.2">
      <c r="A179" s="36"/>
      <c r="B179" s="36"/>
      <c r="C179" s="36"/>
      <c r="D179" s="36"/>
      <c r="F179" s="36"/>
      <c r="G179" s="36"/>
      <c r="H179">
        <f>H159*0.03125</f>
        <v>12.5</v>
      </c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x14ac:dyDescent="0.2">
      <c r="A180" s="36"/>
      <c r="B180" s="36"/>
      <c r="C180" s="36"/>
      <c r="D180" s="36"/>
      <c r="F180" s="37"/>
      <c r="G180" s="37"/>
      <c r="H180" s="49"/>
      <c r="I180" s="37"/>
      <c r="J180" s="37"/>
      <c r="K180" s="36"/>
      <c r="L180" s="36"/>
      <c r="M180" s="36"/>
      <c r="N180" s="37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x14ac:dyDescent="0.2">
      <c r="A181" s="36"/>
      <c r="B181" s="36"/>
      <c r="C181" s="36"/>
      <c r="D181" s="36"/>
      <c r="F181" s="37"/>
      <c r="G181" s="37"/>
      <c r="H181" s="49">
        <f>H161*0.05125</f>
        <v>25.625</v>
      </c>
      <c r="I181" s="37"/>
      <c r="J181" s="37"/>
      <c r="K181" s="36"/>
      <c r="L181" s="36"/>
      <c r="M181" s="36"/>
      <c r="N181" s="37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x14ac:dyDescent="0.2">
      <c r="A182" s="36"/>
      <c r="B182" s="36"/>
      <c r="C182" s="36"/>
      <c r="D182" s="36"/>
      <c r="F182" s="36"/>
      <c r="G182" s="36"/>
      <c r="H182" s="49">
        <f>H162*0.04375</f>
        <v>32.8125</v>
      </c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x14ac:dyDescent="0.2">
      <c r="A183" s="36"/>
      <c r="B183" s="36"/>
      <c r="C183" s="36"/>
      <c r="D183" s="36"/>
      <c r="F183" s="36"/>
      <c r="G183" s="36"/>
      <c r="H183" s="49">
        <f>H163*0.0485</f>
        <v>29.1</v>
      </c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x14ac:dyDescent="0.2">
      <c r="A184" s="36"/>
      <c r="B184" s="36"/>
      <c r="C184" s="36"/>
      <c r="D184" s="36"/>
      <c r="F184" s="36"/>
      <c r="G184" s="36"/>
      <c r="H184" s="49">
        <f>H164*0.0445</f>
        <v>26.7</v>
      </c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x14ac:dyDescent="0.2">
      <c r="A185" s="36"/>
      <c r="B185" s="36"/>
      <c r="C185" s="36"/>
      <c r="D185" s="36"/>
      <c r="F185" s="36"/>
      <c r="G185" s="36"/>
      <c r="H185" s="49">
        <f>H165*0.0545</f>
        <v>21.8</v>
      </c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x14ac:dyDescent="0.2">
      <c r="A186" s="36"/>
      <c r="B186" s="36"/>
      <c r="C186" s="36"/>
      <c r="D186" s="36"/>
      <c r="F186" s="36"/>
      <c r="G186" s="36"/>
      <c r="H186" s="49">
        <f>H166*0.0595</f>
        <v>17.849999999999998</v>
      </c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x14ac:dyDescent="0.2">
      <c r="A187" s="36"/>
      <c r="B187" s="36"/>
      <c r="C187" s="36"/>
      <c r="D187" s="36"/>
      <c r="F187" s="36"/>
      <c r="G187" s="36"/>
      <c r="H187" s="49">
        <f>H167*0.0225</f>
        <v>42.614999999999995</v>
      </c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x14ac:dyDescent="0.2">
      <c r="A188" s="36"/>
      <c r="B188" s="17" t="s">
        <v>339</v>
      </c>
      <c r="C188" s="17"/>
      <c r="D188" s="17"/>
      <c r="E188" s="17"/>
      <c r="F188" s="17"/>
      <c r="G188" s="17"/>
      <c r="H188" s="85">
        <f>SUM(H176:H187)</f>
        <v>278.4375</v>
      </c>
      <c r="I188" s="17"/>
      <c r="J188" s="17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x14ac:dyDescent="0.2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x14ac:dyDescent="0.2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x14ac:dyDescent="0.2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x14ac:dyDescent="0.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x14ac:dyDescent="0.2">
      <c r="A193" s="36"/>
      <c r="B193" s="36"/>
      <c r="C193" s="36"/>
      <c r="D193" s="36"/>
      <c r="E193" s="36"/>
      <c r="F193" s="95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x14ac:dyDescent="0.2">
      <c r="A194" s="36"/>
      <c r="B194" s="36"/>
      <c r="C194" s="36"/>
      <c r="D194" s="36"/>
      <c r="E194" s="36"/>
      <c r="F194" s="9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x14ac:dyDescent="0.2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x14ac:dyDescent="0.2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x14ac:dyDescent="0.2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x14ac:dyDescent="0.2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x14ac:dyDescent="0.2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x14ac:dyDescent="0.2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x14ac:dyDescent="0.2">
      <c r="A201" s="36"/>
      <c r="B201" s="64"/>
      <c r="C201" s="37"/>
      <c r="D201" s="37"/>
      <c r="E201" s="37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x14ac:dyDescent="0.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x14ac:dyDescent="0.2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x14ac:dyDescent="0.2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x14ac:dyDescent="0.2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x14ac:dyDescent="0.2">
      <c r="A206" s="36"/>
      <c r="B206" s="36"/>
      <c r="C206" s="36"/>
      <c r="D206" s="36"/>
      <c r="E206" s="36"/>
      <c r="F206" s="36"/>
      <c r="G206" s="36"/>
      <c r="H206" s="84"/>
      <c r="I206" s="84"/>
      <c r="J206" s="84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x14ac:dyDescent="0.2">
      <c r="A207" s="36"/>
      <c r="B207" s="36"/>
      <c r="C207" s="37"/>
      <c r="D207" s="37"/>
      <c r="E207" s="37"/>
      <c r="F207" s="36"/>
      <c r="G207" s="36"/>
      <c r="H207" s="84"/>
      <c r="I207" s="84"/>
      <c r="J207" s="84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x14ac:dyDescent="0.2">
      <c r="A208" s="36"/>
      <c r="B208" s="36"/>
      <c r="C208" s="36"/>
      <c r="D208" s="36"/>
      <c r="E208" s="36"/>
      <c r="F208" s="36"/>
      <c r="G208" s="36"/>
      <c r="H208" s="84"/>
      <c r="I208" s="84"/>
      <c r="J208" s="84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x14ac:dyDescent="0.2">
      <c r="A209" s="36"/>
      <c r="B209" s="36"/>
      <c r="C209" s="36"/>
      <c r="D209" s="36"/>
      <c r="E209" s="36"/>
      <c r="F209" s="36"/>
      <c r="G209" s="36"/>
      <c r="H209" s="84"/>
      <c r="I209" s="84"/>
      <c r="J209" s="84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x14ac:dyDescent="0.2">
      <c r="A210" s="36"/>
      <c r="B210" s="36"/>
      <c r="C210" s="36"/>
      <c r="D210" s="36"/>
      <c r="E210" s="36"/>
      <c r="F210" s="36"/>
      <c r="G210" s="36"/>
      <c r="H210" s="84"/>
      <c r="I210" s="84"/>
      <c r="J210" s="84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x14ac:dyDescent="0.2">
      <c r="A211" s="36"/>
      <c r="B211" s="36"/>
      <c r="C211" s="36"/>
      <c r="D211" s="36"/>
      <c r="E211" s="36"/>
      <c r="F211" s="36"/>
      <c r="G211" s="36"/>
      <c r="H211" s="84"/>
      <c r="I211" s="95"/>
      <c r="J211" s="95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x14ac:dyDescent="0.2">
      <c r="A212" s="36"/>
      <c r="B212" s="36"/>
      <c r="C212" s="37"/>
      <c r="D212" s="37"/>
      <c r="E212" s="37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x14ac:dyDescent="0.2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</row>
    <row r="214" spans="1:24" x14ac:dyDescent="0.2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s="4" customFormat="1" x14ac:dyDescent="0.2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x14ac:dyDescent="0.2">
      <c r="A216" s="36"/>
      <c r="B216" s="36"/>
      <c r="C216" s="36"/>
      <c r="D216" s="36"/>
      <c r="E216" s="36"/>
      <c r="F216" s="36"/>
      <c r="G216" s="65"/>
      <c r="H216" s="65"/>
      <c r="I216" s="65"/>
      <c r="J216" s="36"/>
      <c r="K216" s="65"/>
      <c r="L216" s="36"/>
      <c r="M216" s="65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x14ac:dyDescent="0.2">
      <c r="A217" s="36"/>
      <c r="B217" s="36"/>
      <c r="C217" s="36"/>
      <c r="D217" s="36"/>
      <c r="E217" s="36"/>
      <c r="F217" s="36"/>
      <c r="G217" s="36"/>
      <c r="H217" s="36"/>
      <c r="I217" s="65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x14ac:dyDescent="0.2">
      <c r="A218" s="36"/>
      <c r="B218" s="36"/>
      <c r="C218" s="36"/>
      <c r="D218" s="36"/>
      <c r="E218" s="36"/>
      <c r="F218" s="65"/>
      <c r="G218" s="65"/>
      <c r="H218" s="65"/>
      <c r="I218" s="65"/>
      <c r="J218" s="65"/>
      <c r="K218" s="65"/>
      <c r="L218" s="65"/>
      <c r="M218" s="65"/>
      <c r="N218" s="36"/>
      <c r="O218" s="36"/>
      <c r="P218" s="36"/>
      <c r="Q218" s="36"/>
      <c r="R218" s="65"/>
      <c r="S218" s="36"/>
      <c r="T218" s="36"/>
      <c r="U218" s="36"/>
      <c r="V218" s="36"/>
      <c r="W218" s="36"/>
      <c r="X218" s="36"/>
    </row>
    <row r="219" spans="1:24" x14ac:dyDescent="0.2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x14ac:dyDescent="0.2">
      <c r="A220" s="36"/>
      <c r="B220" s="36"/>
      <c r="C220" s="36"/>
      <c r="D220" s="36"/>
      <c r="E220" s="36"/>
      <c r="F220" s="36"/>
      <c r="G220" s="36"/>
      <c r="H220" s="36"/>
      <c r="I220" s="65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x14ac:dyDescent="0.2">
      <c r="A221" s="36"/>
      <c r="B221" s="36"/>
      <c r="C221" s="36"/>
      <c r="D221" s="36"/>
      <c r="E221" s="36"/>
      <c r="F221" s="36"/>
      <c r="G221" s="36"/>
      <c r="H221" s="36"/>
      <c r="I221" s="65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x14ac:dyDescent="0.2">
      <c r="A222" s="36"/>
      <c r="B222" s="36"/>
      <c r="C222" s="36"/>
      <c r="D222" s="36"/>
      <c r="E222" s="36"/>
      <c r="F222" s="36"/>
      <c r="G222" s="36"/>
      <c r="H222" s="36"/>
      <c r="I222" s="65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s="3" customFormat="1" x14ac:dyDescent="0.2">
      <c r="A223" s="37"/>
      <c r="B223" s="37"/>
      <c r="C223" s="37"/>
      <c r="D223" s="37"/>
      <c r="E223" s="37"/>
      <c r="F223" s="66"/>
      <c r="G223" s="66"/>
      <c r="H223" s="66"/>
      <c r="I223" s="67"/>
      <c r="J223" s="66"/>
      <c r="K223" s="66"/>
      <c r="L223" s="67"/>
      <c r="M223" s="66"/>
      <c r="N223" s="37"/>
      <c r="O223" s="37"/>
      <c r="P223" s="37"/>
      <c r="Q223" s="37"/>
      <c r="R223" s="67"/>
      <c r="S223" s="37"/>
      <c r="T223" s="37"/>
      <c r="U223" s="37"/>
      <c r="V223" s="37"/>
      <c r="W223" s="37"/>
      <c r="X223" s="37"/>
    </row>
    <row r="224" spans="1:24" x14ac:dyDescent="0.2">
      <c r="A224" s="36"/>
      <c r="B224" s="36"/>
      <c r="C224" s="36"/>
      <c r="D224" s="36"/>
      <c r="E224" s="36"/>
      <c r="F224" s="36"/>
      <c r="G224" s="36"/>
      <c r="H224" s="36"/>
      <c r="I224" s="65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x14ac:dyDescent="0.2">
      <c r="A225" s="36"/>
      <c r="B225" s="36"/>
      <c r="C225" s="36"/>
      <c r="D225" s="36"/>
      <c r="E225" s="36"/>
      <c r="F225" s="36"/>
      <c r="G225" s="36"/>
      <c r="H225" s="36"/>
      <c r="I225" s="65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x14ac:dyDescent="0.2">
      <c r="A226" s="36"/>
      <c r="B226" s="36"/>
      <c r="C226" s="36"/>
      <c r="D226" s="36"/>
      <c r="E226" s="36"/>
      <c r="F226" s="68"/>
      <c r="G226" s="68"/>
      <c r="H226" s="68"/>
      <c r="I226" s="65"/>
      <c r="J226" s="68"/>
      <c r="K226" s="68"/>
      <c r="L226" s="69"/>
      <c r="M226" s="68"/>
      <c r="N226" s="36"/>
      <c r="O226" s="36"/>
      <c r="P226" s="36"/>
      <c r="Q226" s="36"/>
      <c r="R226" s="69"/>
      <c r="S226" s="36"/>
      <c r="T226" s="36"/>
      <c r="U226" s="36"/>
      <c r="V226" s="36"/>
      <c r="W226" s="36"/>
      <c r="X226" s="36"/>
    </row>
    <row r="227" spans="1:24" x14ac:dyDescent="0.2">
      <c r="A227" s="36"/>
      <c r="B227" s="36"/>
      <c r="C227" s="36"/>
      <c r="D227" s="36"/>
      <c r="E227" s="36"/>
      <c r="F227" s="36"/>
      <c r="G227" s="36"/>
      <c r="H227" s="36"/>
      <c r="I227" s="6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x14ac:dyDescent="0.2">
      <c r="A228" s="36"/>
      <c r="B228" s="36"/>
      <c r="C228" s="36"/>
      <c r="D228" s="36"/>
      <c r="E228" s="36"/>
      <c r="F228" s="70"/>
      <c r="G228" s="70"/>
      <c r="H228" s="70"/>
      <c r="I228" s="65"/>
      <c r="J228" s="70"/>
      <c r="K228" s="70"/>
      <c r="L228" s="69"/>
      <c r="M228" s="70"/>
      <c r="N228" s="36"/>
      <c r="O228" s="36"/>
      <c r="P228" s="36"/>
      <c r="Q228" s="36"/>
      <c r="R228" s="69"/>
      <c r="S228" s="36"/>
      <c r="T228" s="36"/>
      <c r="U228" s="36"/>
      <c r="V228" s="36"/>
      <c r="W228" s="36"/>
      <c r="X228" s="36"/>
    </row>
    <row r="229" spans="1:24" x14ac:dyDescent="0.2">
      <c r="A229" s="36"/>
      <c r="B229" s="36"/>
      <c r="C229" s="36"/>
      <c r="D229" s="36"/>
      <c r="E229" s="36"/>
      <c r="F229" s="70"/>
      <c r="G229" s="70"/>
      <c r="H229" s="70"/>
      <c r="I229" s="65"/>
      <c r="J229" s="70"/>
      <c r="K229" s="70"/>
      <c r="L229" s="69"/>
      <c r="M229" s="70"/>
      <c r="N229" s="36"/>
      <c r="O229" s="36"/>
      <c r="P229" s="36"/>
      <c r="Q229" s="36"/>
      <c r="R229" s="69"/>
      <c r="S229" s="36"/>
      <c r="T229" s="36"/>
      <c r="U229" s="36"/>
      <c r="V229" s="36"/>
      <c r="W229" s="36"/>
      <c r="X229" s="36"/>
    </row>
    <row r="230" spans="1:24" x14ac:dyDescent="0.2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x14ac:dyDescent="0.2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x14ac:dyDescent="0.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x14ac:dyDescent="0.2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x14ac:dyDescent="0.2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</row>
    <row r="235" spans="1:24" x14ac:dyDescent="0.2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</row>
    <row r="236" spans="1:24" s="4" customFormat="1" x14ac:dyDescent="0.2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x14ac:dyDescent="0.2">
      <c r="A237" s="36"/>
      <c r="B237" s="63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x14ac:dyDescent="0.2">
      <c r="A238" s="36"/>
      <c r="B238" s="36"/>
      <c r="C238" s="36"/>
      <c r="D238" s="36"/>
      <c r="E238" s="36"/>
      <c r="F238" s="70"/>
      <c r="G238" s="70"/>
      <c r="H238" s="36"/>
      <c r="I238" s="70"/>
      <c r="J238" s="70"/>
      <c r="K238" s="70"/>
      <c r="L238" s="70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x14ac:dyDescent="0.2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x14ac:dyDescent="0.2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x14ac:dyDescent="0.2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x14ac:dyDescent="0.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x14ac:dyDescent="0.2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x14ac:dyDescent="0.2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x14ac:dyDescent="0.2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</row>
    <row r="246" spans="1:24" x14ac:dyDescent="0.2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</row>
    <row r="247" spans="1:24" x14ac:dyDescent="0.2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</row>
    <row r="248" spans="1:24" x14ac:dyDescent="0.2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</row>
    <row r="249" spans="1:24" x14ac:dyDescent="0.2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spans="1:24" x14ac:dyDescent="0.2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spans="1:24" x14ac:dyDescent="0.2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spans="1:24" x14ac:dyDescent="0.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spans="1:24" x14ac:dyDescent="0.2">
      <c r="A253" s="36"/>
      <c r="B253" s="36"/>
      <c r="C253" s="36"/>
      <c r="D253" s="36"/>
      <c r="E253" s="36"/>
      <c r="F253" s="71"/>
      <c r="G253" s="71"/>
      <c r="H253" s="36"/>
      <c r="I253" s="71"/>
      <c r="J253" s="71"/>
      <c r="K253" s="71"/>
      <c r="L253" s="71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spans="1:24" x14ac:dyDescent="0.2">
      <c r="A254" s="36"/>
      <c r="B254" s="63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spans="1:24" x14ac:dyDescent="0.2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spans="1:24" x14ac:dyDescent="0.2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spans="1:24" x14ac:dyDescent="0.2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spans="1:24" x14ac:dyDescent="0.2">
      <c r="A258" s="36"/>
      <c r="B258" s="36"/>
      <c r="C258" s="36"/>
      <c r="D258" s="36"/>
      <c r="E258" s="36"/>
      <c r="F258" s="37"/>
      <c r="G258" s="37"/>
      <c r="H258" s="36"/>
      <c r="I258" s="37"/>
      <c r="J258" s="37"/>
      <c r="K258" s="37"/>
      <c r="L258" s="37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spans="1:24" x14ac:dyDescent="0.2">
      <c r="A259" s="36"/>
      <c r="B259" s="63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spans="1:24" x14ac:dyDescent="0.2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spans="1:24" x14ac:dyDescent="0.2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spans="1:24" x14ac:dyDescent="0.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spans="1:24" x14ac:dyDescent="0.2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spans="1:24" x14ac:dyDescent="0.2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spans="1:24" x14ac:dyDescent="0.2">
      <c r="A265" s="36"/>
      <c r="B265" s="36"/>
      <c r="C265" s="36"/>
      <c r="D265" s="36"/>
      <c r="E265" s="36"/>
      <c r="F265" s="37"/>
      <c r="G265" s="37"/>
      <c r="H265" s="36"/>
      <c r="I265" s="37"/>
      <c r="J265" s="37"/>
      <c r="K265" s="37"/>
      <c r="L265" s="37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</row>
    <row r="266" spans="1:24" x14ac:dyDescent="0.2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spans="1:24" x14ac:dyDescent="0.2">
      <c r="A267" s="36"/>
      <c r="B267" s="36"/>
      <c r="C267" s="36"/>
      <c r="D267" s="36"/>
      <c r="E267" s="36"/>
      <c r="F267" s="70"/>
      <c r="G267" s="70"/>
      <c r="H267" s="36"/>
      <c r="I267" s="70"/>
      <c r="J267" s="70"/>
      <c r="K267" s="70"/>
      <c r="L267" s="70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spans="1:24" s="27" customFormat="1" x14ac:dyDescent="0.2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spans="1:24" s="27" customFormat="1" x14ac:dyDescent="0.2">
      <c r="A269" s="36"/>
      <c r="B269" s="36"/>
      <c r="C269" s="36"/>
      <c r="D269" s="36"/>
      <c r="E269" s="36"/>
      <c r="F269" s="70"/>
      <c r="G269" s="70"/>
      <c r="H269" s="36"/>
      <c r="I269" s="70"/>
      <c r="J269" s="70"/>
      <c r="K269" s="70"/>
      <c r="L269" s="70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spans="1:24" x14ac:dyDescent="0.2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spans="1:24" x14ac:dyDescent="0.2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spans="1:24" x14ac:dyDescent="0.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spans="1:24" x14ac:dyDescent="0.2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spans="1:24" x14ac:dyDescent="0.2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spans="1:24" x14ac:dyDescent="0.2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spans="1:24" x14ac:dyDescent="0.2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spans="1:24" x14ac:dyDescent="0.2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spans="1:24" x14ac:dyDescent="0.2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spans="1:24" x14ac:dyDescent="0.2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spans="1:24" x14ac:dyDescent="0.2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spans="1:24" x14ac:dyDescent="0.2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spans="1:24" x14ac:dyDescent="0.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spans="1:24" x14ac:dyDescent="0.2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spans="1:24" x14ac:dyDescent="0.2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</row>
  </sheetData>
  <mergeCells count="2">
    <mergeCell ref="A4:B5"/>
    <mergeCell ref="G173:G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3"/>
  <sheetViews>
    <sheetView tabSelected="1" zoomScale="125" workbookViewId="0">
      <pane ySplit="1" topLeftCell="A115" activePane="bottomLeft" state="frozen"/>
      <selection pane="bottomLeft" activeCell="L155" sqref="L155"/>
    </sheetView>
  </sheetViews>
  <sheetFormatPr baseColWidth="10" defaultColWidth="8.83203125" defaultRowHeight="15" x14ac:dyDescent="0.2"/>
  <cols>
    <col min="2" max="2" width="26.6640625" customWidth="1"/>
    <col min="3" max="3" width="66.1640625" bestFit="1" customWidth="1"/>
    <col min="4" max="7" width="8.83203125" customWidth="1"/>
    <col min="8" max="11" width="0" style="39" hidden="1" customWidth="1"/>
    <col min="12" max="12" width="10.33203125" customWidth="1"/>
    <col min="13" max="13" width="8.83203125" style="39" customWidth="1"/>
    <col min="14" max="14" width="10.5" style="39" customWidth="1"/>
    <col min="15" max="16" width="8.83203125" style="39" customWidth="1"/>
    <col min="17" max="18" width="10.1640625" customWidth="1"/>
    <col min="19" max="19" width="11" customWidth="1"/>
    <col min="20" max="20" width="10.5" customWidth="1"/>
    <col min="21" max="21" width="10.83203125" customWidth="1"/>
    <col min="22" max="22" width="9.5" customWidth="1"/>
  </cols>
  <sheetData>
    <row r="1" spans="2:28" x14ac:dyDescent="0.2">
      <c r="D1">
        <v>2010</v>
      </c>
      <c r="E1">
        <v>2011</v>
      </c>
      <c r="F1">
        <v>2012</v>
      </c>
      <c r="G1" s="3">
        <v>2013</v>
      </c>
      <c r="H1" s="38" t="s">
        <v>33</v>
      </c>
      <c r="I1" s="38" t="s">
        <v>32</v>
      </c>
      <c r="J1" s="38" t="s">
        <v>27</v>
      </c>
      <c r="K1" s="38" t="s">
        <v>7</v>
      </c>
      <c r="L1" s="3">
        <v>2014</v>
      </c>
      <c r="M1" s="38" t="s">
        <v>6</v>
      </c>
      <c r="N1" s="38" t="s">
        <v>5</v>
      </c>
      <c r="O1" s="38" t="s">
        <v>3</v>
      </c>
      <c r="P1" s="38" t="s">
        <v>113</v>
      </c>
      <c r="Q1" s="3">
        <v>2015</v>
      </c>
      <c r="R1" s="1" t="s">
        <v>293</v>
      </c>
      <c r="S1" s="45" t="s">
        <v>316</v>
      </c>
      <c r="T1" s="45" t="s">
        <v>317</v>
      </c>
      <c r="U1" s="45" t="s">
        <v>318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</row>
    <row r="2" spans="2:28" x14ac:dyDescent="0.2">
      <c r="H2" s="39">
        <f t="shared" ref="H2:Q2" si="0">H22/H10</f>
        <v>0.13091641490433031</v>
      </c>
      <c r="I2" s="39">
        <f t="shared" si="0"/>
        <v>0.14101290963257199</v>
      </c>
      <c r="J2" s="39">
        <f t="shared" si="0"/>
        <v>0.13663366336633664</v>
      </c>
      <c r="K2" s="39">
        <f t="shared" si="0"/>
        <v>0.1650485436893204</v>
      </c>
      <c r="L2">
        <f t="shared" si="0"/>
        <v>0.14532439495511873</v>
      </c>
      <c r="M2" s="39">
        <f t="shared" si="0"/>
        <v>0.12693498452012383</v>
      </c>
      <c r="N2" s="39">
        <f t="shared" si="0"/>
        <v>0.14714714714714713</v>
      </c>
      <c r="O2" s="39">
        <f t="shared" si="0"/>
        <v>0.13951170901843549</v>
      </c>
      <c r="P2" s="39">
        <f t="shared" si="0"/>
        <v>0.16250000000000001</v>
      </c>
      <c r="Q2">
        <f t="shared" si="0"/>
        <v>0.14583095047466543</v>
      </c>
      <c r="S2">
        <v>0.14583095047466543</v>
      </c>
      <c r="T2">
        <v>0.14583095047466543</v>
      </c>
      <c r="U2">
        <v>0.14583095047466543</v>
      </c>
    </row>
    <row r="4" spans="2:28" x14ac:dyDescent="0.2">
      <c r="C4" t="s">
        <v>328</v>
      </c>
      <c r="D4">
        <f t="shared" ref="D4:Q4" si="1">D11/D10</f>
        <v>0.64098297708946628</v>
      </c>
      <c r="E4">
        <f t="shared" si="1"/>
        <v>0.63836477987421381</v>
      </c>
      <c r="F4">
        <f t="shared" si="1"/>
        <v>0.63633161108501646</v>
      </c>
      <c r="G4">
        <f t="shared" si="1"/>
        <v>0.63377014959990718</v>
      </c>
      <c r="H4">
        <f t="shared" si="1"/>
        <v>0.63242698892245719</v>
      </c>
      <c r="I4">
        <f t="shared" si="1"/>
        <v>0.62065541211519359</v>
      </c>
      <c r="J4">
        <f t="shared" si="1"/>
        <v>0.62673267326732673</v>
      </c>
      <c r="K4">
        <f t="shared" si="1"/>
        <v>0.63825961884214311</v>
      </c>
      <c r="L4">
        <f t="shared" si="1"/>
        <v>0.63026928758095668</v>
      </c>
      <c r="M4">
        <f t="shared" si="1"/>
        <v>0.63003095975232193</v>
      </c>
      <c r="N4">
        <f t="shared" si="1"/>
        <v>0.61761761761761758</v>
      </c>
      <c r="O4">
        <f t="shared" si="1"/>
        <v>0.63079222720478323</v>
      </c>
      <c r="P4">
        <f t="shared" si="1"/>
        <v>0.64535714285714285</v>
      </c>
      <c r="Q4">
        <f t="shared" si="1"/>
        <v>0.632277250371726</v>
      </c>
      <c r="R4">
        <f>R11/R10</f>
        <v>0.6358668653750621</v>
      </c>
      <c r="S4" s="34">
        <v>0.64</v>
      </c>
      <c r="T4" s="34">
        <v>0.64</v>
      </c>
      <c r="U4" s="34">
        <v>0.64</v>
      </c>
      <c r="V4" s="34">
        <v>0.64</v>
      </c>
      <c r="W4" s="34">
        <v>0.64</v>
      </c>
      <c r="X4" s="34">
        <v>0.64</v>
      </c>
      <c r="Y4" s="34">
        <v>0.64</v>
      </c>
      <c r="Z4" s="34">
        <v>0.64</v>
      </c>
      <c r="AA4" s="34">
        <v>0.64</v>
      </c>
      <c r="AB4" s="34">
        <v>0.64</v>
      </c>
    </row>
    <row r="5" spans="2:28" x14ac:dyDescent="0.2">
      <c r="C5" t="s">
        <v>329</v>
      </c>
      <c r="D5">
        <f>D18/D10</f>
        <v>5.7468322027390245E-2</v>
      </c>
      <c r="E5">
        <f t="shared" ref="E5:R5" si="2">E18/E10</f>
        <v>6.4707305273343008E-2</v>
      </c>
      <c r="F5">
        <f t="shared" si="2"/>
        <v>6.9046500704556132E-2</v>
      </c>
      <c r="G5">
        <f t="shared" si="2"/>
        <v>7.132088600255132E-2</v>
      </c>
      <c r="H5">
        <f t="shared" si="2"/>
        <v>7.452165156092648E-2</v>
      </c>
      <c r="I5">
        <f t="shared" si="2"/>
        <v>7.6961271102284012E-2</v>
      </c>
      <c r="J5">
        <f t="shared" si="2"/>
        <v>7.574257425742574E-2</v>
      </c>
      <c r="K5">
        <f t="shared" si="2"/>
        <v>0.11290902553038476</v>
      </c>
      <c r="L5">
        <f t="shared" si="2"/>
        <v>8.7490057947960456E-2</v>
      </c>
      <c r="M5">
        <f t="shared" si="2"/>
        <v>9.3395252837977297E-2</v>
      </c>
      <c r="N5">
        <f t="shared" si="2"/>
        <v>7.3573573573573567E-2</v>
      </c>
      <c r="O5">
        <f t="shared" si="2"/>
        <v>7.2745391131041351E-2</v>
      </c>
      <c r="P5">
        <f t="shared" si="2"/>
        <v>9.678571428571428E-2</v>
      </c>
      <c r="Q5">
        <f t="shared" si="2"/>
        <v>8.5211025963628048E-2</v>
      </c>
      <c r="R5">
        <f t="shared" si="2"/>
        <v>9.041231992051664E-2</v>
      </c>
      <c r="S5" s="51">
        <v>8.5999999999999993E-2</v>
      </c>
      <c r="T5" s="51">
        <v>8.5999999999999993E-2</v>
      </c>
      <c r="U5" s="51">
        <v>8.5999999999999993E-2</v>
      </c>
      <c r="V5" s="51">
        <v>8.5999999999999993E-2</v>
      </c>
      <c r="W5" s="51">
        <v>8.5999999999999993E-2</v>
      </c>
      <c r="X5" s="51">
        <v>8.5999999999999993E-2</v>
      </c>
      <c r="Y5" s="51">
        <v>8.5999999999999993E-2</v>
      </c>
      <c r="Z5" s="51">
        <v>8.5999999999999993E-2</v>
      </c>
      <c r="AA5" s="51">
        <v>8.5999999999999993E-2</v>
      </c>
      <c r="AB5" s="51">
        <v>8.5999999999999993E-2</v>
      </c>
    </row>
    <row r="6" spans="2:28" x14ac:dyDescent="0.2">
      <c r="C6" t="s">
        <v>330</v>
      </c>
      <c r="D6">
        <f>D17/D10</f>
        <v>8.972225777550237E-2</v>
      </c>
      <c r="E6">
        <f t="shared" ref="E6:R6" si="3">E17/E10</f>
        <v>8.9985486211901305E-2</v>
      </c>
      <c r="F6">
        <f t="shared" si="3"/>
        <v>8.3959605448567398E-2</v>
      </c>
      <c r="G6">
        <f t="shared" si="3"/>
        <v>8.5817001043720281E-2</v>
      </c>
      <c r="H6">
        <f t="shared" si="3"/>
        <v>8.9627391742195361E-2</v>
      </c>
      <c r="I6">
        <f t="shared" si="3"/>
        <v>8.937437934458789E-2</v>
      </c>
      <c r="J6">
        <f t="shared" si="3"/>
        <v>8.8118811881188114E-2</v>
      </c>
      <c r="K6">
        <f t="shared" si="3"/>
        <v>2.9485796476087737E-2</v>
      </c>
      <c r="L6">
        <f t="shared" si="3"/>
        <v>7.0219293262129306E-2</v>
      </c>
      <c r="M6">
        <f t="shared" si="3"/>
        <v>7.0691434468524258E-2</v>
      </c>
      <c r="N6">
        <f t="shared" si="3"/>
        <v>8.7587587587587584E-2</v>
      </c>
      <c r="O6">
        <f t="shared" si="3"/>
        <v>8.6696562032884908E-2</v>
      </c>
      <c r="P6">
        <f t="shared" si="3"/>
        <v>4.3214285714285712E-2</v>
      </c>
      <c r="Q6">
        <f t="shared" si="3"/>
        <v>6.9426970147546604E-2</v>
      </c>
      <c r="R6">
        <f t="shared" si="3"/>
        <v>7.0541480377545956E-2</v>
      </c>
      <c r="S6" s="32">
        <v>7.0499999999999993E-2</v>
      </c>
      <c r="T6" s="32">
        <v>7.0499999999999993E-2</v>
      </c>
      <c r="U6" s="32">
        <v>7.0499999999999993E-2</v>
      </c>
      <c r="V6" s="32">
        <v>7.0499999999999993E-2</v>
      </c>
      <c r="W6" s="32">
        <v>7.0499999999999993E-2</v>
      </c>
      <c r="X6" s="32">
        <v>7.0499999999999993E-2</v>
      </c>
      <c r="Y6" s="32">
        <v>7.0499999999999993E-2</v>
      </c>
      <c r="Z6" s="32">
        <v>7.0499999999999993E-2</v>
      </c>
      <c r="AA6" s="32">
        <v>7.0499999999999993E-2</v>
      </c>
      <c r="AB6" s="32">
        <v>7.0499999999999993E-2</v>
      </c>
    </row>
    <row r="8" spans="2:28" x14ac:dyDescent="0.2">
      <c r="B8" s="98" t="s">
        <v>35</v>
      </c>
      <c r="C8" s="98"/>
      <c r="O8" s="39" t="s">
        <v>4</v>
      </c>
      <c r="Q8" t="s">
        <v>4</v>
      </c>
    </row>
    <row r="9" spans="2:28" x14ac:dyDescent="0.2">
      <c r="B9" s="98"/>
      <c r="C9" s="98"/>
      <c r="H9" s="38" t="s">
        <v>33</v>
      </c>
      <c r="I9" s="38" t="s">
        <v>32</v>
      </c>
      <c r="J9" s="38" t="s">
        <v>27</v>
      </c>
      <c r="K9" s="38" t="s">
        <v>7</v>
      </c>
      <c r="L9" s="3">
        <v>2014</v>
      </c>
      <c r="M9" s="38" t="s">
        <v>6</v>
      </c>
      <c r="N9" s="38" t="s">
        <v>5</v>
      </c>
      <c r="O9" s="38" t="s">
        <v>3</v>
      </c>
      <c r="P9" s="38" t="s">
        <v>113</v>
      </c>
      <c r="Q9" s="3">
        <v>2015</v>
      </c>
      <c r="R9" s="1" t="s">
        <v>293</v>
      </c>
      <c r="T9">
        <f>T10/S10</f>
        <v>1.0281009564352364</v>
      </c>
      <c r="U9">
        <f>U10/T10</f>
        <v>1.0167410725294672</v>
      </c>
    </row>
    <row r="10" spans="2:28" x14ac:dyDescent="0.2">
      <c r="B10" s="8" t="s">
        <v>139</v>
      </c>
      <c r="C10" t="s">
        <v>2</v>
      </c>
      <c r="D10">
        <v>7813</v>
      </c>
      <c r="E10">
        <v>8268</v>
      </c>
      <c r="F10">
        <v>8516</v>
      </c>
      <c r="G10">
        <v>8623</v>
      </c>
      <c r="H10" s="38">
        <v>1986</v>
      </c>
      <c r="I10" s="38">
        <v>2014</v>
      </c>
      <c r="J10" s="38">
        <v>2020</v>
      </c>
      <c r="K10" s="38">
        <f>L10-SUM(H10:J10)</f>
        <v>2781</v>
      </c>
      <c r="L10" s="3">
        <v>8801</v>
      </c>
      <c r="M10" s="38">
        <v>1938</v>
      </c>
      <c r="N10" s="38">
        <v>1998</v>
      </c>
      <c r="O10" s="38">
        <v>2007</v>
      </c>
      <c r="P10" s="38">
        <f>Q10-SUM(M10:O10)</f>
        <v>2800</v>
      </c>
      <c r="Q10" s="2">
        <v>8743</v>
      </c>
      <c r="R10" s="2">
        <v>2013</v>
      </c>
      <c r="S10">
        <v>8996.9500000000007</v>
      </c>
      <c r="T10">
        <v>9249.7728999999999</v>
      </c>
      <c r="U10">
        <v>9404.6240190000008</v>
      </c>
      <c r="V10">
        <f t="shared" ref="V10:AB10" si="4">U10*1.02</f>
        <v>9592.7164993800016</v>
      </c>
      <c r="W10">
        <f t="shared" si="4"/>
        <v>9784.5708293676016</v>
      </c>
      <c r="X10">
        <f t="shared" si="4"/>
        <v>9980.262245954953</v>
      </c>
      <c r="Y10">
        <f t="shared" si="4"/>
        <v>10179.867490874052</v>
      </c>
      <c r="Z10">
        <f t="shared" si="4"/>
        <v>10383.464840691533</v>
      </c>
      <c r="AA10">
        <f t="shared" si="4"/>
        <v>10591.134137505363</v>
      </c>
      <c r="AB10">
        <f t="shared" si="4"/>
        <v>10802.956820255471</v>
      </c>
    </row>
    <row r="11" spans="2:28" x14ac:dyDescent="0.2">
      <c r="B11" s="4"/>
      <c r="C11" t="s">
        <v>8</v>
      </c>
      <c r="D11">
        <v>5008</v>
      </c>
      <c r="E11">
        <v>5278</v>
      </c>
      <c r="F11">
        <v>5419</v>
      </c>
      <c r="G11">
        <v>5465</v>
      </c>
      <c r="H11" s="38">
        <v>1256</v>
      </c>
      <c r="I11" s="38">
        <v>1250</v>
      </c>
      <c r="J11" s="38">
        <v>1266</v>
      </c>
      <c r="K11" s="38">
        <f t="shared" ref="K11:K40" si="5">L11-SUM(H11:J11)</f>
        <v>1775</v>
      </c>
      <c r="L11" s="3">
        <v>5547</v>
      </c>
      <c r="M11" s="38">
        <v>1221</v>
      </c>
      <c r="N11" s="38">
        <v>1234</v>
      </c>
      <c r="O11" s="38">
        <v>1266</v>
      </c>
      <c r="P11" s="38">
        <f t="shared" ref="P11:P40" si="6">Q11-SUM(M11:O11)</f>
        <v>1807</v>
      </c>
      <c r="Q11" s="2">
        <v>5528</v>
      </c>
      <c r="R11" s="2">
        <v>1280</v>
      </c>
      <c r="S11">
        <f t="shared" ref="S11:AB11" si="7">S10*0.64</f>
        <v>5758.0480000000007</v>
      </c>
      <c r="T11">
        <f t="shared" si="7"/>
        <v>5919.8546560000004</v>
      </c>
      <c r="U11">
        <f t="shared" si="7"/>
        <v>6018.9593721600004</v>
      </c>
      <c r="V11">
        <f t="shared" si="7"/>
        <v>6139.3385596032012</v>
      </c>
      <c r="W11">
        <f t="shared" si="7"/>
        <v>6262.1253307952647</v>
      </c>
      <c r="X11">
        <f t="shared" si="7"/>
        <v>6387.3678374111696</v>
      </c>
      <c r="Y11">
        <f t="shared" si="7"/>
        <v>6515.1151941593935</v>
      </c>
      <c r="Z11">
        <f t="shared" si="7"/>
        <v>6645.4174980425814</v>
      </c>
      <c r="AA11">
        <f t="shared" si="7"/>
        <v>6778.3258480034328</v>
      </c>
      <c r="AB11">
        <f t="shared" si="7"/>
        <v>6913.8923649635017</v>
      </c>
    </row>
    <row r="12" spans="2:28" x14ac:dyDescent="0.2">
      <c r="B12" s="4"/>
      <c r="C12" t="s">
        <v>9</v>
      </c>
      <c r="D12" s="3">
        <f t="shared" ref="D12:J12" si="8">D10-D11</f>
        <v>2805</v>
      </c>
      <c r="E12" s="3">
        <f t="shared" si="8"/>
        <v>2990</v>
      </c>
      <c r="F12" s="3">
        <f t="shared" si="8"/>
        <v>3097</v>
      </c>
      <c r="G12" s="3">
        <f t="shared" si="8"/>
        <v>3158</v>
      </c>
      <c r="H12" s="38">
        <f t="shared" si="8"/>
        <v>730</v>
      </c>
      <c r="I12" s="38">
        <f t="shared" si="8"/>
        <v>764</v>
      </c>
      <c r="J12" s="38">
        <f t="shared" si="8"/>
        <v>754</v>
      </c>
      <c r="K12" s="38">
        <f t="shared" si="5"/>
        <v>1006</v>
      </c>
      <c r="L12" s="3">
        <f>L10-L11</f>
        <v>3254</v>
      </c>
      <c r="M12" s="38">
        <f>M10-M11</f>
        <v>717</v>
      </c>
      <c r="N12" s="38">
        <f>N10-N11</f>
        <v>764</v>
      </c>
      <c r="O12" s="38">
        <f>O10-O11</f>
        <v>741</v>
      </c>
      <c r="P12" s="38">
        <f t="shared" si="6"/>
        <v>993</v>
      </c>
      <c r="Q12" s="3">
        <f t="shared" ref="Q12:AB12" si="9">Q10-Q11</f>
        <v>3215</v>
      </c>
      <c r="R12" s="3">
        <f t="shared" si="9"/>
        <v>733</v>
      </c>
      <c r="S12" s="45">
        <f t="shared" si="9"/>
        <v>3238.902</v>
      </c>
      <c r="T12" s="45">
        <f t="shared" si="9"/>
        <v>3329.9182439999995</v>
      </c>
      <c r="U12" s="45">
        <f t="shared" si="9"/>
        <v>3385.6646468400004</v>
      </c>
      <c r="V12" s="45">
        <f t="shared" si="9"/>
        <v>3453.3779397768003</v>
      </c>
      <c r="W12" s="45">
        <f t="shared" si="9"/>
        <v>3522.4454985723369</v>
      </c>
      <c r="X12" s="45">
        <f t="shared" si="9"/>
        <v>3592.8944085437834</v>
      </c>
      <c r="Y12" s="45">
        <f t="shared" si="9"/>
        <v>3664.7522967146588</v>
      </c>
      <c r="Z12" s="45">
        <f t="shared" si="9"/>
        <v>3738.0473426489516</v>
      </c>
      <c r="AA12" s="45">
        <f t="shared" si="9"/>
        <v>3812.8082895019306</v>
      </c>
      <c r="AB12" s="45">
        <f t="shared" si="9"/>
        <v>3889.0644552919694</v>
      </c>
    </row>
    <row r="13" spans="2:28" x14ac:dyDescent="0.2">
      <c r="B13" s="4"/>
      <c r="C13" t="s">
        <v>10</v>
      </c>
      <c r="H13" s="38"/>
      <c r="I13" s="38"/>
      <c r="J13" s="38"/>
      <c r="K13" s="38">
        <f t="shared" si="5"/>
        <v>0</v>
      </c>
      <c r="L13" s="3"/>
      <c r="M13" s="38"/>
      <c r="N13" s="38"/>
      <c r="O13" s="38"/>
      <c r="P13" s="38">
        <f t="shared" si="6"/>
        <v>0</v>
      </c>
      <c r="Q13" s="3"/>
      <c r="R13" s="3"/>
    </row>
    <row r="14" spans="2:28" x14ac:dyDescent="0.2">
      <c r="B14" s="4"/>
      <c r="C14" t="s">
        <v>268</v>
      </c>
      <c r="D14" s="36">
        <v>431</v>
      </c>
      <c r="E14" s="36">
        <v>513</v>
      </c>
      <c r="F14" s="36">
        <v>554</v>
      </c>
      <c r="H14" s="38"/>
      <c r="I14" s="38"/>
      <c r="J14" s="38"/>
      <c r="K14" s="38"/>
      <c r="L14" s="3"/>
      <c r="M14" s="38"/>
      <c r="N14" s="38"/>
      <c r="O14" s="38"/>
      <c r="P14" s="38"/>
      <c r="Q14" s="3"/>
      <c r="R14" s="3"/>
    </row>
    <row r="15" spans="2:28" x14ac:dyDescent="0.2">
      <c r="B15" s="4"/>
      <c r="C15" t="s">
        <v>269</v>
      </c>
      <c r="D15" s="36">
        <v>18</v>
      </c>
      <c r="E15" s="36">
        <v>22</v>
      </c>
      <c r="F15" s="36">
        <v>34</v>
      </c>
      <c r="H15" s="38"/>
      <c r="I15" s="38"/>
      <c r="J15" s="38"/>
      <c r="K15" s="38"/>
      <c r="L15" s="3"/>
      <c r="M15" s="38"/>
      <c r="N15" s="38"/>
      <c r="O15" s="38"/>
      <c r="P15" s="38"/>
      <c r="Q15" s="3"/>
      <c r="R15" s="3"/>
    </row>
    <row r="16" spans="2:28" x14ac:dyDescent="0.2">
      <c r="B16" s="4"/>
      <c r="C16" t="s">
        <v>120</v>
      </c>
      <c r="H16" s="38"/>
      <c r="I16" s="38"/>
      <c r="J16" s="38"/>
      <c r="K16" s="38"/>
      <c r="L16" s="3"/>
      <c r="M16" s="38"/>
      <c r="N16" s="38"/>
      <c r="O16" s="38"/>
      <c r="P16" s="38"/>
      <c r="Q16" s="3"/>
      <c r="R16" s="3"/>
    </row>
    <row r="17" spans="2:28" x14ac:dyDescent="0.2">
      <c r="B17" s="4" t="s">
        <v>115</v>
      </c>
      <c r="C17" s="36" t="s">
        <v>11</v>
      </c>
      <c r="D17" s="36">
        <v>701</v>
      </c>
      <c r="E17" s="36">
        <v>744</v>
      </c>
      <c r="F17" s="36">
        <v>715</v>
      </c>
      <c r="G17" s="36">
        <v>740</v>
      </c>
      <c r="H17" s="38">
        <v>178</v>
      </c>
      <c r="I17" s="38">
        <v>180</v>
      </c>
      <c r="J17" s="38">
        <v>178</v>
      </c>
      <c r="K17" s="38">
        <f t="shared" si="5"/>
        <v>82</v>
      </c>
      <c r="L17" s="37">
        <v>618</v>
      </c>
      <c r="M17" s="38">
        <v>137</v>
      </c>
      <c r="N17" s="38">
        <v>175</v>
      </c>
      <c r="O17" s="38">
        <v>174</v>
      </c>
      <c r="P17" s="38">
        <f t="shared" si="6"/>
        <v>121</v>
      </c>
      <c r="Q17" s="60">
        <v>607</v>
      </c>
      <c r="R17" s="60">
        <v>142</v>
      </c>
      <c r="S17" s="53">
        <f>-S10*S6</f>
        <v>-634.28497500000003</v>
      </c>
      <c r="T17" s="53">
        <f t="shared" ref="T17:Y17" si="10">-T10*T6</f>
        <v>-652.10898944999997</v>
      </c>
      <c r="U17" s="53">
        <f t="shared" si="10"/>
        <v>-663.02599333950002</v>
      </c>
      <c r="V17" s="53">
        <f t="shared" si="10"/>
        <v>-676.28651320629001</v>
      </c>
      <c r="W17" s="53">
        <f t="shared" si="10"/>
        <v>-689.81224347041586</v>
      </c>
      <c r="X17" s="53">
        <f t="shared" si="10"/>
        <v>-703.60848833982413</v>
      </c>
      <c r="Y17" s="53">
        <f t="shared" si="10"/>
        <v>-717.68065810662063</v>
      </c>
      <c r="Z17" s="53">
        <f t="shared" ref="Z17:AA17" si="11">-Z10*Z6</f>
        <v>-732.03427126875306</v>
      </c>
      <c r="AA17" s="53">
        <f t="shared" si="11"/>
        <v>-746.67495669412801</v>
      </c>
      <c r="AB17" s="53">
        <f t="shared" ref="AB17" si="12">-AB10*AB6</f>
        <v>-761.60845582801062</v>
      </c>
    </row>
    <row r="18" spans="2:28" x14ac:dyDescent="0.2">
      <c r="B18" s="4"/>
      <c r="C18" s="36" t="s">
        <v>12</v>
      </c>
      <c r="D18">
        <f>D14+D15</f>
        <v>449</v>
      </c>
      <c r="E18">
        <f t="shared" ref="E18:F18" si="13">E14+E15</f>
        <v>535</v>
      </c>
      <c r="F18">
        <f t="shared" si="13"/>
        <v>588</v>
      </c>
      <c r="G18" s="36">
        <v>615</v>
      </c>
      <c r="H18" s="38">
        <v>148</v>
      </c>
      <c r="I18" s="38">
        <v>155</v>
      </c>
      <c r="J18" s="38">
        <v>153</v>
      </c>
      <c r="K18" s="38">
        <f t="shared" si="5"/>
        <v>314</v>
      </c>
      <c r="L18" s="37">
        <v>770</v>
      </c>
      <c r="M18" s="38">
        <v>181</v>
      </c>
      <c r="N18" s="38">
        <v>147</v>
      </c>
      <c r="O18" s="38">
        <v>146</v>
      </c>
      <c r="P18" s="38">
        <f t="shared" si="6"/>
        <v>271</v>
      </c>
      <c r="Q18" s="60">
        <f>714 + 31</f>
        <v>745</v>
      </c>
      <c r="R18" s="60">
        <v>182</v>
      </c>
      <c r="S18" s="52">
        <f>-S5*S10</f>
        <v>-773.73770000000002</v>
      </c>
      <c r="T18" s="52">
        <f t="shared" ref="T18:Y18" si="14">-T5*T10</f>
        <v>-795.48046939999995</v>
      </c>
      <c r="U18" s="52">
        <f t="shared" si="14"/>
        <v>-808.79766563400005</v>
      </c>
      <c r="V18" s="52">
        <f t="shared" si="14"/>
        <v>-824.97361894668006</v>
      </c>
      <c r="W18" s="52">
        <f t="shared" si="14"/>
        <v>-841.47309132561372</v>
      </c>
      <c r="X18" s="52">
        <f t="shared" si="14"/>
        <v>-858.30255315212594</v>
      </c>
      <c r="Y18" s="52">
        <f t="shared" si="14"/>
        <v>-875.4686042151684</v>
      </c>
      <c r="Z18" s="52">
        <f t="shared" ref="Z18:AA18" si="15">-Z5*Z10</f>
        <v>-892.97797629947172</v>
      </c>
      <c r="AA18" s="52">
        <f t="shared" si="15"/>
        <v>-910.83753582546115</v>
      </c>
      <c r="AB18" s="52">
        <f t="shared" ref="AB18" si="16">-AB5*AB10</f>
        <v>-929.05428654197044</v>
      </c>
    </row>
    <row r="19" spans="2:28" x14ac:dyDescent="0.2">
      <c r="B19" s="4"/>
      <c r="C19" t="s">
        <v>13</v>
      </c>
      <c r="D19">
        <v>128</v>
      </c>
      <c r="E19">
        <v>135</v>
      </c>
      <c r="F19">
        <v>126</v>
      </c>
      <c r="G19">
        <v>127</v>
      </c>
      <c r="H19" s="38">
        <v>33</v>
      </c>
      <c r="I19" s="38">
        <v>33</v>
      </c>
      <c r="J19" s="38">
        <v>34</v>
      </c>
      <c r="K19" s="38">
        <f t="shared" si="5"/>
        <v>35</v>
      </c>
      <c r="L19" s="3">
        <v>135</v>
      </c>
      <c r="M19" s="38">
        <v>33</v>
      </c>
      <c r="N19" s="38">
        <v>35</v>
      </c>
      <c r="O19" s="38">
        <v>33</v>
      </c>
      <c r="P19" s="38">
        <f t="shared" si="6"/>
        <v>33</v>
      </c>
      <c r="Q19" s="2">
        <v>134</v>
      </c>
      <c r="R19" s="2">
        <v>34</v>
      </c>
      <c r="S19">
        <f>-135</f>
        <v>-135</v>
      </c>
      <c r="T19">
        <f>-135</f>
        <v>-135</v>
      </c>
      <c r="U19">
        <f>-140</f>
        <v>-140</v>
      </c>
      <c r="V19">
        <f>-140</f>
        <v>-140</v>
      </c>
      <c r="W19">
        <f t="shared" ref="W19:AB19" si="17">-142</f>
        <v>-142</v>
      </c>
      <c r="X19">
        <f t="shared" si="17"/>
        <v>-142</v>
      </c>
      <c r="Y19">
        <f t="shared" si="17"/>
        <v>-142</v>
      </c>
      <c r="Z19">
        <f t="shared" si="17"/>
        <v>-142</v>
      </c>
      <c r="AA19">
        <f t="shared" si="17"/>
        <v>-142</v>
      </c>
      <c r="AB19">
        <f t="shared" si="17"/>
        <v>-142</v>
      </c>
    </row>
    <row r="20" spans="2:28" x14ac:dyDescent="0.2">
      <c r="B20" s="4"/>
      <c r="C20" t="s">
        <v>14</v>
      </c>
      <c r="D20">
        <v>395</v>
      </c>
      <c r="E20">
        <v>439</v>
      </c>
      <c r="F20">
        <v>400</v>
      </c>
      <c r="G20">
        <v>431</v>
      </c>
      <c r="H20" s="38">
        <v>111</v>
      </c>
      <c r="I20" s="38">
        <v>112</v>
      </c>
      <c r="J20" s="38">
        <v>113</v>
      </c>
      <c r="K20" s="38">
        <f t="shared" si="5"/>
        <v>116</v>
      </c>
      <c r="L20" s="3">
        <v>452</v>
      </c>
      <c r="M20" s="38">
        <v>120</v>
      </c>
      <c r="N20" s="38">
        <v>113</v>
      </c>
      <c r="O20" s="38">
        <v>108</v>
      </c>
      <c r="P20" s="38">
        <f t="shared" si="6"/>
        <v>113</v>
      </c>
      <c r="Q20" s="2">
        <v>454</v>
      </c>
      <c r="R20" s="2">
        <v>114</v>
      </c>
    </row>
    <row r="21" spans="2:28" x14ac:dyDescent="0.2">
      <c r="B21" s="4"/>
      <c r="D21" s="3">
        <f t="shared" ref="D21:J21" si="18">SUM(D17:D20)</f>
        <v>1673</v>
      </c>
      <c r="E21" s="3">
        <f t="shared" si="18"/>
        <v>1853</v>
      </c>
      <c r="F21" s="3">
        <f t="shared" si="18"/>
        <v>1829</v>
      </c>
      <c r="G21" s="3">
        <f t="shared" si="18"/>
        <v>1913</v>
      </c>
      <c r="H21" s="38">
        <f t="shared" si="18"/>
        <v>470</v>
      </c>
      <c r="I21" s="38">
        <f t="shared" si="18"/>
        <v>480</v>
      </c>
      <c r="J21" s="38">
        <f t="shared" si="18"/>
        <v>478</v>
      </c>
      <c r="K21" s="38">
        <f t="shared" si="5"/>
        <v>547</v>
      </c>
      <c r="L21" s="3">
        <f>SUM(L17:L20)</f>
        <v>1975</v>
      </c>
      <c r="M21" s="38">
        <f>SUM(M17:M20)</f>
        <v>471</v>
      </c>
      <c r="N21" s="38">
        <f>SUM(N17:N20)</f>
        <v>470</v>
      </c>
      <c r="O21" s="38">
        <f>SUM(O17:O20)</f>
        <v>461</v>
      </c>
      <c r="P21" s="38">
        <f t="shared" si="6"/>
        <v>538</v>
      </c>
      <c r="Q21" s="3">
        <f>SUM(Q17:Q20)</f>
        <v>1940</v>
      </c>
      <c r="R21" s="3">
        <f>SUM(R17:R20)</f>
        <v>472</v>
      </c>
    </row>
    <row r="22" spans="2:28" x14ac:dyDescent="0.2">
      <c r="B22" s="4"/>
      <c r="C22" s="44" t="s">
        <v>15</v>
      </c>
      <c r="D22" s="16">
        <f t="shared" ref="D22:J22" si="19">D12-D21</f>
        <v>1132</v>
      </c>
      <c r="E22" s="16">
        <f t="shared" si="19"/>
        <v>1137</v>
      </c>
      <c r="F22" s="16">
        <f t="shared" si="19"/>
        <v>1268</v>
      </c>
      <c r="G22" s="16">
        <f t="shared" si="19"/>
        <v>1245</v>
      </c>
      <c r="H22" s="16">
        <f t="shared" si="19"/>
        <v>260</v>
      </c>
      <c r="I22" s="16">
        <f t="shared" si="19"/>
        <v>284</v>
      </c>
      <c r="J22" s="16">
        <f t="shared" si="19"/>
        <v>276</v>
      </c>
      <c r="K22" s="16">
        <f t="shared" si="5"/>
        <v>459</v>
      </c>
      <c r="L22" s="16">
        <f>L12-L21</f>
        <v>1279</v>
      </c>
      <c r="M22" s="16">
        <f>M12-M21</f>
        <v>246</v>
      </c>
      <c r="N22" s="16">
        <f>N12-N21</f>
        <v>294</v>
      </c>
      <c r="O22" s="16">
        <f>O12-O21</f>
        <v>280</v>
      </c>
      <c r="P22" s="16">
        <f t="shared" si="6"/>
        <v>455</v>
      </c>
      <c r="Q22" s="16">
        <f>Q12-Q21</f>
        <v>1275</v>
      </c>
      <c r="R22" s="16">
        <f>R12-R21</f>
        <v>261</v>
      </c>
      <c r="S22" s="3">
        <f>S10*S2</f>
        <v>1312.0337698730414</v>
      </c>
      <c r="T22" s="3">
        <f>T10*T2</f>
        <v>1348.9031736818024</v>
      </c>
      <c r="U22" s="3">
        <f>U10*U2</f>
        <v>1371.4852595476382</v>
      </c>
      <c r="V22">
        <f t="shared" ref="V22:AB22" si="20">U22*1.02</f>
        <v>1398.9149647385909</v>
      </c>
      <c r="W22">
        <f t="shared" si="20"/>
        <v>1426.8932640333628</v>
      </c>
      <c r="X22">
        <f t="shared" si="20"/>
        <v>1455.4311293140302</v>
      </c>
      <c r="Y22">
        <f t="shared" si="20"/>
        <v>1484.5397519003109</v>
      </c>
      <c r="Z22">
        <f t="shared" si="20"/>
        <v>1514.230546938317</v>
      </c>
      <c r="AA22">
        <f t="shared" si="20"/>
        <v>1544.5151578770833</v>
      </c>
      <c r="AB22">
        <f t="shared" si="20"/>
        <v>1575.405461034625</v>
      </c>
    </row>
    <row r="23" spans="2:28" x14ac:dyDescent="0.2">
      <c r="B23" s="4"/>
      <c r="C23" t="s">
        <v>16</v>
      </c>
      <c r="H23" s="38"/>
      <c r="I23" s="38"/>
      <c r="J23" s="38"/>
      <c r="K23" s="38"/>
      <c r="L23" s="3"/>
      <c r="M23" s="38"/>
      <c r="N23" s="38"/>
      <c r="O23" s="38"/>
      <c r="P23" s="38">
        <f t="shared" si="6"/>
        <v>0</v>
      </c>
      <c r="Q23" s="3"/>
      <c r="R23" s="3"/>
      <c r="S23" s="76"/>
    </row>
    <row r="24" spans="2:28" x14ac:dyDescent="0.2">
      <c r="B24" s="4"/>
      <c r="C24" t="s">
        <v>17</v>
      </c>
      <c r="D24">
        <v>-23</v>
      </c>
      <c r="G24">
        <v>-4</v>
      </c>
      <c r="H24" s="38">
        <v>-1</v>
      </c>
      <c r="I24" s="38">
        <v>-2</v>
      </c>
      <c r="J24" s="38">
        <v>-2</v>
      </c>
      <c r="K24" s="38">
        <f t="shared" si="5"/>
        <v>-3</v>
      </c>
      <c r="L24" s="3">
        <v>-8</v>
      </c>
      <c r="M24" s="38">
        <v>-1</v>
      </c>
      <c r="N24" s="38">
        <v>-3</v>
      </c>
      <c r="O24" s="38">
        <v>-3</v>
      </c>
      <c r="P24" s="38">
        <f t="shared" si="6"/>
        <v>-2</v>
      </c>
      <c r="Q24" s="2">
        <v>-9</v>
      </c>
      <c r="R24" s="2">
        <v>-1</v>
      </c>
    </row>
    <row r="25" spans="2:28" x14ac:dyDescent="0.2">
      <c r="B25" s="4"/>
      <c r="C25" t="s">
        <v>114</v>
      </c>
      <c r="D25">
        <f>105+40</f>
        <v>145</v>
      </c>
      <c r="E25">
        <f>50-2</f>
        <v>48</v>
      </c>
      <c r="F25">
        <f>-4+48</f>
        <v>44</v>
      </c>
      <c r="G25">
        <v>15</v>
      </c>
      <c r="H25" s="38"/>
      <c r="I25" s="38"/>
      <c r="J25" s="38"/>
      <c r="K25" s="38">
        <f t="shared" si="5"/>
        <v>0</v>
      </c>
      <c r="L25" s="3">
        <v>0</v>
      </c>
      <c r="M25" s="38">
        <v>0</v>
      </c>
      <c r="N25" s="38">
        <v>0</v>
      </c>
      <c r="O25" s="38">
        <v>0</v>
      </c>
      <c r="P25" s="38">
        <f t="shared" si="6"/>
        <v>0</v>
      </c>
      <c r="Q25" s="2">
        <v>0</v>
      </c>
      <c r="R25" s="3">
        <v>0</v>
      </c>
    </row>
    <row r="26" spans="2:28" x14ac:dyDescent="0.2">
      <c r="B26" s="4"/>
      <c r="C26" t="s">
        <v>18</v>
      </c>
      <c r="D26">
        <f>+-415+2</f>
        <v>-413</v>
      </c>
      <c r="E26">
        <f>-231+2</f>
        <v>-229</v>
      </c>
      <c r="F26">
        <f>-235+2</f>
        <v>-233</v>
      </c>
      <c r="G26">
        <v>-214</v>
      </c>
      <c r="H26" s="38">
        <v>-62</v>
      </c>
      <c r="I26" s="38">
        <v>-60</v>
      </c>
      <c r="J26" s="38">
        <v>-60</v>
      </c>
      <c r="K26" s="38">
        <f t="shared" si="5"/>
        <v>-57</v>
      </c>
      <c r="L26" s="3">
        <v>-239</v>
      </c>
      <c r="M26" s="38">
        <v>-59</v>
      </c>
      <c r="N26" s="38">
        <v>-50</v>
      </c>
      <c r="O26" s="38">
        <v>-49</v>
      </c>
      <c r="P26" s="38">
        <f t="shared" si="6"/>
        <v>-50</v>
      </c>
      <c r="Q26" s="2">
        <v>-208</v>
      </c>
      <c r="R26" s="2">
        <v>-53</v>
      </c>
    </row>
    <row r="27" spans="2:28" x14ac:dyDescent="0.2">
      <c r="B27" s="4"/>
      <c r="C27" t="s">
        <v>19</v>
      </c>
      <c r="D27">
        <v>-8</v>
      </c>
      <c r="E27">
        <v>-2</v>
      </c>
      <c r="F27">
        <v>2</v>
      </c>
      <c r="G27">
        <v>1</v>
      </c>
      <c r="H27" s="38">
        <v>-1</v>
      </c>
      <c r="I27" s="38">
        <v>1</v>
      </c>
      <c r="J27" s="38">
        <v>2</v>
      </c>
      <c r="K27" s="38">
        <f t="shared" si="5"/>
        <v>1</v>
      </c>
      <c r="L27" s="3">
        <v>3</v>
      </c>
      <c r="M27" s="38">
        <v>10</v>
      </c>
      <c r="N27" s="38">
        <v>-11</v>
      </c>
      <c r="O27" s="38">
        <v>12</v>
      </c>
      <c r="P27" s="38">
        <f t="shared" si="6"/>
        <v>3</v>
      </c>
      <c r="Q27" s="2">
        <v>14</v>
      </c>
      <c r="R27" s="2">
        <v>2</v>
      </c>
    </row>
    <row r="28" spans="2:28" x14ac:dyDescent="0.2">
      <c r="B28" s="4"/>
      <c r="C28" t="s">
        <v>25</v>
      </c>
      <c r="G28">
        <v>-57</v>
      </c>
      <c r="H28" s="38">
        <v>0</v>
      </c>
      <c r="I28" s="38">
        <v>0</v>
      </c>
      <c r="J28" s="38">
        <v>-48</v>
      </c>
      <c r="K28" s="38">
        <f t="shared" si="5"/>
        <v>0</v>
      </c>
      <c r="L28" s="3">
        <v>-48</v>
      </c>
      <c r="M28" s="38">
        <v>0</v>
      </c>
      <c r="N28" s="38">
        <v>-21</v>
      </c>
      <c r="O28" s="38">
        <v>0</v>
      </c>
      <c r="P28" s="38">
        <f t="shared" si="6"/>
        <v>0</v>
      </c>
      <c r="Q28" s="2">
        <v>-21</v>
      </c>
      <c r="R28" s="2">
        <v>0</v>
      </c>
    </row>
    <row r="29" spans="2:28" x14ac:dyDescent="0.2">
      <c r="B29" s="4"/>
      <c r="D29" s="3">
        <f>SUM(D24:D28)</f>
        <v>-299</v>
      </c>
      <c r="E29" s="38">
        <f>SUM(E24:E28)</f>
        <v>-183</v>
      </c>
      <c r="F29" s="38">
        <f>SUM(F24:F28)</f>
        <v>-187</v>
      </c>
      <c r="G29" s="38">
        <f>SUM(G24:G28)</f>
        <v>-259</v>
      </c>
      <c r="H29" s="38">
        <f t="shared" ref="H29:H30" si="21">I29-SUM(E29:G29)</f>
        <v>568</v>
      </c>
      <c r="I29" s="3">
        <f t="shared" ref="I29:R29" si="22">SUM(I24:I28)</f>
        <v>-61</v>
      </c>
      <c r="J29" s="38">
        <f t="shared" si="22"/>
        <v>-108</v>
      </c>
      <c r="K29" s="38">
        <f t="shared" si="22"/>
        <v>-59</v>
      </c>
      <c r="L29" s="38">
        <f t="shared" si="22"/>
        <v>-292</v>
      </c>
      <c r="M29" s="3">
        <f t="shared" si="22"/>
        <v>-50</v>
      </c>
      <c r="N29" s="3">
        <f t="shared" si="22"/>
        <v>-85</v>
      </c>
      <c r="O29" s="3">
        <f t="shared" si="22"/>
        <v>-40</v>
      </c>
      <c r="P29" s="3">
        <f t="shared" si="22"/>
        <v>-49</v>
      </c>
      <c r="Q29" s="3">
        <f t="shared" si="22"/>
        <v>-224</v>
      </c>
      <c r="R29" s="3">
        <f t="shared" si="22"/>
        <v>-52</v>
      </c>
      <c r="S29">
        <v>280</v>
      </c>
      <c r="T29">
        <v>290</v>
      </c>
      <c r="U29">
        <v>300</v>
      </c>
    </row>
    <row r="30" spans="2:28" x14ac:dyDescent="0.2">
      <c r="B30" s="4"/>
      <c r="C30" t="s">
        <v>20</v>
      </c>
      <c r="D30" s="3">
        <f>D29+D22</f>
        <v>833</v>
      </c>
      <c r="E30" s="38">
        <f>E29+E22</f>
        <v>954</v>
      </c>
      <c r="F30" s="38">
        <f>F29+F22</f>
        <v>1081</v>
      </c>
      <c r="G30" s="38">
        <f>G29+G22</f>
        <v>986</v>
      </c>
      <c r="H30" s="38">
        <f t="shared" si="21"/>
        <v>-2798</v>
      </c>
      <c r="I30" s="3">
        <f t="shared" ref="I30:R30" si="23">I29+I22</f>
        <v>223</v>
      </c>
      <c r="J30" s="38">
        <f t="shared" si="23"/>
        <v>168</v>
      </c>
      <c r="K30" s="38">
        <f t="shared" si="23"/>
        <v>400</v>
      </c>
      <c r="L30" s="38">
        <f t="shared" si="23"/>
        <v>987</v>
      </c>
      <c r="M30" s="3">
        <f t="shared" si="23"/>
        <v>196</v>
      </c>
      <c r="N30" s="3">
        <f t="shared" si="23"/>
        <v>209</v>
      </c>
      <c r="O30" s="3">
        <f t="shared" si="23"/>
        <v>240</v>
      </c>
      <c r="P30" s="3">
        <f t="shared" si="23"/>
        <v>406</v>
      </c>
      <c r="Q30" s="3">
        <f t="shared" si="23"/>
        <v>1051</v>
      </c>
      <c r="R30" s="3">
        <f t="shared" si="23"/>
        <v>209</v>
      </c>
      <c r="S30" s="3">
        <f>S22-S29</f>
        <v>1032.0337698730414</v>
      </c>
      <c r="T30" s="3">
        <f>T22-T29</f>
        <v>1058.9031736818024</v>
      </c>
      <c r="U30" s="3">
        <f>U22-U29</f>
        <v>1071.4852595476382</v>
      </c>
      <c r="V30">
        <f>U30*1.02</f>
        <v>1092.9149647385909</v>
      </c>
      <c r="W30">
        <f t="shared" ref="W30:AA30" si="24">V30*1.02</f>
        <v>1114.7732640333627</v>
      </c>
      <c r="X30">
        <f t="shared" si="24"/>
        <v>1137.06872931403</v>
      </c>
      <c r="Y30">
        <f t="shared" si="24"/>
        <v>1159.8101039003107</v>
      </c>
      <c r="Z30">
        <f t="shared" si="24"/>
        <v>1183.006305978317</v>
      </c>
      <c r="AA30">
        <f t="shared" si="24"/>
        <v>1206.6664320978832</v>
      </c>
    </row>
    <row r="31" spans="2:28" x14ac:dyDescent="0.2">
      <c r="B31" s="4"/>
      <c r="C31" t="s">
        <v>21</v>
      </c>
      <c r="D31">
        <v>-282</v>
      </c>
      <c r="E31" s="2">
        <v>-342</v>
      </c>
      <c r="F31" s="2">
        <v>-394</v>
      </c>
      <c r="G31" s="2">
        <v>-353</v>
      </c>
      <c r="H31" s="59">
        <v>-74</v>
      </c>
      <c r="I31" s="59">
        <v>-83</v>
      </c>
      <c r="J31" s="59">
        <v>-65</v>
      </c>
      <c r="K31" s="59">
        <f t="shared" si="5"/>
        <v>-132</v>
      </c>
      <c r="L31" s="2">
        <v>-354</v>
      </c>
      <c r="M31" s="59">
        <v>-72</v>
      </c>
      <c r="N31" s="59">
        <v>-85</v>
      </c>
      <c r="O31" s="59">
        <f>-86</f>
        <v>-86</v>
      </c>
      <c r="P31" s="59">
        <f t="shared" si="6"/>
        <v>-146</v>
      </c>
      <c r="Q31" s="2">
        <v>-389</v>
      </c>
      <c r="R31" s="2">
        <v>-80</v>
      </c>
    </row>
    <row r="32" spans="2:28" x14ac:dyDescent="0.2">
      <c r="B32" s="4"/>
      <c r="C32" t="s">
        <v>22</v>
      </c>
      <c r="D32" s="3">
        <f>D30+D31</f>
        <v>551</v>
      </c>
      <c r="E32" s="38">
        <f>E30+E31</f>
        <v>612</v>
      </c>
      <c r="F32" s="38">
        <f>F30+F31</f>
        <v>687</v>
      </c>
      <c r="G32" s="38">
        <f>G30+G31</f>
        <v>633</v>
      </c>
      <c r="H32" s="38">
        <f t="shared" ref="H32" si="25">I32-SUM(E32:G32)</f>
        <v>-1792</v>
      </c>
      <c r="I32" s="3">
        <f t="shared" ref="I32:R32" si="26">I30+I31</f>
        <v>140</v>
      </c>
      <c r="J32" s="38">
        <f t="shared" si="26"/>
        <v>103</v>
      </c>
      <c r="K32" s="38">
        <f t="shared" si="26"/>
        <v>268</v>
      </c>
      <c r="L32" s="38">
        <f t="shared" si="26"/>
        <v>633</v>
      </c>
      <c r="M32" s="3">
        <f t="shared" si="26"/>
        <v>124</v>
      </c>
      <c r="N32" s="3">
        <f t="shared" si="26"/>
        <v>124</v>
      </c>
      <c r="O32" s="3">
        <f t="shared" si="26"/>
        <v>154</v>
      </c>
      <c r="P32" s="3">
        <f t="shared" si="26"/>
        <v>260</v>
      </c>
      <c r="Q32" s="3">
        <f t="shared" si="26"/>
        <v>662</v>
      </c>
      <c r="R32" s="3">
        <f t="shared" si="26"/>
        <v>129</v>
      </c>
    </row>
    <row r="33" spans="2:29" x14ac:dyDescent="0.2">
      <c r="B33" s="4"/>
      <c r="C33" t="s">
        <v>23</v>
      </c>
      <c r="D33">
        <v>-47</v>
      </c>
      <c r="E33">
        <v>-52</v>
      </c>
      <c r="F33">
        <v>-63</v>
      </c>
      <c r="G33" s="2">
        <v>-45</v>
      </c>
      <c r="H33" s="59">
        <v>-9</v>
      </c>
      <c r="I33" s="59">
        <v>-10</v>
      </c>
      <c r="J33" s="59">
        <v>-8</v>
      </c>
      <c r="K33" s="59">
        <f t="shared" si="5"/>
        <v>-12</v>
      </c>
      <c r="L33" s="2">
        <v>-39</v>
      </c>
      <c r="M33" s="59">
        <v>-9</v>
      </c>
      <c r="N33" s="59">
        <v>-8</v>
      </c>
      <c r="O33" s="59">
        <v>-8</v>
      </c>
      <c r="P33" s="59">
        <f t="shared" si="6"/>
        <v>-9</v>
      </c>
      <c r="Q33" s="2">
        <v>-34</v>
      </c>
      <c r="R33" s="2">
        <v>-8</v>
      </c>
    </row>
    <row r="34" spans="2:29" x14ac:dyDescent="0.2">
      <c r="B34" s="4"/>
      <c r="C34" t="s">
        <v>24</v>
      </c>
      <c r="D34" s="3">
        <f>D32+D33</f>
        <v>504</v>
      </c>
      <c r="E34" s="38">
        <f>E32+E33</f>
        <v>560</v>
      </c>
      <c r="F34" s="38">
        <f>F32+F33</f>
        <v>624</v>
      </c>
      <c r="G34" s="38">
        <f>G32+G33</f>
        <v>588</v>
      </c>
      <c r="H34" s="38">
        <f t="shared" ref="H34" si="27">I34-SUM(E34:G34)</f>
        <v>-1642</v>
      </c>
      <c r="I34" s="3">
        <f t="shared" ref="I34:R34" si="28">I32+I33</f>
        <v>130</v>
      </c>
      <c r="J34" s="38">
        <f t="shared" si="28"/>
        <v>95</v>
      </c>
      <c r="K34" s="38">
        <f t="shared" si="28"/>
        <v>256</v>
      </c>
      <c r="L34" s="38">
        <f t="shared" si="28"/>
        <v>594</v>
      </c>
      <c r="M34" s="3">
        <f t="shared" si="28"/>
        <v>115</v>
      </c>
      <c r="N34" s="3">
        <f t="shared" si="28"/>
        <v>116</v>
      </c>
      <c r="O34" s="3">
        <f t="shared" si="28"/>
        <v>146</v>
      </c>
      <c r="P34" s="3">
        <f t="shared" si="28"/>
        <v>251</v>
      </c>
      <c r="Q34" s="3">
        <f t="shared" si="28"/>
        <v>628</v>
      </c>
      <c r="R34" s="3">
        <f t="shared" si="28"/>
        <v>121</v>
      </c>
    </row>
    <row r="35" spans="2:29" x14ac:dyDescent="0.2">
      <c r="B35" s="4"/>
      <c r="K35" s="38"/>
      <c r="L35" s="3"/>
      <c r="P35" s="38">
        <f t="shared" si="6"/>
        <v>0</v>
      </c>
    </row>
    <row r="36" spans="2:29" x14ac:dyDescent="0.2">
      <c r="B36" s="4"/>
      <c r="C36" t="s">
        <v>22</v>
      </c>
      <c r="D36" s="3">
        <f>D32</f>
        <v>551</v>
      </c>
      <c r="E36" s="38">
        <f>E32</f>
        <v>612</v>
      </c>
      <c r="F36" s="38">
        <f>F32</f>
        <v>687</v>
      </c>
      <c r="G36" s="38">
        <f>G32</f>
        <v>633</v>
      </c>
      <c r="H36" s="38">
        <f t="shared" ref="H36" si="29">I36-SUM(E36:G36)</f>
        <v>-1792</v>
      </c>
      <c r="I36" s="3">
        <f>I32</f>
        <v>140</v>
      </c>
      <c r="J36" s="38">
        <f>J32</f>
        <v>103</v>
      </c>
      <c r="K36" s="38">
        <f t="shared" ref="K36" si="30">K32</f>
        <v>268</v>
      </c>
      <c r="L36" s="38">
        <f t="shared" ref="L36:R36" si="31">L32</f>
        <v>633</v>
      </c>
      <c r="M36" s="3">
        <f t="shared" si="31"/>
        <v>124</v>
      </c>
      <c r="N36" s="3">
        <f t="shared" si="31"/>
        <v>124</v>
      </c>
      <c r="O36" s="3">
        <f t="shared" si="31"/>
        <v>154</v>
      </c>
      <c r="P36" s="3">
        <f t="shared" si="31"/>
        <v>260</v>
      </c>
      <c r="Q36" s="3">
        <f t="shared" si="31"/>
        <v>662</v>
      </c>
      <c r="R36" s="3">
        <f t="shared" si="31"/>
        <v>129</v>
      </c>
      <c r="S36" s="3">
        <f>S30*0.63</f>
        <v>650.18127502001607</v>
      </c>
      <c r="T36" s="3">
        <f>T30*0.63</f>
        <v>667.10899941953551</v>
      </c>
      <c r="U36" s="3">
        <f>U30*0.63</f>
        <v>675.03571351501205</v>
      </c>
      <c r="V36">
        <f>U36*1.02</f>
        <v>688.5364277853123</v>
      </c>
      <c r="W36">
        <f t="shared" ref="W36:AA36" si="32">V36*1.02</f>
        <v>702.30715634101853</v>
      </c>
      <c r="X36">
        <f t="shared" si="32"/>
        <v>716.35329946783895</v>
      </c>
      <c r="Y36">
        <f t="shared" si="32"/>
        <v>730.68036545719576</v>
      </c>
      <c r="Z36">
        <f t="shared" si="32"/>
        <v>745.29397276633972</v>
      </c>
      <c r="AA36">
        <f t="shared" si="32"/>
        <v>760.19985222166656</v>
      </c>
    </row>
    <row r="37" spans="2:29" x14ac:dyDescent="0.2">
      <c r="B37" s="4"/>
      <c r="C37" t="s">
        <v>28</v>
      </c>
      <c r="D37">
        <v>-70</v>
      </c>
      <c r="E37">
        <v>-10</v>
      </c>
      <c r="F37">
        <v>-27</v>
      </c>
      <c r="G37">
        <v>-72</v>
      </c>
      <c r="H37" s="38">
        <v>16</v>
      </c>
      <c r="I37" s="38">
        <v>2</v>
      </c>
      <c r="J37" s="38">
        <v>-116</v>
      </c>
      <c r="K37" s="38">
        <f t="shared" si="5"/>
        <v>-93</v>
      </c>
      <c r="L37" s="3">
        <v>-191</v>
      </c>
      <c r="M37" s="38">
        <v>-102</v>
      </c>
      <c r="N37" s="38">
        <v>22</v>
      </c>
      <c r="O37" s="38">
        <v>3</v>
      </c>
      <c r="P37" s="38">
        <f t="shared" si="6"/>
        <v>-25</v>
      </c>
      <c r="Q37" s="2">
        <v>-102</v>
      </c>
      <c r="R37" s="2">
        <v>34</v>
      </c>
    </row>
    <row r="38" spans="2:29" x14ac:dyDescent="0.2">
      <c r="B38" s="4"/>
      <c r="C38" t="s">
        <v>29</v>
      </c>
      <c r="D38" s="3">
        <f t="shared" ref="D38:F38" si="33">D37+D36</f>
        <v>481</v>
      </c>
      <c r="E38" s="3">
        <f t="shared" si="33"/>
        <v>602</v>
      </c>
      <c r="F38" s="3">
        <f t="shared" si="33"/>
        <v>660</v>
      </c>
      <c r="G38" s="3">
        <f>G37+G36</f>
        <v>561</v>
      </c>
      <c r="H38" s="38">
        <f>H37+H36</f>
        <v>-1776</v>
      </c>
      <c r="I38" s="38">
        <f>I37+I36</f>
        <v>142</v>
      </c>
      <c r="J38" s="38">
        <f>J37+J36</f>
        <v>-13</v>
      </c>
      <c r="K38" s="38">
        <f t="shared" si="5"/>
        <v>2089</v>
      </c>
      <c r="L38" s="3">
        <f>L37+L36</f>
        <v>442</v>
      </c>
      <c r="M38" s="38">
        <f>M37+M36</f>
        <v>22</v>
      </c>
      <c r="N38" s="38">
        <f t="shared" ref="N38" si="34">N37+N36</f>
        <v>146</v>
      </c>
      <c r="O38" s="38">
        <f>O37+O36</f>
        <v>157</v>
      </c>
      <c r="P38" s="38">
        <f t="shared" si="6"/>
        <v>235</v>
      </c>
      <c r="Q38" s="3">
        <f>Q37+Q36</f>
        <v>560</v>
      </c>
      <c r="R38" s="3">
        <f>R37+R36</f>
        <v>163</v>
      </c>
    </row>
    <row r="39" spans="2:29" x14ac:dyDescent="0.2">
      <c r="B39" s="4"/>
      <c r="C39" t="s">
        <v>30</v>
      </c>
      <c r="D39">
        <v>-62</v>
      </c>
      <c r="E39">
        <v>-57</v>
      </c>
      <c r="F39">
        <v>-44</v>
      </c>
      <c r="G39">
        <v>-20</v>
      </c>
      <c r="H39" s="38">
        <v>-12</v>
      </c>
      <c r="I39" s="38">
        <v>-10</v>
      </c>
      <c r="J39" s="38">
        <v>-1</v>
      </c>
      <c r="K39" s="38">
        <f t="shared" si="5"/>
        <v>-3</v>
      </c>
      <c r="L39" s="3">
        <v>-26</v>
      </c>
      <c r="M39" s="38">
        <v>-8</v>
      </c>
      <c r="N39" s="38">
        <v>-6</v>
      </c>
      <c r="O39" s="38">
        <v>-11</v>
      </c>
      <c r="P39" s="38">
        <f t="shared" si="6"/>
        <v>-8</v>
      </c>
      <c r="Q39" s="2">
        <v>-33</v>
      </c>
      <c r="R39" s="2">
        <v>-15</v>
      </c>
    </row>
    <row r="40" spans="2:29" x14ac:dyDescent="0.2">
      <c r="B40" s="4"/>
      <c r="C40" t="s">
        <v>31</v>
      </c>
      <c r="D40" s="3">
        <f t="shared" ref="D40:F40" si="35">D38+D39</f>
        <v>419</v>
      </c>
      <c r="E40" s="3">
        <f t="shared" si="35"/>
        <v>545</v>
      </c>
      <c r="F40" s="3">
        <f t="shared" si="35"/>
        <v>616</v>
      </c>
      <c r="G40" s="3">
        <f>G38+G39</f>
        <v>541</v>
      </c>
      <c r="H40" s="38">
        <f>H38+H39</f>
        <v>-1788</v>
      </c>
      <c r="I40" s="38">
        <f>I38+I39</f>
        <v>132</v>
      </c>
      <c r="J40" s="38">
        <f>J38+J39</f>
        <v>-14</v>
      </c>
      <c r="K40" s="38">
        <f t="shared" si="5"/>
        <v>2086</v>
      </c>
      <c r="L40" s="3">
        <f>L38+L39</f>
        <v>416</v>
      </c>
      <c r="M40" s="38">
        <f>M38+M39</f>
        <v>14</v>
      </c>
      <c r="N40" s="38">
        <f t="shared" ref="N40" si="36">N38+N39</f>
        <v>140</v>
      </c>
      <c r="O40" s="38">
        <f>O38+O39</f>
        <v>146</v>
      </c>
      <c r="P40" s="38">
        <f t="shared" si="6"/>
        <v>227</v>
      </c>
      <c r="Q40" s="3">
        <f>Q38+Q39</f>
        <v>527</v>
      </c>
      <c r="R40" s="3">
        <f>R38+R39</f>
        <v>148</v>
      </c>
      <c r="S40">
        <v>1</v>
      </c>
      <c r="T40">
        <v>2</v>
      </c>
      <c r="U40">
        <v>3</v>
      </c>
      <c r="V40">
        <v>4</v>
      </c>
      <c r="W40">
        <v>5</v>
      </c>
      <c r="X40">
        <v>6</v>
      </c>
      <c r="Y40">
        <v>7</v>
      </c>
      <c r="Z40">
        <v>8</v>
      </c>
      <c r="AA40">
        <v>9</v>
      </c>
    </row>
    <row r="41" spans="2:29" x14ac:dyDescent="0.2">
      <c r="B41" s="4"/>
      <c r="R41" s="15" t="s">
        <v>326</v>
      </c>
      <c r="S41">
        <f>S36/1.12^S40</f>
        <v>580.51899555358568</v>
      </c>
      <c r="T41">
        <f t="shared" ref="T41:AA41" si="37">T36/1.12^T40</f>
        <v>531.8152099964409</v>
      </c>
      <c r="U41">
        <f t="shared" si="37"/>
        <v>480.47708744861791</v>
      </c>
      <c r="V41">
        <f t="shared" si="37"/>
        <v>437.57734749784845</v>
      </c>
      <c r="W41">
        <f t="shared" si="37"/>
        <v>398.50794147125481</v>
      </c>
      <c r="X41">
        <f t="shared" si="37"/>
        <v>362.92687526846419</v>
      </c>
      <c r="Y41">
        <f t="shared" si="37"/>
        <v>330.52268997663703</v>
      </c>
      <c r="Z41">
        <f t="shared" si="37"/>
        <v>301.01173551443731</v>
      </c>
      <c r="AA41">
        <f t="shared" si="37"/>
        <v>274.13568770064825</v>
      </c>
      <c r="AC41">
        <f>SUM(S41:AA41)</f>
        <v>3697.4935704279351</v>
      </c>
    </row>
    <row r="42" spans="2:29" ht="16" x14ac:dyDescent="0.2">
      <c r="B42" s="4"/>
      <c r="C42" s="7" t="s">
        <v>36</v>
      </c>
      <c r="H42" s="39" t="s">
        <v>33</v>
      </c>
      <c r="I42" s="39" t="s">
        <v>69</v>
      </c>
      <c r="J42" s="39" t="s">
        <v>34</v>
      </c>
      <c r="K42" s="39" t="s">
        <v>73</v>
      </c>
      <c r="M42" s="39" t="s">
        <v>6</v>
      </c>
      <c r="N42" s="39" t="s">
        <v>66</v>
      </c>
      <c r="O42" s="39" t="s">
        <v>26</v>
      </c>
      <c r="P42" s="39" t="s">
        <v>72</v>
      </c>
      <c r="S42" s="101" t="s">
        <v>325</v>
      </c>
      <c r="T42" s="101"/>
      <c r="U42" s="101"/>
      <c r="V42" s="101"/>
    </row>
    <row r="43" spans="2:29" x14ac:dyDescent="0.2">
      <c r="B43" s="10"/>
      <c r="C43" s="11" t="s">
        <v>37</v>
      </c>
      <c r="L43" s="10"/>
      <c r="Q43" s="10"/>
      <c r="R43" s="10"/>
      <c r="S43" s="74" t="s">
        <v>319</v>
      </c>
      <c r="T43" s="74"/>
      <c r="U43" s="74"/>
      <c r="V43" s="74">
        <f>SUM(S41:AA41)</f>
        <v>3697.4935704279351</v>
      </c>
    </row>
    <row r="44" spans="2:29" x14ac:dyDescent="0.2">
      <c r="B44" s="4"/>
      <c r="C44" t="s">
        <v>22</v>
      </c>
      <c r="D44">
        <v>551</v>
      </c>
      <c r="E44">
        <v>612</v>
      </c>
      <c r="F44">
        <v>687</v>
      </c>
      <c r="G44">
        <v>633</v>
      </c>
      <c r="H44" s="39">
        <f>H36</f>
        <v>-1792</v>
      </c>
      <c r="I44" s="39">
        <v>262</v>
      </c>
      <c r="J44" s="39">
        <v>365</v>
      </c>
      <c r="K44" s="39">
        <v>633</v>
      </c>
      <c r="L44">
        <v>633</v>
      </c>
      <c r="M44" s="39">
        <f>M36</f>
        <v>124</v>
      </c>
      <c r="N44" s="39">
        <v>248</v>
      </c>
      <c r="O44" s="39">
        <v>402</v>
      </c>
      <c r="P44" s="39">
        <v>662</v>
      </c>
      <c r="Q44">
        <v>662</v>
      </c>
      <c r="R44" s="1">
        <f>R36</f>
        <v>129</v>
      </c>
      <c r="S44" s="74" t="s">
        <v>320</v>
      </c>
      <c r="T44" s="74"/>
      <c r="U44" s="74"/>
      <c r="V44" s="74">
        <f>V43/123</f>
        <v>30.060923336812479</v>
      </c>
    </row>
    <row r="45" spans="2:29" x14ac:dyDescent="0.2">
      <c r="B45" s="4"/>
      <c r="C45" t="s">
        <v>38</v>
      </c>
      <c r="S45" s="74" t="s">
        <v>321</v>
      </c>
      <c r="T45" s="74"/>
      <c r="U45" s="74"/>
      <c r="V45" s="74">
        <f>S41/123</f>
        <v>4.719666630516957</v>
      </c>
    </row>
    <row r="46" spans="2:29" x14ac:dyDescent="0.2">
      <c r="B46" s="4"/>
      <c r="C46" t="s">
        <v>17</v>
      </c>
      <c r="D46">
        <v>-105</v>
      </c>
      <c r="E46">
        <v>2</v>
      </c>
      <c r="F46">
        <v>4</v>
      </c>
      <c r="G46">
        <v>4</v>
      </c>
      <c r="H46" s="39">
        <v>1</v>
      </c>
      <c r="I46" s="39">
        <v>3</v>
      </c>
      <c r="J46" s="39">
        <v>5</v>
      </c>
      <c r="K46" s="39">
        <v>8</v>
      </c>
      <c r="L46">
        <v>8</v>
      </c>
      <c r="M46" s="39">
        <v>1</v>
      </c>
      <c r="N46" s="39">
        <v>4</v>
      </c>
      <c r="O46" s="39">
        <v>7</v>
      </c>
      <c r="P46" s="39">
        <v>9</v>
      </c>
      <c r="Q46">
        <v>9</v>
      </c>
      <c r="R46" s="36">
        <v>1</v>
      </c>
    </row>
    <row r="47" spans="2:29" x14ac:dyDescent="0.2">
      <c r="B47" s="4"/>
      <c r="C47" t="s">
        <v>39</v>
      </c>
      <c r="D47">
        <v>-104</v>
      </c>
      <c r="E47">
        <v>-116</v>
      </c>
      <c r="F47">
        <v>-134</v>
      </c>
      <c r="G47">
        <v>-108</v>
      </c>
      <c r="H47" s="39">
        <v>-57</v>
      </c>
      <c r="I47" s="39">
        <v>-108</v>
      </c>
      <c r="J47" s="39">
        <v>-147</v>
      </c>
      <c r="K47" s="39">
        <v>-202</v>
      </c>
      <c r="L47">
        <v>-202</v>
      </c>
      <c r="M47" s="39">
        <v>-27</v>
      </c>
      <c r="N47" s="39">
        <v>-42</v>
      </c>
      <c r="O47" s="39">
        <v>-78</v>
      </c>
      <c r="P47" s="39">
        <v>-90</v>
      </c>
      <c r="Q47">
        <v>-90</v>
      </c>
      <c r="R47" s="36">
        <v>-19</v>
      </c>
    </row>
    <row r="48" spans="2:29" x14ac:dyDescent="0.2">
      <c r="B48" s="4"/>
      <c r="C48" t="s">
        <v>40</v>
      </c>
      <c r="D48">
        <v>8</v>
      </c>
      <c r="E48">
        <v>2</v>
      </c>
      <c r="F48">
        <v>-2</v>
      </c>
      <c r="G48">
        <v>-1</v>
      </c>
      <c r="H48" s="39">
        <v>1</v>
      </c>
      <c r="I48" s="39">
        <v>0</v>
      </c>
      <c r="J48" s="39">
        <v>-2</v>
      </c>
      <c r="K48" s="39">
        <v>-3</v>
      </c>
      <c r="L48">
        <v>-3</v>
      </c>
      <c r="M48" s="39">
        <v>-10</v>
      </c>
      <c r="N48" s="39">
        <v>1</v>
      </c>
      <c r="O48" s="39">
        <v>-11</v>
      </c>
      <c r="P48" s="39">
        <v>-14</v>
      </c>
      <c r="Q48">
        <v>-14</v>
      </c>
      <c r="R48" s="39">
        <v>-2</v>
      </c>
    </row>
    <row r="49" spans="2:18" x14ac:dyDescent="0.2">
      <c r="B49" s="4"/>
      <c r="C49" t="s">
        <v>13</v>
      </c>
      <c r="D49">
        <v>128</v>
      </c>
      <c r="E49">
        <v>135</v>
      </c>
      <c r="F49">
        <v>126</v>
      </c>
      <c r="G49">
        <v>127</v>
      </c>
      <c r="H49" s="39">
        <v>33</v>
      </c>
      <c r="I49" s="39">
        <v>66</v>
      </c>
      <c r="J49" s="39">
        <v>100</v>
      </c>
      <c r="K49" s="39">
        <v>135</v>
      </c>
      <c r="L49">
        <v>135</v>
      </c>
      <c r="M49" s="39">
        <v>33</v>
      </c>
      <c r="N49" s="39">
        <v>68</v>
      </c>
      <c r="O49" s="39">
        <v>101</v>
      </c>
      <c r="P49" s="39">
        <v>134</v>
      </c>
      <c r="Q49">
        <v>134</v>
      </c>
      <c r="R49" s="39">
        <v>34</v>
      </c>
    </row>
    <row r="50" spans="2:18" x14ac:dyDescent="0.2">
      <c r="B50" s="4"/>
      <c r="C50" t="s">
        <v>14</v>
      </c>
      <c r="D50">
        <v>395</v>
      </c>
      <c r="E50">
        <v>439</v>
      </c>
      <c r="F50">
        <v>400</v>
      </c>
      <c r="G50">
        <v>431</v>
      </c>
      <c r="H50" s="39">
        <v>111</v>
      </c>
      <c r="I50" s="39">
        <v>223</v>
      </c>
      <c r="J50" s="39">
        <v>336</v>
      </c>
      <c r="K50" s="39">
        <v>452</v>
      </c>
      <c r="L50">
        <v>452</v>
      </c>
      <c r="M50" s="39">
        <v>120</v>
      </c>
      <c r="N50" s="39">
        <v>233</v>
      </c>
      <c r="O50" s="39">
        <v>341</v>
      </c>
      <c r="P50" s="39">
        <v>454</v>
      </c>
      <c r="Q50">
        <v>454</v>
      </c>
      <c r="R50" s="39">
        <v>114</v>
      </c>
    </row>
    <row r="51" spans="2:18" x14ac:dyDescent="0.2">
      <c r="B51" s="4"/>
      <c r="C51" t="s">
        <v>41</v>
      </c>
      <c r="D51">
        <v>73</v>
      </c>
      <c r="E51">
        <v>-42</v>
      </c>
      <c r="F51">
        <v>-39</v>
      </c>
      <c r="G51">
        <v>-6</v>
      </c>
      <c r="H51" s="39">
        <v>2</v>
      </c>
      <c r="I51" s="39">
        <v>4</v>
      </c>
      <c r="J51" s="39">
        <v>7</v>
      </c>
      <c r="K51" s="39">
        <v>9</v>
      </c>
      <c r="L51">
        <v>9</v>
      </c>
      <c r="M51" s="39">
        <v>2</v>
      </c>
      <c r="N51" s="39">
        <v>4</v>
      </c>
      <c r="O51" s="39">
        <v>6</v>
      </c>
      <c r="P51" s="39">
        <v>7</v>
      </c>
      <c r="Q51">
        <v>7</v>
      </c>
      <c r="R51" s="39">
        <v>2</v>
      </c>
    </row>
    <row r="52" spans="2:18" x14ac:dyDescent="0.2">
      <c r="B52" s="4"/>
      <c r="C52" t="s">
        <v>67</v>
      </c>
      <c r="G52">
        <v>57</v>
      </c>
      <c r="H52" s="39">
        <v>0</v>
      </c>
      <c r="I52" s="39">
        <v>0</v>
      </c>
      <c r="J52" s="39">
        <v>48</v>
      </c>
      <c r="K52" s="39">
        <v>48</v>
      </c>
      <c r="L52">
        <v>48</v>
      </c>
      <c r="M52" s="39">
        <v>0</v>
      </c>
      <c r="N52" s="39">
        <v>21</v>
      </c>
      <c r="O52" s="39">
        <v>21</v>
      </c>
      <c r="P52" s="39">
        <v>21</v>
      </c>
      <c r="Q52">
        <v>21</v>
      </c>
      <c r="R52" s="39">
        <v>0</v>
      </c>
    </row>
    <row r="53" spans="2:18" x14ac:dyDescent="0.2">
      <c r="B53" s="4"/>
      <c r="C53" t="s">
        <v>0</v>
      </c>
      <c r="D53">
        <v>18</v>
      </c>
      <c r="E53">
        <v>22</v>
      </c>
      <c r="F53">
        <v>34</v>
      </c>
      <c r="G53">
        <v>38</v>
      </c>
      <c r="H53" s="39">
        <v>8</v>
      </c>
      <c r="I53" s="39">
        <v>18</v>
      </c>
      <c r="J53" s="39">
        <v>34</v>
      </c>
      <c r="K53" s="39">
        <v>44</v>
      </c>
      <c r="L53">
        <v>44</v>
      </c>
      <c r="M53" s="39">
        <v>8</v>
      </c>
      <c r="N53" s="39">
        <v>15</v>
      </c>
      <c r="O53" s="39">
        <v>24</v>
      </c>
      <c r="P53" s="39">
        <v>31</v>
      </c>
      <c r="Q53">
        <v>31</v>
      </c>
      <c r="R53" s="39">
        <v>6</v>
      </c>
    </row>
    <row r="54" spans="2:18" x14ac:dyDescent="0.2">
      <c r="B54" s="4"/>
      <c r="C54" t="s">
        <v>42</v>
      </c>
      <c r="D54">
        <v>0</v>
      </c>
      <c r="E54">
        <v>-1</v>
      </c>
      <c r="F54">
        <v>2</v>
      </c>
      <c r="G54">
        <v>3</v>
      </c>
      <c r="H54" s="39">
        <v>34</v>
      </c>
      <c r="I54" s="39">
        <v>55</v>
      </c>
      <c r="J54" s="39">
        <v>58</v>
      </c>
      <c r="K54" s="39">
        <v>47</v>
      </c>
      <c r="L54">
        <v>47</v>
      </c>
      <c r="M54" s="39">
        <v>1</v>
      </c>
      <c r="N54" s="39">
        <v>18</v>
      </c>
      <c r="O54" s="39">
        <v>17</v>
      </c>
      <c r="P54" s="39">
        <v>0</v>
      </c>
      <c r="Q54">
        <v>0</v>
      </c>
      <c r="R54" s="39">
        <v>5</v>
      </c>
    </row>
    <row r="55" spans="2:18" x14ac:dyDescent="0.2">
      <c r="B55" s="4"/>
      <c r="C55" t="s">
        <v>43</v>
      </c>
      <c r="D55">
        <v>240</v>
      </c>
      <c r="E55">
        <v>-235</v>
      </c>
      <c r="F55">
        <v>128</v>
      </c>
      <c r="G55">
        <v>-205</v>
      </c>
      <c r="H55" s="39">
        <v>6</v>
      </c>
      <c r="I55" s="39">
        <v>26</v>
      </c>
      <c r="J55" s="39">
        <v>8</v>
      </c>
      <c r="K55" s="39">
        <v>42</v>
      </c>
      <c r="L55">
        <v>42</v>
      </c>
      <c r="M55" s="39">
        <v>33</v>
      </c>
      <c r="N55" s="39">
        <v>35</v>
      </c>
      <c r="O55" s="39">
        <v>-50</v>
      </c>
      <c r="P55" s="39">
        <v>-186</v>
      </c>
      <c r="Q55">
        <v>-186</v>
      </c>
      <c r="R55" s="39">
        <v>6</v>
      </c>
    </row>
    <row r="56" spans="2:18" x14ac:dyDescent="0.2">
      <c r="B56" s="15"/>
      <c r="C56" s="16" t="s">
        <v>44</v>
      </c>
      <c r="D56" s="15">
        <f t="shared" ref="D56:F56" si="38">SUM(D44:D55)</f>
        <v>1204</v>
      </c>
      <c r="E56" s="15">
        <f t="shared" si="38"/>
        <v>818</v>
      </c>
      <c r="F56" s="15">
        <f t="shared" si="38"/>
        <v>1206</v>
      </c>
      <c r="G56" s="15">
        <f t="shared" ref="G56:R56" si="39">SUM(G44:G55)</f>
        <v>973</v>
      </c>
      <c r="H56" s="15">
        <f t="shared" si="39"/>
        <v>-1653</v>
      </c>
      <c r="I56" s="15">
        <f t="shared" si="39"/>
        <v>549</v>
      </c>
      <c r="J56" s="15">
        <f t="shared" si="39"/>
        <v>812</v>
      </c>
      <c r="K56" s="15">
        <f t="shared" si="39"/>
        <v>1213</v>
      </c>
      <c r="L56" s="15">
        <f t="shared" si="39"/>
        <v>1213</v>
      </c>
      <c r="M56" s="15">
        <f t="shared" si="39"/>
        <v>285</v>
      </c>
      <c r="N56" s="15">
        <f t="shared" si="39"/>
        <v>605</v>
      </c>
      <c r="O56" s="15">
        <f t="shared" si="39"/>
        <v>780</v>
      </c>
      <c r="P56" s="15">
        <f t="shared" si="39"/>
        <v>1028</v>
      </c>
      <c r="Q56" s="15">
        <f t="shared" si="39"/>
        <v>1028</v>
      </c>
      <c r="R56" s="61">
        <f t="shared" si="39"/>
        <v>276</v>
      </c>
    </row>
    <row r="57" spans="2:18" x14ac:dyDescent="0.2">
      <c r="B57" s="10"/>
      <c r="C57" s="11" t="s">
        <v>45</v>
      </c>
      <c r="L57" s="10"/>
      <c r="Q57" s="10"/>
      <c r="R57" s="10"/>
    </row>
    <row r="58" spans="2:18" x14ac:dyDescent="0.2">
      <c r="B58" s="4"/>
      <c r="C58" t="s">
        <v>46</v>
      </c>
      <c r="D58">
        <v>-220</v>
      </c>
      <c r="E58">
        <v>-259</v>
      </c>
      <c r="F58">
        <v>-246</v>
      </c>
      <c r="G58">
        <v>-214</v>
      </c>
      <c r="H58" s="39">
        <v>-29</v>
      </c>
      <c r="I58" s="39">
        <v>-57</v>
      </c>
      <c r="J58" s="39">
        <v>-99</v>
      </c>
      <c r="K58" s="39">
        <v>-183</v>
      </c>
      <c r="L58">
        <v>-183</v>
      </c>
      <c r="M58" s="39">
        <v>-31</v>
      </c>
      <c r="N58" s="39">
        <v>-79</v>
      </c>
      <c r="O58" s="39">
        <v>-132</v>
      </c>
      <c r="P58" s="39">
        <v>-215</v>
      </c>
      <c r="Q58">
        <v>-215</v>
      </c>
      <c r="R58" s="39">
        <v>-39</v>
      </c>
    </row>
    <row r="59" spans="2:18" x14ac:dyDescent="0.2">
      <c r="B59" s="4"/>
      <c r="C59" t="s">
        <v>47</v>
      </c>
      <c r="D59">
        <v>-4</v>
      </c>
      <c r="E59">
        <v>-2</v>
      </c>
      <c r="F59">
        <v>-2</v>
      </c>
      <c r="G59">
        <v>-58</v>
      </c>
      <c r="H59" s="39">
        <v>-8</v>
      </c>
      <c r="I59" s="39">
        <v>-8</v>
      </c>
      <c r="J59" s="39">
        <v>-30</v>
      </c>
      <c r="K59" s="39">
        <v>-31</v>
      </c>
      <c r="L59">
        <v>-31</v>
      </c>
      <c r="M59" s="39">
        <v>-44</v>
      </c>
      <c r="N59" s="39">
        <v>-45</v>
      </c>
      <c r="O59" s="39">
        <v>-48</v>
      </c>
      <c r="P59" s="39">
        <v>-72</v>
      </c>
      <c r="Q59">
        <v>-72</v>
      </c>
      <c r="R59" s="39">
        <v>-1</v>
      </c>
    </row>
    <row r="60" spans="2:18" x14ac:dyDescent="0.2">
      <c r="B60" s="4"/>
      <c r="C60" t="s">
        <v>70</v>
      </c>
      <c r="D60">
        <v>2</v>
      </c>
      <c r="E60">
        <v>1</v>
      </c>
      <c r="F60">
        <v>2</v>
      </c>
      <c r="G60">
        <v>1</v>
      </c>
      <c r="H60" s="39">
        <v>0</v>
      </c>
      <c r="I60" s="39">
        <v>0</v>
      </c>
      <c r="J60" s="39">
        <v>2</v>
      </c>
      <c r="K60" s="39">
        <v>2</v>
      </c>
      <c r="L60">
        <v>2</v>
      </c>
      <c r="M60" s="39">
        <v>0</v>
      </c>
      <c r="N60" s="39">
        <v>0</v>
      </c>
      <c r="O60" s="39">
        <v>0</v>
      </c>
      <c r="P60" s="39">
        <v>0</v>
      </c>
      <c r="Q60">
        <v>0</v>
      </c>
    </row>
    <row r="61" spans="2:18" x14ac:dyDescent="0.2">
      <c r="B61" s="4"/>
      <c r="C61" t="s">
        <v>48</v>
      </c>
      <c r="D61">
        <v>-7</v>
      </c>
      <c r="E61">
        <v>4</v>
      </c>
      <c r="F61">
        <v>-3</v>
      </c>
      <c r="G61">
        <v>-2</v>
      </c>
      <c r="H61" s="39">
        <v>-2</v>
      </c>
      <c r="I61" s="39">
        <v>0</v>
      </c>
      <c r="J61" s="39">
        <v>-1</v>
      </c>
      <c r="K61" s="39">
        <v>0</v>
      </c>
      <c r="L61">
        <v>0</v>
      </c>
      <c r="M61" s="39">
        <v>-3</v>
      </c>
      <c r="N61" s="39">
        <v>-3</v>
      </c>
      <c r="O61" s="39">
        <v>-1</v>
      </c>
      <c r="P61" s="39">
        <v>0</v>
      </c>
      <c r="Q61">
        <v>0</v>
      </c>
      <c r="R61" s="39">
        <v>-2</v>
      </c>
    </row>
    <row r="62" spans="2:18" x14ac:dyDescent="0.2">
      <c r="B62" s="4"/>
      <c r="C62" t="s">
        <v>71</v>
      </c>
      <c r="D62">
        <v>220</v>
      </c>
      <c r="E62">
        <v>0</v>
      </c>
      <c r="F62">
        <v>-95</v>
      </c>
      <c r="G62">
        <v>3</v>
      </c>
      <c r="H62" s="39">
        <v>0</v>
      </c>
      <c r="I62" s="39">
        <v>0</v>
      </c>
      <c r="J62" s="39">
        <v>1</v>
      </c>
      <c r="K62" s="39">
        <v>1</v>
      </c>
      <c r="L62">
        <v>1</v>
      </c>
      <c r="M62" s="39">
        <v>0</v>
      </c>
      <c r="N62" s="39">
        <v>0</v>
      </c>
      <c r="O62" s="39">
        <v>2</v>
      </c>
      <c r="P62" s="39">
        <v>2</v>
      </c>
      <c r="Q62">
        <v>2</v>
      </c>
    </row>
    <row r="63" spans="2:18" x14ac:dyDescent="0.2">
      <c r="B63" s="15"/>
      <c r="C63" s="16" t="s">
        <v>49</v>
      </c>
      <c r="D63" s="15">
        <f t="shared" ref="D63:F63" si="40">SUM(D58:D62)</f>
        <v>-9</v>
      </c>
      <c r="E63" s="15">
        <f t="shared" si="40"/>
        <v>-256</v>
      </c>
      <c r="F63" s="15">
        <f t="shared" si="40"/>
        <v>-344</v>
      </c>
      <c r="G63" s="15">
        <f t="shared" ref="G63:R63" si="41">SUM(G58:G62)</f>
        <v>-270</v>
      </c>
      <c r="H63" s="15">
        <f t="shared" si="41"/>
        <v>-39</v>
      </c>
      <c r="I63" s="15">
        <f t="shared" si="41"/>
        <v>-65</v>
      </c>
      <c r="J63" s="15">
        <f t="shared" si="41"/>
        <v>-127</v>
      </c>
      <c r="K63" s="15">
        <f t="shared" si="41"/>
        <v>-211</v>
      </c>
      <c r="L63" s="15">
        <f t="shared" si="41"/>
        <v>-211</v>
      </c>
      <c r="M63" s="15">
        <f t="shared" si="41"/>
        <v>-78</v>
      </c>
      <c r="N63" s="15">
        <f t="shared" si="41"/>
        <v>-127</v>
      </c>
      <c r="O63" s="15">
        <f t="shared" si="41"/>
        <v>-179</v>
      </c>
      <c r="P63" s="15">
        <f t="shared" si="41"/>
        <v>-285</v>
      </c>
      <c r="Q63" s="15">
        <f t="shared" si="41"/>
        <v>-285</v>
      </c>
      <c r="R63" s="61">
        <f t="shared" si="41"/>
        <v>-42</v>
      </c>
    </row>
    <row r="64" spans="2:18" x14ac:dyDescent="0.2">
      <c r="B64" s="4"/>
      <c r="C64" s="12" t="s">
        <v>50</v>
      </c>
      <c r="L64" s="4"/>
      <c r="Q64" s="4"/>
      <c r="R64" s="4"/>
    </row>
    <row r="65" spans="2:18" x14ac:dyDescent="0.2">
      <c r="B65" s="4"/>
      <c r="C65" t="s">
        <v>51</v>
      </c>
      <c r="D65">
        <v>-4142</v>
      </c>
      <c r="E65">
        <v>-837</v>
      </c>
      <c r="F65">
        <v>-1246</v>
      </c>
      <c r="G65">
        <v>-2387</v>
      </c>
      <c r="H65" s="39">
        <v>-1188</v>
      </c>
      <c r="I65" s="39">
        <v>-1419</v>
      </c>
      <c r="J65" s="39">
        <v>-2396</v>
      </c>
      <c r="K65" s="39">
        <v>-3049</v>
      </c>
      <c r="L65">
        <v>-3049</v>
      </c>
      <c r="M65" s="39">
        <v>-412</v>
      </c>
      <c r="N65" s="39">
        <v>-1216</v>
      </c>
      <c r="O65" s="39">
        <v>-1565</v>
      </c>
      <c r="P65" s="39">
        <v>-2177</v>
      </c>
      <c r="Q65">
        <v>-2177</v>
      </c>
      <c r="R65" s="39">
        <v>-438</v>
      </c>
    </row>
    <row r="66" spans="2:18" x14ac:dyDescent="0.2">
      <c r="B66" s="4"/>
      <c r="C66" t="s">
        <v>52</v>
      </c>
      <c r="D66">
        <v>1905</v>
      </c>
      <c r="E66">
        <v>465</v>
      </c>
      <c r="F66">
        <v>1717</v>
      </c>
      <c r="G66">
        <v>1674</v>
      </c>
      <c r="H66" s="39">
        <v>384</v>
      </c>
      <c r="I66" s="39">
        <v>554</v>
      </c>
      <c r="J66" s="39">
        <v>726</v>
      </c>
      <c r="K66" s="39">
        <v>1852</v>
      </c>
      <c r="L66">
        <v>1852</v>
      </c>
      <c r="M66" s="39">
        <v>351</v>
      </c>
      <c r="N66" s="39">
        <v>1098</v>
      </c>
      <c r="O66" s="39">
        <v>1470</v>
      </c>
      <c r="P66" s="39">
        <v>2974</v>
      </c>
      <c r="Q66">
        <v>2974</v>
      </c>
      <c r="R66" s="39">
        <v>515</v>
      </c>
    </row>
    <row r="67" spans="2:18" x14ac:dyDescent="0.2">
      <c r="B67" s="4"/>
      <c r="C67" t="s">
        <v>53</v>
      </c>
      <c r="D67">
        <v>1000</v>
      </c>
      <c r="E67">
        <v>0</v>
      </c>
      <c r="F67">
        <v>500</v>
      </c>
      <c r="G67">
        <v>1050</v>
      </c>
      <c r="H67" s="39">
        <v>999</v>
      </c>
      <c r="I67" s="39">
        <v>999</v>
      </c>
      <c r="J67" s="39">
        <v>1997</v>
      </c>
      <c r="K67" s="39">
        <v>1997</v>
      </c>
      <c r="L67">
        <v>1997</v>
      </c>
      <c r="M67" s="39">
        <v>0</v>
      </c>
      <c r="N67" s="39">
        <v>0</v>
      </c>
      <c r="O67" s="39">
        <v>0</v>
      </c>
      <c r="P67" s="39">
        <v>0</v>
      </c>
      <c r="Q67">
        <v>0</v>
      </c>
    </row>
    <row r="68" spans="2:18" x14ac:dyDescent="0.2">
      <c r="B68" s="4"/>
      <c r="C68" t="s">
        <v>54</v>
      </c>
      <c r="D68">
        <v>-27</v>
      </c>
      <c r="E68">
        <v>0</v>
      </c>
      <c r="F68">
        <v>-7</v>
      </c>
      <c r="G68">
        <v>-16</v>
      </c>
      <c r="H68" s="39">
        <v>-12</v>
      </c>
      <c r="I68" s="39">
        <v>-12</v>
      </c>
      <c r="J68" s="39">
        <v>-25</v>
      </c>
      <c r="K68" s="39">
        <v>-24</v>
      </c>
      <c r="L68">
        <v>-24</v>
      </c>
      <c r="M68" s="39">
        <v>-3</v>
      </c>
      <c r="N68" s="39">
        <v>-3</v>
      </c>
      <c r="O68" s="39">
        <v>-3</v>
      </c>
      <c r="P68" s="39">
        <v>-3</v>
      </c>
      <c r="Q68">
        <v>-3</v>
      </c>
    </row>
    <row r="69" spans="2:18" x14ac:dyDescent="0.2">
      <c r="B69" s="4"/>
      <c r="C69" t="s">
        <v>68</v>
      </c>
      <c r="D69">
        <v>0</v>
      </c>
      <c r="E69">
        <v>0</v>
      </c>
      <c r="F69">
        <v>0</v>
      </c>
      <c r="G69">
        <v>-46</v>
      </c>
      <c r="I69" s="39">
        <v>0</v>
      </c>
      <c r="J69" s="39">
        <v>-32</v>
      </c>
      <c r="K69" s="39">
        <v>-32</v>
      </c>
      <c r="L69">
        <v>-32</v>
      </c>
      <c r="N69" s="39">
        <v>-18</v>
      </c>
      <c r="O69" s="39">
        <v>-18</v>
      </c>
      <c r="P69" s="39">
        <v>-18</v>
      </c>
      <c r="Q69">
        <v>-18</v>
      </c>
      <c r="R69" s="39"/>
    </row>
    <row r="70" spans="2:18" x14ac:dyDescent="0.2">
      <c r="B70" s="4"/>
      <c r="C70" t="s">
        <v>56</v>
      </c>
      <c r="D70">
        <v>-9</v>
      </c>
      <c r="E70">
        <v>-205</v>
      </c>
      <c r="F70">
        <v>-1817</v>
      </c>
      <c r="G70">
        <v>-1005</v>
      </c>
      <c r="H70" s="39">
        <v>-286</v>
      </c>
      <c r="I70" s="39">
        <v>-480</v>
      </c>
      <c r="J70" s="39">
        <v>-764</v>
      </c>
      <c r="K70" s="39">
        <v>-1765</v>
      </c>
      <c r="L70">
        <v>-1765</v>
      </c>
      <c r="M70" s="39">
        <v>-59</v>
      </c>
      <c r="N70" s="39">
        <v>-210</v>
      </c>
      <c r="O70" s="39">
        <v>-444</v>
      </c>
      <c r="P70" s="39">
        <v>-1485</v>
      </c>
      <c r="Q70">
        <v>-1485</v>
      </c>
      <c r="R70" s="39">
        <v>-234</v>
      </c>
    </row>
    <row r="71" spans="2:18" x14ac:dyDescent="0.2">
      <c r="B71" s="4"/>
      <c r="C71" t="s">
        <v>57</v>
      </c>
      <c r="D71">
        <v>-63</v>
      </c>
      <c r="E71">
        <v>-50</v>
      </c>
      <c r="F71">
        <v>-29</v>
      </c>
      <c r="G71">
        <v>-45</v>
      </c>
      <c r="H71" s="39">
        <v>-25</v>
      </c>
      <c r="I71" s="39">
        <v>-25</v>
      </c>
      <c r="J71" s="39">
        <v>-25</v>
      </c>
      <c r="K71" s="39">
        <v>-42</v>
      </c>
      <c r="L71">
        <v>-42</v>
      </c>
      <c r="M71" s="39">
        <v>-20</v>
      </c>
      <c r="N71" s="39">
        <v>-20</v>
      </c>
      <c r="O71" s="39">
        <v>-20</v>
      </c>
      <c r="P71" s="39">
        <v>-36</v>
      </c>
      <c r="Q71">
        <v>-36</v>
      </c>
      <c r="R71" s="39">
        <v>-21</v>
      </c>
    </row>
    <row r="72" spans="2:18" x14ac:dyDescent="0.2">
      <c r="B72" s="4"/>
      <c r="C72" t="s">
        <v>55</v>
      </c>
      <c r="D72">
        <v>0</v>
      </c>
      <c r="E72">
        <v>0</v>
      </c>
      <c r="F72">
        <v>20</v>
      </c>
      <c r="G72">
        <v>12</v>
      </c>
      <c r="H72" s="39">
        <v>7</v>
      </c>
      <c r="I72" s="39">
        <v>-4</v>
      </c>
      <c r="J72" s="39">
        <v>-5</v>
      </c>
      <c r="K72" s="39">
        <v>-3</v>
      </c>
      <c r="L72">
        <v>-3</v>
      </c>
      <c r="M72" s="39">
        <v>-1</v>
      </c>
      <c r="N72" s="39">
        <v>-1</v>
      </c>
      <c r="O72" s="39">
        <v>-1</v>
      </c>
      <c r="P72" s="39">
        <v>-15</v>
      </c>
      <c r="Q72">
        <v>-15</v>
      </c>
      <c r="R72" s="39">
        <v>-9</v>
      </c>
    </row>
    <row r="73" spans="2:18" x14ac:dyDescent="0.2">
      <c r="B73" s="15"/>
      <c r="C73" s="16" t="s">
        <v>58</v>
      </c>
      <c r="D73" s="15">
        <f t="shared" ref="D73:F73" si="42">SUM(D65:D72)</f>
        <v>-1336</v>
      </c>
      <c r="E73" s="15">
        <f t="shared" si="42"/>
        <v>-627</v>
      </c>
      <c r="F73" s="15">
        <f t="shared" si="42"/>
        <v>-862</v>
      </c>
      <c r="G73" s="15">
        <f>SUM(G65:G72)</f>
        <v>-763</v>
      </c>
      <c r="H73" s="15">
        <f t="shared" ref="H73:R73" si="43">SUM(H65:H72)</f>
        <v>-121</v>
      </c>
      <c r="I73" s="15">
        <f t="shared" si="43"/>
        <v>-387</v>
      </c>
      <c r="J73" s="15">
        <f t="shared" si="43"/>
        <v>-524</v>
      </c>
      <c r="K73" s="15">
        <f t="shared" si="43"/>
        <v>-1066</v>
      </c>
      <c r="L73" s="15">
        <f t="shared" si="43"/>
        <v>-1066</v>
      </c>
      <c r="M73" s="15">
        <f t="shared" si="43"/>
        <v>-144</v>
      </c>
      <c r="N73" s="15">
        <f t="shared" si="43"/>
        <v>-370</v>
      </c>
      <c r="O73" s="15">
        <f t="shared" si="43"/>
        <v>-581</v>
      </c>
      <c r="P73" s="15">
        <f t="shared" si="43"/>
        <v>-760</v>
      </c>
      <c r="Q73" s="61">
        <f t="shared" si="43"/>
        <v>-760</v>
      </c>
      <c r="R73" s="61">
        <f t="shared" si="43"/>
        <v>-187</v>
      </c>
    </row>
    <row r="74" spans="2:18" x14ac:dyDescent="0.2">
      <c r="B74" s="4"/>
      <c r="C74" t="s">
        <v>59</v>
      </c>
      <c r="D74">
        <v>14</v>
      </c>
      <c r="E74">
        <v>4</v>
      </c>
      <c r="F74">
        <v>-20</v>
      </c>
      <c r="G74">
        <v>-23</v>
      </c>
      <c r="H74" s="39">
        <v>0</v>
      </c>
      <c r="I74" s="39">
        <v>-6</v>
      </c>
      <c r="J74" s="39">
        <v>-32</v>
      </c>
      <c r="K74" s="39">
        <v>-46</v>
      </c>
      <c r="L74">
        <v>-46</v>
      </c>
      <c r="M74" s="39">
        <v>-10</v>
      </c>
      <c r="N74" s="39">
        <v>-10</v>
      </c>
      <c r="O74" s="39">
        <v>-4</v>
      </c>
      <c r="P74" s="39">
        <v>-3</v>
      </c>
      <c r="Q74">
        <v>-3</v>
      </c>
      <c r="R74" s="39">
        <v>-13</v>
      </c>
    </row>
    <row r="75" spans="2:18" x14ac:dyDescent="0.2">
      <c r="B75" s="4"/>
      <c r="C75" s="1" t="s">
        <v>60</v>
      </c>
      <c r="D75" s="1">
        <f>D56+D63+D73+D74</f>
        <v>-127</v>
      </c>
      <c r="E75" s="1">
        <f>E56+E63+E73+E74</f>
        <v>-61</v>
      </c>
      <c r="F75" s="1">
        <f>F56+F63+F73+F74</f>
        <v>-20</v>
      </c>
      <c r="G75" s="1">
        <f>G56+G63+G73+G74</f>
        <v>-83</v>
      </c>
      <c r="H75" s="45">
        <f>H74+H73+H63+H56</f>
        <v>-1813</v>
      </c>
      <c r="I75" s="45">
        <f>I74+I73+I63+I56</f>
        <v>91</v>
      </c>
      <c r="J75" s="45">
        <f>J74+J73+J63+J56</f>
        <v>129</v>
      </c>
      <c r="K75" s="45">
        <f>K74+K73+K63+K56</f>
        <v>-110</v>
      </c>
      <c r="L75" s="1">
        <f>L56+L63+L73+L74</f>
        <v>-110</v>
      </c>
      <c r="M75" s="45">
        <f>M74+M73+M63+M56</f>
        <v>53</v>
      </c>
      <c r="N75" s="45">
        <f>N74+N73+N63+N56</f>
        <v>98</v>
      </c>
      <c r="O75" s="45">
        <f>O74+O73+O63+O56</f>
        <v>16</v>
      </c>
      <c r="P75" s="45">
        <f>P74+P73+P63+P56</f>
        <v>-20</v>
      </c>
      <c r="Q75" s="1">
        <f>Q56+Q63+Q73+Q74</f>
        <v>-20</v>
      </c>
      <c r="R75" s="1">
        <f>R56+R63+R73+R74</f>
        <v>34</v>
      </c>
    </row>
    <row r="76" spans="2:18" x14ac:dyDescent="0.2">
      <c r="B76" s="4"/>
      <c r="C76" t="s">
        <v>64</v>
      </c>
      <c r="D76">
        <v>748</v>
      </c>
      <c r="E76">
        <f>D77</f>
        <v>621</v>
      </c>
      <c r="F76">
        <f>E77</f>
        <v>560</v>
      </c>
      <c r="G76">
        <f>F77</f>
        <v>540</v>
      </c>
      <c r="H76" s="39">
        <v>457</v>
      </c>
      <c r="I76" s="39">
        <v>457</v>
      </c>
      <c r="J76" s="39">
        <v>457</v>
      </c>
      <c r="K76" s="39">
        <v>457</v>
      </c>
      <c r="L76">
        <f>G77</f>
        <v>457</v>
      </c>
      <c r="M76" s="39">
        <v>347</v>
      </c>
      <c r="N76" s="39">
        <v>347</v>
      </c>
      <c r="O76" s="39">
        <v>347</v>
      </c>
      <c r="P76" s="39">
        <v>347</v>
      </c>
      <c r="Q76">
        <v>347</v>
      </c>
      <c r="R76">
        <f>Q77</f>
        <v>327</v>
      </c>
    </row>
    <row r="77" spans="2:18" x14ac:dyDescent="0.2">
      <c r="B77" s="4"/>
      <c r="C77" t="s">
        <v>65</v>
      </c>
      <c r="D77">
        <f>D75+D76</f>
        <v>621</v>
      </c>
      <c r="E77">
        <f>E75+E76</f>
        <v>560</v>
      </c>
      <c r="F77">
        <f>F75+F76</f>
        <v>540</v>
      </c>
      <c r="G77">
        <f>G75+G76</f>
        <v>457</v>
      </c>
      <c r="H77" s="39">
        <f>H76+H75</f>
        <v>-1356</v>
      </c>
      <c r="I77" s="39">
        <f>I76+I75</f>
        <v>548</v>
      </c>
      <c r="J77" s="39">
        <f>J76+J75</f>
        <v>586</v>
      </c>
      <c r="K77" s="39">
        <f>K76+K75</f>
        <v>347</v>
      </c>
      <c r="L77">
        <f>L75+L76</f>
        <v>347</v>
      </c>
      <c r="M77" s="39">
        <f>M76+M75</f>
        <v>400</v>
      </c>
      <c r="N77" s="39">
        <f>N76+N75</f>
        <v>445</v>
      </c>
      <c r="O77" s="39">
        <f>O76+O75</f>
        <v>363</v>
      </c>
      <c r="P77" s="39">
        <f>P76+P75</f>
        <v>327</v>
      </c>
      <c r="Q77">
        <v>327</v>
      </c>
      <c r="R77" s="39">
        <f>R76+R75</f>
        <v>361</v>
      </c>
    </row>
    <row r="78" spans="2:18" x14ac:dyDescent="0.2">
      <c r="B78" s="4"/>
    </row>
    <row r="79" spans="2:18" x14ac:dyDescent="0.2">
      <c r="B79" s="4"/>
      <c r="C79" t="s">
        <v>43</v>
      </c>
    </row>
    <row r="80" spans="2:18" x14ac:dyDescent="0.2">
      <c r="B80" s="4"/>
      <c r="C80" t="s">
        <v>74</v>
      </c>
      <c r="D80">
        <v>356</v>
      </c>
      <c r="E80">
        <v>-167</v>
      </c>
      <c r="F80">
        <v>-50</v>
      </c>
      <c r="G80">
        <v>-63</v>
      </c>
      <c r="H80" s="39">
        <v>256</v>
      </c>
      <c r="I80" s="39">
        <v>357</v>
      </c>
      <c r="J80" s="39">
        <v>341</v>
      </c>
      <c r="K80" s="39">
        <v>-96</v>
      </c>
      <c r="L80">
        <v>-96</v>
      </c>
      <c r="M80" s="39">
        <v>350</v>
      </c>
      <c r="N80" s="39">
        <v>385</v>
      </c>
      <c r="O80" s="39">
        <v>319</v>
      </c>
      <c r="P80" s="39">
        <v>-178</v>
      </c>
      <c r="Q80">
        <v>-178</v>
      </c>
      <c r="R80" s="39">
        <v>379</v>
      </c>
    </row>
    <row r="81" spans="2:18" x14ac:dyDescent="0.2">
      <c r="B81" s="4"/>
      <c r="C81" t="s">
        <v>75</v>
      </c>
      <c r="D81">
        <v>-66</v>
      </c>
      <c r="E81">
        <v>29</v>
      </c>
      <c r="F81">
        <v>2</v>
      </c>
      <c r="G81">
        <v>-14</v>
      </c>
      <c r="H81" s="39">
        <v>-86</v>
      </c>
      <c r="I81" s="39">
        <v>-57</v>
      </c>
      <c r="J81" s="39">
        <v>-168</v>
      </c>
      <c r="K81" s="39">
        <v>20</v>
      </c>
      <c r="L81">
        <v>20</v>
      </c>
      <c r="M81" s="39">
        <v>-103</v>
      </c>
      <c r="N81" s="39">
        <v>-92</v>
      </c>
      <c r="O81" s="39">
        <v>-298</v>
      </c>
      <c r="P81" s="39">
        <v>-68</v>
      </c>
      <c r="Q81">
        <v>-68</v>
      </c>
      <c r="R81" s="39">
        <v>-71</v>
      </c>
    </row>
    <row r="82" spans="2:18" x14ac:dyDescent="0.2">
      <c r="B82" s="4"/>
      <c r="C82" t="s">
        <v>61</v>
      </c>
      <c r="D82">
        <v>-15</v>
      </c>
      <c r="E82">
        <v>-1</v>
      </c>
      <c r="F82">
        <v>3</v>
      </c>
      <c r="G82">
        <v>-1</v>
      </c>
      <c r="H82" s="39">
        <v>-6</v>
      </c>
      <c r="I82" s="39">
        <v>-10</v>
      </c>
      <c r="J82" s="39">
        <v>-7</v>
      </c>
      <c r="K82" s="39">
        <v>-1</v>
      </c>
      <c r="L82">
        <v>-1</v>
      </c>
      <c r="M82" s="39">
        <v>-5</v>
      </c>
      <c r="N82" s="39">
        <v>-10</v>
      </c>
      <c r="O82" s="39">
        <v>-5</v>
      </c>
      <c r="P82" s="39">
        <v>-9</v>
      </c>
      <c r="Q82">
        <v>-9</v>
      </c>
      <c r="R82" s="39">
        <v>-15</v>
      </c>
    </row>
    <row r="83" spans="2:18" x14ac:dyDescent="0.2">
      <c r="B83" s="4"/>
      <c r="C83" t="s">
        <v>62</v>
      </c>
      <c r="D83">
        <v>50</v>
      </c>
      <c r="E83">
        <v>-29</v>
      </c>
      <c r="F83">
        <v>88</v>
      </c>
      <c r="G83">
        <v>-121</v>
      </c>
      <c r="H83" s="39">
        <v>49</v>
      </c>
      <c r="I83" s="39">
        <v>-14</v>
      </c>
      <c r="J83" s="39">
        <v>127</v>
      </c>
      <c r="K83" s="39">
        <v>172</v>
      </c>
      <c r="L83">
        <v>172</v>
      </c>
      <c r="M83" s="39">
        <v>-67</v>
      </c>
      <c r="N83" s="39">
        <v>-61</v>
      </c>
      <c r="O83" s="39">
        <v>84</v>
      </c>
      <c r="P83" s="39">
        <v>27</v>
      </c>
      <c r="Q83">
        <v>27</v>
      </c>
      <c r="R83" s="39">
        <v>-115</v>
      </c>
    </row>
    <row r="84" spans="2:18" x14ac:dyDescent="0.2">
      <c r="B84" s="4"/>
      <c r="C84" t="s">
        <v>63</v>
      </c>
      <c r="D84">
        <v>-85</v>
      </c>
      <c r="E84">
        <v>-67</v>
      </c>
      <c r="F84">
        <v>85</v>
      </c>
      <c r="G84">
        <v>-6</v>
      </c>
      <c r="H84" s="39">
        <v>-207</v>
      </c>
      <c r="I84" s="39">
        <v>-250</v>
      </c>
      <c r="J84" s="39">
        <v>-285</v>
      </c>
      <c r="K84" s="39">
        <v>-53</v>
      </c>
      <c r="L84">
        <v>-53</v>
      </c>
      <c r="M84" s="39">
        <v>-142</v>
      </c>
      <c r="N84" s="39">
        <v>-187</v>
      </c>
      <c r="O84" s="39">
        <v>-150</v>
      </c>
      <c r="P84" s="39">
        <v>42</v>
      </c>
      <c r="Q84">
        <v>42</v>
      </c>
      <c r="R84" s="39">
        <v>-172</v>
      </c>
    </row>
    <row r="85" spans="2:18" x14ac:dyDescent="0.2">
      <c r="B85" s="4"/>
      <c r="C85" t="s">
        <v>43</v>
      </c>
      <c r="D85">
        <f t="shared" ref="D85:R85" si="44">SUM(D80:D84)</f>
        <v>240</v>
      </c>
      <c r="E85">
        <f t="shared" si="44"/>
        <v>-235</v>
      </c>
      <c r="F85">
        <f t="shared" si="44"/>
        <v>128</v>
      </c>
      <c r="G85">
        <f t="shared" si="44"/>
        <v>-205</v>
      </c>
      <c r="H85" s="39">
        <f t="shared" si="44"/>
        <v>6</v>
      </c>
      <c r="I85" s="39">
        <f t="shared" si="44"/>
        <v>26</v>
      </c>
      <c r="J85" s="39">
        <f t="shared" si="44"/>
        <v>8</v>
      </c>
      <c r="K85" s="39">
        <f t="shared" si="44"/>
        <v>42</v>
      </c>
      <c r="L85">
        <f t="shared" si="44"/>
        <v>42</v>
      </c>
      <c r="M85" s="39">
        <f t="shared" si="44"/>
        <v>33</v>
      </c>
      <c r="N85" s="39">
        <f t="shared" si="44"/>
        <v>35</v>
      </c>
      <c r="O85" s="39">
        <f t="shared" si="44"/>
        <v>-50</v>
      </c>
      <c r="P85" s="39">
        <f t="shared" si="44"/>
        <v>-186</v>
      </c>
      <c r="Q85" s="1">
        <f t="shared" si="44"/>
        <v>-186</v>
      </c>
      <c r="R85" s="1">
        <f t="shared" si="44"/>
        <v>6</v>
      </c>
    </row>
    <row r="86" spans="2:18" x14ac:dyDescent="0.2">
      <c r="B86" s="4"/>
    </row>
    <row r="87" spans="2:18" x14ac:dyDescent="0.2">
      <c r="B87" s="4"/>
      <c r="C87" s="13" t="s">
        <v>76</v>
      </c>
      <c r="D87">
        <v>266</v>
      </c>
      <c r="E87">
        <v>358</v>
      </c>
      <c r="F87">
        <v>338</v>
      </c>
      <c r="G87">
        <v>385</v>
      </c>
      <c r="K87" s="39">
        <v>375</v>
      </c>
      <c r="L87">
        <v>375</v>
      </c>
      <c r="P87" s="39">
        <v>330</v>
      </c>
      <c r="Q87">
        <v>330</v>
      </c>
    </row>
    <row r="88" spans="2:18" x14ac:dyDescent="0.2">
      <c r="B88" s="4"/>
      <c r="C88" s="13" t="s">
        <v>77</v>
      </c>
      <c r="D88">
        <v>127</v>
      </c>
      <c r="E88">
        <v>145</v>
      </c>
      <c r="F88">
        <v>128</v>
      </c>
      <c r="G88">
        <v>156</v>
      </c>
      <c r="K88" s="39">
        <v>98</v>
      </c>
      <c r="L88">
        <v>98</v>
      </c>
      <c r="P88" s="39">
        <v>141</v>
      </c>
      <c r="Q88">
        <v>141</v>
      </c>
    </row>
    <row r="89" spans="2:18" x14ac:dyDescent="0.2">
      <c r="B89" s="4"/>
      <c r="C89" s="13" t="s">
        <v>78</v>
      </c>
      <c r="D89">
        <v>319</v>
      </c>
      <c r="E89">
        <v>231</v>
      </c>
      <c r="F89">
        <v>215</v>
      </c>
      <c r="G89">
        <v>206</v>
      </c>
      <c r="K89" s="39">
        <v>211</v>
      </c>
      <c r="L89">
        <v>211</v>
      </c>
      <c r="P89" s="39">
        <v>223</v>
      </c>
      <c r="Q89">
        <v>223</v>
      </c>
    </row>
    <row r="92" spans="2:18" ht="16" x14ac:dyDescent="0.2">
      <c r="B92" s="19"/>
      <c r="C92" s="20" t="s">
        <v>140</v>
      </c>
      <c r="L92" s="19"/>
      <c r="Q92" s="19"/>
      <c r="R92" s="19"/>
    </row>
    <row r="93" spans="2:18" x14ac:dyDescent="0.2">
      <c r="B93" s="14" t="s">
        <v>141</v>
      </c>
      <c r="C93" s="17" t="s">
        <v>79</v>
      </c>
    </row>
    <row r="94" spans="2:18" x14ac:dyDescent="0.2">
      <c r="B94" s="14"/>
      <c r="C94" t="s">
        <v>80</v>
      </c>
      <c r="K94" s="39" t="s">
        <v>7</v>
      </c>
      <c r="M94" s="39" t="s">
        <v>6</v>
      </c>
      <c r="N94" s="39" t="s">
        <v>5</v>
      </c>
      <c r="O94" s="39" t="s">
        <v>3</v>
      </c>
      <c r="P94" s="39" t="s">
        <v>113</v>
      </c>
    </row>
    <row r="95" spans="2:18" x14ac:dyDescent="0.2">
      <c r="B95" s="14"/>
      <c r="C95" t="s">
        <v>81</v>
      </c>
      <c r="K95" s="39">
        <v>347</v>
      </c>
      <c r="L95">
        <v>347</v>
      </c>
      <c r="M95" s="39">
        <v>400</v>
      </c>
      <c r="N95" s="39">
        <v>445</v>
      </c>
      <c r="O95" s="39">
        <v>363</v>
      </c>
      <c r="P95" s="39">
        <v>327</v>
      </c>
      <c r="Q95">
        <v>327</v>
      </c>
    </row>
    <row r="96" spans="2:18" x14ac:dyDescent="0.2">
      <c r="B96" s="14"/>
      <c r="C96" t="s">
        <v>82</v>
      </c>
      <c r="K96" s="39">
        <v>12</v>
      </c>
      <c r="L96">
        <v>12</v>
      </c>
      <c r="M96" s="39">
        <v>12</v>
      </c>
      <c r="N96" s="39">
        <v>12</v>
      </c>
      <c r="O96" s="39">
        <v>12</v>
      </c>
      <c r="P96" s="39">
        <v>11</v>
      </c>
      <c r="Q96">
        <v>11</v>
      </c>
    </row>
    <row r="97" spans="2:18" x14ac:dyDescent="0.2">
      <c r="B97" s="14"/>
      <c r="C97" t="s">
        <v>83</v>
      </c>
      <c r="K97" s="39">
        <v>1196</v>
      </c>
      <c r="L97">
        <v>1196</v>
      </c>
      <c r="M97" s="39">
        <v>836</v>
      </c>
      <c r="N97" s="39">
        <v>799</v>
      </c>
      <c r="O97" s="39">
        <v>874</v>
      </c>
      <c r="P97" s="39">
        <v>1370</v>
      </c>
      <c r="Q97">
        <v>1370</v>
      </c>
    </row>
    <row r="98" spans="2:18" x14ac:dyDescent="0.2">
      <c r="B98" s="14"/>
      <c r="C98" t="s">
        <v>84</v>
      </c>
      <c r="K98" s="39">
        <v>882</v>
      </c>
      <c r="L98">
        <v>882</v>
      </c>
      <c r="M98" s="39">
        <v>965</v>
      </c>
      <c r="N98" s="39">
        <v>964</v>
      </c>
      <c r="O98" s="39">
        <v>1166</v>
      </c>
      <c r="P98" s="39">
        <v>929</v>
      </c>
      <c r="Q98">
        <v>929</v>
      </c>
    </row>
    <row r="99" spans="2:18" x14ac:dyDescent="0.2">
      <c r="B99" s="14"/>
      <c r="C99" t="s">
        <v>126</v>
      </c>
      <c r="K99" s="39">
        <v>0</v>
      </c>
      <c r="L99">
        <v>0</v>
      </c>
      <c r="M99" s="39">
        <v>0</v>
      </c>
      <c r="N99" s="39">
        <v>0</v>
      </c>
      <c r="O99" s="39">
        <v>0</v>
      </c>
      <c r="P99" s="39">
        <v>0</v>
      </c>
      <c r="Q99">
        <v>0</v>
      </c>
    </row>
    <row r="100" spans="2:18" x14ac:dyDescent="0.2">
      <c r="B100" s="14"/>
      <c r="C100" t="s">
        <v>85</v>
      </c>
      <c r="K100" s="39">
        <v>50</v>
      </c>
      <c r="L100">
        <v>50</v>
      </c>
      <c r="M100" s="39">
        <v>51</v>
      </c>
      <c r="N100" s="39">
        <v>57</v>
      </c>
      <c r="O100" s="39">
        <v>53</v>
      </c>
      <c r="P100" s="39">
        <v>42</v>
      </c>
      <c r="Q100">
        <v>42</v>
      </c>
    </row>
    <row r="101" spans="2:18" x14ac:dyDescent="0.2">
      <c r="B101" s="14"/>
      <c r="C101" t="s">
        <v>86</v>
      </c>
      <c r="K101" s="39">
        <f>SUM(K95:K100)</f>
        <v>2487</v>
      </c>
      <c r="L101">
        <v>2487</v>
      </c>
      <c r="M101" s="39">
        <f>SUM(M95:M100)</f>
        <v>2264</v>
      </c>
      <c r="N101" s="39">
        <f>SUM(N95:N100)</f>
        <v>2277</v>
      </c>
      <c r="O101" s="39">
        <f>SUM(O95:O100)</f>
        <v>2468</v>
      </c>
      <c r="P101" s="38">
        <f>SUM(P95:P100)</f>
        <v>2679</v>
      </c>
      <c r="Q101">
        <v>2679</v>
      </c>
    </row>
    <row r="102" spans="2:18" x14ac:dyDescent="0.2">
      <c r="B102" s="14"/>
      <c r="C102" t="s">
        <v>87</v>
      </c>
      <c r="K102" s="39">
        <v>1026</v>
      </c>
      <c r="L102">
        <v>1026</v>
      </c>
      <c r="M102" s="39">
        <v>972</v>
      </c>
      <c r="N102" s="39">
        <v>982</v>
      </c>
      <c r="O102" s="39">
        <v>997</v>
      </c>
      <c r="P102" s="39">
        <v>1002</v>
      </c>
      <c r="Q102">
        <v>1002</v>
      </c>
    </row>
    <row r="103" spans="2:18" x14ac:dyDescent="0.2">
      <c r="B103" s="14"/>
      <c r="C103" t="s">
        <v>88</v>
      </c>
      <c r="K103" s="39">
        <v>461</v>
      </c>
      <c r="L103">
        <v>461</v>
      </c>
      <c r="M103" s="39">
        <v>452</v>
      </c>
      <c r="N103" s="39">
        <v>409</v>
      </c>
      <c r="O103" s="39">
        <v>364</v>
      </c>
      <c r="P103" s="39">
        <v>339</v>
      </c>
      <c r="Q103">
        <v>339</v>
      </c>
    </row>
    <row r="104" spans="2:18" x14ac:dyDescent="0.2">
      <c r="B104" s="14"/>
      <c r="C104" t="s">
        <v>89</v>
      </c>
      <c r="K104" s="39">
        <v>5091</v>
      </c>
      <c r="L104">
        <v>5091</v>
      </c>
      <c r="M104" s="39">
        <v>5033</v>
      </c>
      <c r="N104" s="39">
        <v>5049</v>
      </c>
      <c r="O104" s="39">
        <v>5051</v>
      </c>
      <c r="P104" s="39">
        <v>5035</v>
      </c>
      <c r="Q104">
        <v>5035</v>
      </c>
    </row>
    <row r="105" spans="2:18" x14ac:dyDescent="0.2">
      <c r="B105" s="14"/>
      <c r="C105" t="s">
        <v>90</v>
      </c>
      <c r="K105" s="39">
        <v>3102</v>
      </c>
      <c r="L105">
        <v>3102</v>
      </c>
      <c r="M105" s="39">
        <v>3085</v>
      </c>
      <c r="N105" s="39">
        <v>3037</v>
      </c>
      <c r="O105" s="39">
        <v>2997</v>
      </c>
      <c r="P105" s="39">
        <v>2936</v>
      </c>
      <c r="Q105">
        <v>2936</v>
      </c>
    </row>
    <row r="106" spans="2:18" x14ac:dyDescent="0.2">
      <c r="B106" s="14"/>
      <c r="C106" t="s">
        <v>91</v>
      </c>
      <c r="K106" s="39">
        <v>58</v>
      </c>
      <c r="L106">
        <v>58</v>
      </c>
      <c r="M106" s="39">
        <v>63</v>
      </c>
      <c r="N106" s="39">
        <v>61</v>
      </c>
      <c r="O106" s="39">
        <v>58</v>
      </c>
      <c r="P106" s="39">
        <v>67</v>
      </c>
      <c r="Q106">
        <v>67</v>
      </c>
    </row>
    <row r="107" spans="2:18" x14ac:dyDescent="0.2">
      <c r="B107" s="14"/>
      <c r="C107" s="17" t="s">
        <v>92</v>
      </c>
      <c r="K107" s="39">
        <f>SUM(K101:K106)</f>
        <v>12225</v>
      </c>
      <c r="L107" s="17">
        <v>12225</v>
      </c>
      <c r="M107" s="39">
        <f>SUM(M101:M106)</f>
        <v>11869</v>
      </c>
      <c r="N107" s="39">
        <f>SUM(N101:N106)</f>
        <v>11815</v>
      </c>
      <c r="O107" s="39">
        <f>SUM(O101:O106)</f>
        <v>11935</v>
      </c>
      <c r="P107" s="38">
        <f>SUM(P101:P106)</f>
        <v>12058</v>
      </c>
      <c r="Q107" s="17">
        <v>12058</v>
      </c>
      <c r="R107" s="17"/>
    </row>
    <row r="108" spans="2:18" x14ac:dyDescent="0.2">
      <c r="B108" s="14"/>
    </row>
    <row r="109" spans="2:18" x14ac:dyDescent="0.2">
      <c r="B109" s="14"/>
      <c r="C109" t="s">
        <v>94</v>
      </c>
    </row>
    <row r="110" spans="2:18" x14ac:dyDescent="0.2">
      <c r="B110" s="14"/>
      <c r="C110" t="s">
        <v>93</v>
      </c>
    </row>
    <row r="111" spans="2:18" x14ac:dyDescent="0.2">
      <c r="B111" s="14"/>
      <c r="C111" t="s">
        <v>111</v>
      </c>
      <c r="K111" s="39">
        <v>9</v>
      </c>
      <c r="L111">
        <v>9</v>
      </c>
      <c r="M111" s="39">
        <v>8</v>
      </c>
      <c r="N111" s="39">
        <v>9</v>
      </c>
      <c r="O111" s="39">
        <v>9</v>
      </c>
      <c r="P111" s="39">
        <v>9</v>
      </c>
      <c r="Q111">
        <v>9</v>
      </c>
    </row>
    <row r="112" spans="2:18" x14ac:dyDescent="0.2">
      <c r="B112" s="14"/>
      <c r="C112" t="s">
        <v>95</v>
      </c>
      <c r="K112" s="39">
        <v>629</v>
      </c>
      <c r="L112">
        <v>629</v>
      </c>
      <c r="M112" s="39">
        <v>554</v>
      </c>
      <c r="N112" s="39">
        <v>566</v>
      </c>
      <c r="O112" s="39">
        <v>722</v>
      </c>
      <c r="P112" s="39">
        <v>658</v>
      </c>
      <c r="Q112">
        <v>658</v>
      </c>
    </row>
    <row r="113" spans="2:17" x14ac:dyDescent="0.2">
      <c r="B113" s="14"/>
      <c r="C113" t="s">
        <v>96</v>
      </c>
      <c r="K113" s="39">
        <v>885</v>
      </c>
      <c r="L113">
        <v>885</v>
      </c>
      <c r="M113" s="39">
        <v>737</v>
      </c>
      <c r="N113" s="39">
        <v>689</v>
      </c>
      <c r="O113" s="39">
        <v>714</v>
      </c>
      <c r="P113" s="39">
        <v>872</v>
      </c>
      <c r="Q113">
        <v>872</v>
      </c>
    </row>
    <row r="114" spans="2:17" x14ac:dyDescent="0.2">
      <c r="B114" s="14"/>
      <c r="C114" t="s">
        <v>97</v>
      </c>
      <c r="K114" s="39">
        <f>SUM(K111:K113)</f>
        <v>1523</v>
      </c>
      <c r="L114">
        <v>1523</v>
      </c>
      <c r="M114" s="39">
        <f>SUM(M111:M113)</f>
        <v>1299</v>
      </c>
      <c r="N114" s="39">
        <f>SUM(N111:N113)</f>
        <v>1264</v>
      </c>
      <c r="O114" s="39">
        <f>SUM(O111:O113)</f>
        <v>1445</v>
      </c>
      <c r="P114" s="39">
        <f>SUM(P111:P113)</f>
        <v>1539</v>
      </c>
      <c r="Q114">
        <v>1539</v>
      </c>
    </row>
    <row r="115" spans="2:17" x14ac:dyDescent="0.2">
      <c r="B115" s="14"/>
      <c r="C115" t="s">
        <v>98</v>
      </c>
      <c r="K115" s="39">
        <v>4579</v>
      </c>
      <c r="L115">
        <v>4579</v>
      </c>
      <c r="M115" s="39">
        <v>4554</v>
      </c>
      <c r="N115" s="39">
        <v>4507</v>
      </c>
      <c r="O115" s="39">
        <v>4534</v>
      </c>
      <c r="P115" s="39">
        <v>5393</v>
      </c>
      <c r="Q115">
        <v>5393</v>
      </c>
    </row>
    <row r="116" spans="2:17" x14ac:dyDescent="0.2">
      <c r="B116" s="14"/>
      <c r="C116" t="s">
        <v>112</v>
      </c>
      <c r="K116" s="39">
        <v>17</v>
      </c>
      <c r="L116">
        <v>17</v>
      </c>
      <c r="M116" s="39">
        <v>13</v>
      </c>
      <c r="N116" s="39">
        <v>13</v>
      </c>
      <c r="O116" s="39">
        <v>14</v>
      </c>
      <c r="P116" s="39">
        <v>13</v>
      </c>
      <c r="Q116">
        <v>13</v>
      </c>
    </row>
    <row r="117" spans="2:17" x14ac:dyDescent="0.2">
      <c r="B117" s="14"/>
      <c r="C117" t="s">
        <v>39</v>
      </c>
      <c r="K117" s="39">
        <v>911</v>
      </c>
      <c r="L117">
        <v>911</v>
      </c>
      <c r="M117" s="39">
        <v>1069</v>
      </c>
      <c r="N117" s="39">
        <f>1079-210</f>
        <v>869</v>
      </c>
      <c r="O117" s="39">
        <f>1033-212</f>
        <v>821</v>
      </c>
      <c r="P117" s="39">
        <v>827</v>
      </c>
      <c r="Q117">
        <v>827</v>
      </c>
    </row>
    <row r="118" spans="2:17" x14ac:dyDescent="0.2">
      <c r="B118" s="14"/>
      <c r="C118" t="s">
        <v>99</v>
      </c>
      <c r="K118" s="39">
        <v>149</v>
      </c>
      <c r="L118">
        <v>149</v>
      </c>
      <c r="M118" s="39">
        <v>153</v>
      </c>
      <c r="N118" s="39">
        <v>170</v>
      </c>
      <c r="O118" s="39">
        <v>183</v>
      </c>
      <c r="P118" s="39">
        <v>168</v>
      </c>
      <c r="Q118">
        <v>168</v>
      </c>
    </row>
    <row r="119" spans="2:17" x14ac:dyDescent="0.2">
      <c r="B119" s="14"/>
      <c r="C119" t="s">
        <v>100</v>
      </c>
      <c r="K119" s="39">
        <f>SUM(K114:K118)</f>
        <v>7179</v>
      </c>
      <c r="L119">
        <v>7179</v>
      </c>
      <c r="M119" s="39">
        <f>SUM(M114:M118)</f>
        <v>7088</v>
      </c>
      <c r="N119" s="39">
        <f>SUM(N114:N118)</f>
        <v>6823</v>
      </c>
      <c r="O119" s="39">
        <f>SUM(O114:O118)</f>
        <v>6997</v>
      </c>
      <c r="P119" s="39">
        <f>SUM(P114:P118)</f>
        <v>7940</v>
      </c>
      <c r="Q119">
        <v>7940</v>
      </c>
    </row>
    <row r="120" spans="2:17" x14ac:dyDescent="0.2">
      <c r="B120" s="14"/>
      <c r="C120" t="s">
        <v>101</v>
      </c>
    </row>
    <row r="121" spans="2:17" x14ac:dyDescent="0.2">
      <c r="B121" s="14"/>
      <c r="C121" t="s">
        <v>102</v>
      </c>
    </row>
    <row r="122" spans="2:17" x14ac:dyDescent="0.2">
      <c r="B122" s="14"/>
      <c r="C122" t="s">
        <v>103</v>
      </c>
      <c r="K122" s="39">
        <v>0</v>
      </c>
      <c r="L122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</row>
    <row r="123" spans="2:17" x14ac:dyDescent="0.2">
      <c r="B123" s="14"/>
      <c r="C123" t="s">
        <v>104</v>
      </c>
      <c r="K123" s="39">
        <v>6787</v>
      </c>
      <c r="L123">
        <v>6787</v>
      </c>
      <c r="M123" s="39">
        <v>6799</v>
      </c>
      <c r="N123" s="39">
        <v>6807</v>
      </c>
      <c r="O123" s="39">
        <v>6830</v>
      </c>
      <c r="P123" s="39">
        <v>6827</v>
      </c>
      <c r="Q123">
        <v>6827</v>
      </c>
    </row>
    <row r="124" spans="2:17" x14ac:dyDescent="0.2">
      <c r="B124" s="14"/>
      <c r="C124" t="s">
        <v>105</v>
      </c>
      <c r="K124" s="39">
        <v>-1805</v>
      </c>
      <c r="L124">
        <v>-1805</v>
      </c>
      <c r="M124" s="39">
        <v>-1757</v>
      </c>
      <c r="N124" s="39">
        <v>-1796</v>
      </c>
      <c r="O124" s="39">
        <v>-1884</v>
      </c>
      <c r="P124" s="39">
        <v>-2669</v>
      </c>
      <c r="Q124">
        <v>-2669</v>
      </c>
    </row>
    <row r="125" spans="2:17" x14ac:dyDescent="0.2">
      <c r="B125" s="14"/>
      <c r="C125" t="s">
        <v>106</v>
      </c>
      <c r="K125" s="39">
        <v>-39</v>
      </c>
      <c r="L125">
        <v>-39</v>
      </c>
      <c r="M125" s="39">
        <v>-140</v>
      </c>
      <c r="N125" s="39">
        <v>-116</v>
      </c>
      <c r="O125" s="39">
        <v>-116</v>
      </c>
      <c r="P125" s="39">
        <v>-140</v>
      </c>
      <c r="Q125">
        <v>-140</v>
      </c>
    </row>
    <row r="126" spans="2:17" x14ac:dyDescent="0.2">
      <c r="B126" s="14"/>
      <c r="C126" t="s">
        <v>107</v>
      </c>
      <c r="K126" s="39">
        <f>SUM(K122:K125)</f>
        <v>4943</v>
      </c>
      <c r="L126">
        <v>4943</v>
      </c>
      <c r="M126" s="39">
        <f>SUM(M122:M125)</f>
        <v>4902</v>
      </c>
      <c r="N126" s="39">
        <f>SUM(N122:N125)</f>
        <v>4895</v>
      </c>
      <c r="O126" s="39">
        <f>SUM(O122:O125)</f>
        <v>4830</v>
      </c>
      <c r="P126" s="38">
        <f>SUM(P122:P125)</f>
        <v>4018</v>
      </c>
      <c r="Q126">
        <v>4018</v>
      </c>
    </row>
    <row r="127" spans="2:17" x14ac:dyDescent="0.2">
      <c r="B127" s="14"/>
      <c r="C127" t="s">
        <v>108</v>
      </c>
      <c r="K127" s="39">
        <v>103</v>
      </c>
      <c r="L127">
        <v>103</v>
      </c>
      <c r="M127" s="39">
        <v>91</v>
      </c>
      <c r="N127" s="39">
        <v>97</v>
      </c>
      <c r="O127" s="39">
        <v>108</v>
      </c>
      <c r="P127" s="39">
        <v>100</v>
      </c>
      <c r="Q127">
        <v>100</v>
      </c>
    </row>
    <row r="128" spans="2:17" x14ac:dyDescent="0.2">
      <c r="B128" s="14"/>
      <c r="C128" t="s">
        <v>109</v>
      </c>
      <c r="K128" s="39">
        <f>K127+K126</f>
        <v>5046</v>
      </c>
      <c r="L128">
        <v>5046</v>
      </c>
      <c r="M128" s="39">
        <f>M127+M126</f>
        <v>4993</v>
      </c>
      <c r="N128" s="39">
        <f>N127+N126</f>
        <v>4992</v>
      </c>
      <c r="O128" s="39">
        <f>O127+O126</f>
        <v>4938</v>
      </c>
      <c r="P128" s="38">
        <f>P127+P126</f>
        <v>4118</v>
      </c>
      <c r="Q128">
        <v>4118</v>
      </c>
    </row>
    <row r="129" spans="2:21" x14ac:dyDescent="0.2">
      <c r="B129" s="14"/>
      <c r="C129" t="s">
        <v>110</v>
      </c>
      <c r="K129" s="39">
        <f>K128+K119</f>
        <v>12225</v>
      </c>
      <c r="L129">
        <v>12225</v>
      </c>
      <c r="M129" s="39">
        <f>M128+M119</f>
        <v>12081</v>
      </c>
      <c r="N129" s="39">
        <f>N128+N119</f>
        <v>11815</v>
      </c>
      <c r="O129" s="39">
        <f>O128+O119</f>
        <v>11935</v>
      </c>
      <c r="P129" s="38">
        <f>P128+P119</f>
        <v>12058</v>
      </c>
      <c r="Q129">
        <v>12058</v>
      </c>
    </row>
    <row r="133" spans="2:21" x14ac:dyDescent="0.2">
      <c r="C133" t="s">
        <v>211</v>
      </c>
      <c r="E133">
        <v>2011</v>
      </c>
      <c r="F133">
        <v>2012</v>
      </c>
      <c r="G133">
        <v>2013</v>
      </c>
      <c r="L133">
        <v>2014</v>
      </c>
      <c r="Q133">
        <v>2015</v>
      </c>
    </row>
    <row r="134" spans="2:21" x14ac:dyDescent="0.2">
      <c r="C134" s="46" t="s">
        <v>212</v>
      </c>
      <c r="D134">
        <v>5241</v>
      </c>
      <c r="E134" s="46">
        <v>5412</v>
      </c>
      <c r="F134" s="46">
        <v>5585</v>
      </c>
      <c r="G134" s="46">
        <v>5844</v>
      </c>
      <c r="H134" s="46"/>
      <c r="I134" s="46"/>
      <c r="J134" s="46"/>
      <c r="K134" s="46"/>
      <c r="L134" s="46">
        <v>6055</v>
      </c>
      <c r="M134" s="46"/>
      <c r="N134" s="46"/>
      <c r="O134" s="46"/>
      <c r="P134" s="46"/>
      <c r="Q134" s="46">
        <v>6257</v>
      </c>
      <c r="R134" s="46"/>
    </row>
    <row r="135" spans="2:21" x14ac:dyDescent="0.2">
      <c r="C135" s="46" t="s">
        <v>213</v>
      </c>
      <c r="D135">
        <v>956</v>
      </c>
      <c r="E135" s="46">
        <v>1068</v>
      </c>
      <c r="F135" s="46">
        <v>956</v>
      </c>
      <c r="G135" s="46">
        <v>971</v>
      </c>
      <c r="H135" s="46"/>
      <c r="I135" s="46"/>
      <c r="J135" s="46"/>
      <c r="K135" s="46"/>
      <c r="L135" s="46">
        <v>970</v>
      </c>
      <c r="M135" s="46"/>
      <c r="N135" s="46"/>
      <c r="O135" s="46"/>
      <c r="P135" s="46"/>
      <c r="Q135" s="46">
        <v>837</v>
      </c>
      <c r="R135" s="46"/>
    </row>
    <row r="136" spans="2:21" x14ac:dyDescent="0.2">
      <c r="C136" s="46" t="s">
        <v>214</v>
      </c>
      <c r="D136">
        <v>1015</v>
      </c>
      <c r="E136" s="46">
        <v>1127</v>
      </c>
      <c r="F136" s="46">
        <v>1247</v>
      </c>
      <c r="G136" s="46">
        <v>1024</v>
      </c>
      <c r="H136" s="46"/>
      <c r="I136" s="46"/>
      <c r="J136" s="46"/>
      <c r="K136" s="46"/>
      <c r="L136" s="46">
        <v>908</v>
      </c>
      <c r="M136" s="46"/>
      <c r="N136" s="46"/>
      <c r="O136" s="46"/>
      <c r="P136" s="46"/>
      <c r="Q136" s="46">
        <v>808</v>
      </c>
      <c r="R136" s="46"/>
    </row>
    <row r="137" spans="2:21" x14ac:dyDescent="0.2">
      <c r="C137" s="46" t="s">
        <v>215</v>
      </c>
      <c r="D137">
        <v>599</v>
      </c>
      <c r="E137" s="46">
        <v>626</v>
      </c>
      <c r="F137" s="46">
        <v>641</v>
      </c>
      <c r="G137" s="46">
        <v>657</v>
      </c>
      <c r="H137" s="46"/>
      <c r="I137" s="46"/>
      <c r="J137" s="46"/>
      <c r="K137" s="46"/>
      <c r="L137" s="46">
        <v>730</v>
      </c>
      <c r="M137" s="46"/>
      <c r="N137" s="46"/>
      <c r="O137" s="46"/>
      <c r="P137" s="46"/>
      <c r="Q137" s="46">
        <v>718</v>
      </c>
      <c r="R137" s="46"/>
    </row>
    <row r="138" spans="2:21" x14ac:dyDescent="0.2">
      <c r="C138" s="46" t="s">
        <v>220</v>
      </c>
      <c r="D138">
        <v>2</v>
      </c>
      <c r="E138" s="46">
        <v>35</v>
      </c>
      <c r="F138" s="46">
        <v>87</v>
      </c>
      <c r="G138" s="46">
        <v>127</v>
      </c>
      <c r="H138" s="46"/>
      <c r="I138" s="46"/>
      <c r="J138" s="46"/>
      <c r="K138" s="46"/>
      <c r="L138" s="46">
        <v>138</v>
      </c>
      <c r="M138" s="46"/>
      <c r="N138" s="46"/>
      <c r="O138" s="46"/>
      <c r="P138" s="46"/>
      <c r="Q138" s="46">
        <v>123</v>
      </c>
      <c r="R138" s="46"/>
    </row>
    <row r="139" spans="2:21" x14ac:dyDescent="0.2">
      <c r="Q139">
        <f>SUM(Q135:Q138)</f>
        <v>2486</v>
      </c>
      <c r="S139">
        <f>Q139*1.03</f>
        <v>2560.58</v>
      </c>
      <c r="T139">
        <f>S139*1.03</f>
        <v>2637.3973999999998</v>
      </c>
      <c r="U139">
        <f>T139*1.03</f>
        <v>2716.5193220000001</v>
      </c>
    </row>
    <row r="140" spans="2:21" x14ac:dyDescent="0.2">
      <c r="C140" t="s">
        <v>216</v>
      </c>
      <c r="S140">
        <f>S139+S157</f>
        <v>8996.9500000000007</v>
      </c>
      <c r="T140">
        <f>T139+T157</f>
        <v>9249.7728999999999</v>
      </c>
      <c r="U140">
        <f>U139+U157</f>
        <v>9404.6240190000008</v>
      </c>
    </row>
    <row r="141" spans="2:21" x14ac:dyDescent="0.2">
      <c r="C141" s="46" t="s">
        <v>217</v>
      </c>
      <c r="D141" s="47"/>
      <c r="E141" s="47">
        <v>3.3000000000000002E-2</v>
      </c>
      <c r="F141" s="47">
        <v>3.2000000000000001E-2</v>
      </c>
      <c r="G141" s="47">
        <v>4.5999999999999999E-2</v>
      </c>
      <c r="H141" s="47"/>
      <c r="I141" s="47"/>
      <c r="J141" s="47"/>
      <c r="K141" s="47"/>
      <c r="L141" s="47">
        <v>3.5999999999999997E-2</v>
      </c>
      <c r="M141" s="47"/>
      <c r="N141" s="47"/>
      <c r="O141" s="47"/>
      <c r="P141" s="47"/>
      <c r="Q141" s="47">
        <v>3.3000000000000002E-2</v>
      </c>
      <c r="R141" s="47"/>
      <c r="S141" s="30"/>
      <c r="T141" s="29"/>
    </row>
    <row r="142" spans="2:21" x14ac:dyDescent="0.2">
      <c r="C142" s="46" t="s">
        <v>218</v>
      </c>
      <c r="D142" s="47"/>
      <c r="E142" s="47">
        <v>7.0999999999999994E-2</v>
      </c>
      <c r="F142" s="47">
        <v>-3.5000000000000003E-2</v>
      </c>
      <c r="G142" s="47">
        <v>-1.7000000000000001E-2</v>
      </c>
      <c r="H142" s="47"/>
      <c r="I142" s="47"/>
      <c r="J142" s="47"/>
      <c r="K142" s="47"/>
      <c r="L142" s="47">
        <v>4.0000000000000001E-3</v>
      </c>
      <c r="M142" s="47"/>
      <c r="N142" s="47"/>
      <c r="O142" s="47"/>
      <c r="P142" s="47"/>
      <c r="Q142" s="47"/>
      <c r="R142" s="47"/>
      <c r="S142" s="30"/>
      <c r="T142" s="29"/>
    </row>
    <row r="143" spans="2:21" x14ac:dyDescent="0.2">
      <c r="C143" s="46" t="s">
        <v>214</v>
      </c>
      <c r="D143" s="47"/>
      <c r="E143" s="47">
        <v>0.01</v>
      </c>
      <c r="F143" s="47">
        <v>0.112</v>
      </c>
      <c r="G143" s="47">
        <v>3.0000000000000001E-3</v>
      </c>
      <c r="H143" s="47"/>
      <c r="I143" s="47"/>
      <c r="J143" s="47"/>
      <c r="K143" s="47"/>
      <c r="L143" s="47">
        <v>-3.7999999999999999E-2</v>
      </c>
      <c r="M143" s="47"/>
      <c r="N143" s="47"/>
      <c r="O143" s="47"/>
      <c r="P143" s="47"/>
      <c r="Q143" s="47"/>
      <c r="R143" s="47"/>
      <c r="S143" s="30"/>
      <c r="T143" s="29"/>
    </row>
    <row r="144" spans="2:21" x14ac:dyDescent="0.2">
      <c r="C144" s="46" t="s">
        <v>215</v>
      </c>
      <c r="D144" s="47"/>
      <c r="E144" s="47">
        <v>0.01</v>
      </c>
      <c r="F144" s="47">
        <v>3.3000000000000002E-2</v>
      </c>
      <c r="G144" s="47">
        <v>3.6999999999999998E-2</v>
      </c>
      <c r="H144" s="47"/>
      <c r="I144" s="47"/>
      <c r="J144" s="47"/>
      <c r="K144" s="47"/>
      <c r="L144" s="47">
        <v>0.06</v>
      </c>
      <c r="M144" s="47"/>
      <c r="N144" s="47"/>
      <c r="O144" s="47"/>
      <c r="P144" s="47"/>
      <c r="Q144" s="47"/>
      <c r="R144" s="47"/>
      <c r="S144" s="30"/>
      <c r="T144" s="29"/>
    </row>
    <row r="145" spans="3:21" x14ac:dyDescent="0.2">
      <c r="C145" s="46" t="s">
        <v>220</v>
      </c>
      <c r="D145" s="47"/>
      <c r="E145" s="47"/>
      <c r="F145" s="47"/>
      <c r="G145" s="47">
        <v>0.41499999999999998</v>
      </c>
      <c r="H145" s="47"/>
      <c r="I145" s="47"/>
      <c r="J145" s="47"/>
      <c r="K145" s="47"/>
      <c r="L145" s="47">
        <v>0.09</v>
      </c>
      <c r="M145" s="47"/>
      <c r="N145" s="47"/>
      <c r="O145" s="47"/>
      <c r="P145" s="47"/>
      <c r="Q145" s="47"/>
      <c r="R145" s="47"/>
      <c r="S145" s="30"/>
      <c r="T145" s="29"/>
    </row>
    <row r="146" spans="3:21" x14ac:dyDescent="0.2">
      <c r="D146" s="30"/>
      <c r="E146" s="30"/>
      <c r="F146" s="30"/>
      <c r="G146" s="30"/>
      <c r="H146" s="40"/>
      <c r="I146" s="40"/>
      <c r="J146" s="40"/>
      <c r="K146" s="40"/>
      <c r="L146" s="30"/>
      <c r="M146" s="40"/>
      <c r="N146" s="40"/>
      <c r="O146" s="40"/>
      <c r="P146" s="40"/>
      <c r="Q146" s="30"/>
      <c r="R146" s="30"/>
      <c r="S146" s="30"/>
      <c r="T146" s="29"/>
    </row>
    <row r="147" spans="3:21" x14ac:dyDescent="0.2">
      <c r="D147" s="30"/>
      <c r="E147" s="30"/>
      <c r="F147" s="30"/>
      <c r="G147" s="30"/>
      <c r="H147" s="40"/>
      <c r="I147" s="40"/>
      <c r="J147" s="40"/>
      <c r="K147" s="40"/>
      <c r="L147" s="30"/>
      <c r="M147" s="40"/>
      <c r="N147" s="40"/>
      <c r="O147" s="40"/>
      <c r="P147" s="40"/>
      <c r="Q147" s="30"/>
      <c r="R147" s="30"/>
      <c r="S147" s="30"/>
      <c r="T147" s="29"/>
    </row>
    <row r="148" spans="3:21" x14ac:dyDescent="0.2">
      <c r="C148" t="s">
        <v>219</v>
      </c>
      <c r="D148" s="30"/>
      <c r="E148" s="30"/>
      <c r="F148" s="30"/>
      <c r="G148" s="30"/>
      <c r="H148" s="40"/>
      <c r="I148" s="40"/>
      <c r="J148" s="40"/>
      <c r="K148" s="40"/>
      <c r="L148" s="30"/>
      <c r="M148" s="40"/>
      <c r="N148" s="40"/>
      <c r="O148" s="40"/>
      <c r="P148" s="40"/>
      <c r="Q148" s="30"/>
      <c r="R148" s="30"/>
      <c r="S148" s="30"/>
      <c r="T148" s="29"/>
    </row>
    <row r="149" spans="3:21" x14ac:dyDescent="0.2">
      <c r="C149" s="46" t="s">
        <v>217</v>
      </c>
      <c r="D149" s="47"/>
      <c r="E149" s="47">
        <v>3.3000000000000002E-2</v>
      </c>
      <c r="F149" s="47">
        <v>3.2000000000000001E-2</v>
      </c>
      <c r="G149" s="47">
        <v>4.637421665174575E-2</v>
      </c>
      <c r="H149" s="47"/>
      <c r="I149" s="47"/>
      <c r="J149" s="47"/>
      <c r="K149" s="47"/>
      <c r="L149" s="47">
        <v>3.6105407255304589E-2</v>
      </c>
      <c r="M149" s="47"/>
      <c r="N149" s="47"/>
      <c r="O149" s="47"/>
      <c r="P149" s="47"/>
      <c r="Q149" s="47">
        <v>3.3360858794384808E-2</v>
      </c>
      <c r="R149" s="47"/>
      <c r="S149" s="30"/>
      <c r="T149" s="29"/>
      <c r="U149" s="29"/>
    </row>
    <row r="150" spans="3:21" x14ac:dyDescent="0.2">
      <c r="C150" s="46" t="s">
        <v>218</v>
      </c>
      <c r="D150" s="47"/>
      <c r="E150" s="47">
        <v>0.11700000000000001</v>
      </c>
      <c r="F150" s="47">
        <v>-0.105</v>
      </c>
      <c r="G150" s="47">
        <v>1.5690376569037656E-2</v>
      </c>
      <c r="H150" s="47"/>
      <c r="I150" s="47"/>
      <c r="J150" s="47"/>
      <c r="K150" s="47"/>
      <c r="L150" s="47">
        <v>-1.0298661174047373E-3</v>
      </c>
      <c r="M150" s="47"/>
      <c r="N150" s="47"/>
      <c r="O150" s="47"/>
      <c r="P150" s="47"/>
      <c r="Q150" s="47">
        <v>-0.13711340206185568</v>
      </c>
      <c r="R150" s="47"/>
      <c r="S150" s="30"/>
      <c r="T150" s="29"/>
      <c r="U150" s="29"/>
    </row>
    <row r="151" spans="3:21" x14ac:dyDescent="0.2">
      <c r="C151" s="46" t="s">
        <v>214</v>
      </c>
      <c r="D151" s="47"/>
      <c r="E151" s="47">
        <v>0.11</v>
      </c>
      <c r="F151" s="47">
        <v>0.106</v>
      </c>
      <c r="G151" s="47">
        <v>-0.17882919005613473</v>
      </c>
      <c r="H151" s="47"/>
      <c r="I151" s="47"/>
      <c r="J151" s="47"/>
      <c r="K151" s="47"/>
      <c r="L151" s="47">
        <v>-0.11328125</v>
      </c>
      <c r="M151" s="47"/>
      <c r="N151" s="47"/>
      <c r="O151" s="47"/>
      <c r="P151" s="47"/>
      <c r="Q151" s="47">
        <v>-0.11013215859030837</v>
      </c>
      <c r="R151" s="47"/>
      <c r="S151" s="30"/>
      <c r="T151" s="29"/>
      <c r="U151" s="29"/>
    </row>
    <row r="152" spans="3:21" x14ac:dyDescent="0.2">
      <c r="C152" s="46" t="s">
        <v>215</v>
      </c>
      <c r="D152" s="47"/>
      <c r="E152" s="47">
        <v>4.4999999999999998E-2</v>
      </c>
      <c r="F152" s="47">
        <v>2.4E-2</v>
      </c>
      <c r="G152" s="47">
        <v>2.4960998439937598E-2</v>
      </c>
      <c r="H152" s="47"/>
      <c r="I152" s="47"/>
      <c r="J152" s="47"/>
      <c r="K152" s="47"/>
      <c r="L152" s="47">
        <v>0.1111111111111111</v>
      </c>
      <c r="M152" s="47"/>
      <c r="N152" s="47"/>
      <c r="O152" s="47"/>
      <c r="P152" s="47"/>
      <c r="Q152" s="47">
        <v>-1.643835616438356E-2</v>
      </c>
      <c r="R152" s="47"/>
      <c r="S152" s="30"/>
      <c r="T152" s="29"/>
      <c r="U152" s="29"/>
    </row>
    <row r="153" spans="3:21" x14ac:dyDescent="0.2">
      <c r="C153" s="46" t="s">
        <v>220</v>
      </c>
      <c r="D153" s="47"/>
      <c r="E153" s="47"/>
      <c r="F153" s="47"/>
      <c r="G153" s="47">
        <v>0.45977011494252873</v>
      </c>
      <c r="H153" s="47"/>
      <c r="I153" s="47"/>
      <c r="J153" s="47"/>
      <c r="K153" s="47"/>
      <c r="L153" s="47">
        <v>8.6614173228346455E-2</v>
      </c>
      <c r="M153" s="47"/>
      <c r="N153" s="47"/>
      <c r="O153" s="47"/>
      <c r="P153" s="47"/>
      <c r="Q153" s="47">
        <v>-0.10869565217391304</v>
      </c>
      <c r="R153" s="47"/>
      <c r="S153" s="30"/>
      <c r="T153" s="29"/>
      <c r="U153" s="29"/>
    </row>
    <row r="154" spans="3:21" x14ac:dyDescent="0.2">
      <c r="D154" s="102">
        <v>40179</v>
      </c>
      <c r="E154" s="102">
        <f>D154+365</f>
        <v>40544</v>
      </c>
      <c r="F154" s="102">
        <f>E154+365</f>
        <v>40909</v>
      </c>
      <c r="G154" s="102">
        <f>F154+366</f>
        <v>41275</v>
      </c>
      <c r="H154" s="38" t="s">
        <v>33</v>
      </c>
      <c r="I154" s="38" t="s">
        <v>32</v>
      </c>
      <c r="J154" s="38" t="s">
        <v>27</v>
      </c>
      <c r="K154" s="38" t="s">
        <v>7</v>
      </c>
      <c r="L154" s="102">
        <f>G154+365</f>
        <v>41640</v>
      </c>
      <c r="M154" s="102">
        <f>L154+365</f>
        <v>42005</v>
      </c>
      <c r="N154" s="40"/>
      <c r="O154" s="40"/>
      <c r="P154" s="40"/>
      <c r="Q154" s="30"/>
      <c r="R154" s="30"/>
      <c r="S154" s="30"/>
      <c r="T154" s="29"/>
      <c r="U154" s="29"/>
    </row>
    <row r="155" spans="3:21" x14ac:dyDescent="0.2">
      <c r="C155" t="s">
        <v>221</v>
      </c>
      <c r="D155">
        <v>1728</v>
      </c>
      <c r="E155" s="31">
        <v>1993</v>
      </c>
      <c r="F155" s="31">
        <v>2239</v>
      </c>
      <c r="G155" s="31">
        <v>2501</v>
      </c>
      <c r="H155" s="41"/>
      <c r="I155" s="41"/>
      <c r="J155" s="41"/>
      <c r="K155" s="41"/>
      <c r="L155" s="31">
        <v>2740</v>
      </c>
      <c r="M155" s="31">
        <v>3059</v>
      </c>
      <c r="N155" s="41"/>
      <c r="O155" s="41"/>
      <c r="P155" s="41"/>
      <c r="Q155" s="31">
        <v>3059</v>
      </c>
      <c r="R155" s="31"/>
      <c r="S155" s="31">
        <v>3334.3100000000004</v>
      </c>
      <c r="T155" s="31">
        <v>3634.3979000000008</v>
      </c>
      <c r="U155" s="31">
        <v>3888.805753000001</v>
      </c>
    </row>
    <row r="156" spans="3:21" x14ac:dyDescent="0.2">
      <c r="C156" t="s">
        <v>355</v>
      </c>
      <c r="D156">
        <f>D157-D155</f>
        <v>3513</v>
      </c>
      <c r="E156">
        <f>E157-E155</f>
        <v>3419</v>
      </c>
      <c r="F156" s="31">
        <f>F134-F155</f>
        <v>3346</v>
      </c>
      <c r="G156" s="31">
        <v>3343</v>
      </c>
      <c r="H156" s="41"/>
      <c r="I156" s="41"/>
      <c r="J156" s="41"/>
      <c r="K156" s="41"/>
      <c r="L156" s="31">
        <v>3315</v>
      </c>
      <c r="M156" s="31">
        <v>3198</v>
      </c>
      <c r="N156" s="41"/>
      <c r="O156" s="41"/>
      <c r="P156" s="41"/>
      <c r="Q156" s="31">
        <v>3198</v>
      </c>
      <c r="R156" s="31"/>
      <c r="S156" s="31">
        <v>3102.06</v>
      </c>
      <c r="T156" s="31">
        <v>2977.9775999999997</v>
      </c>
      <c r="U156" s="31">
        <v>2799.2989439999997</v>
      </c>
    </row>
    <row r="157" spans="3:21" x14ac:dyDescent="0.2">
      <c r="C157" t="s">
        <v>356</v>
      </c>
      <c r="D157">
        <v>5241</v>
      </c>
      <c r="E157">
        <v>5412</v>
      </c>
      <c r="F157">
        <f>F134</f>
        <v>5585</v>
      </c>
      <c r="G157">
        <v>5844</v>
      </c>
      <c r="L157">
        <v>6055</v>
      </c>
      <c r="M157">
        <v>6257</v>
      </c>
      <c r="Q157">
        <v>6257</v>
      </c>
      <c r="S157">
        <v>6436.3700000000008</v>
      </c>
      <c r="T157">
        <v>6612.3755000000001</v>
      </c>
      <c r="U157">
        <v>6688.1046970000007</v>
      </c>
    </row>
    <row r="158" spans="3:21" x14ac:dyDescent="0.2">
      <c r="C158" t="s">
        <v>222</v>
      </c>
      <c r="E158" s="30">
        <f t="shared" ref="E158" si="45">E155/D155-1</f>
        <v>0.1533564814814814</v>
      </c>
      <c r="F158" s="30">
        <f>F155/E155-1</f>
        <v>0.12343201204214749</v>
      </c>
      <c r="G158" s="30">
        <v>0.11701652523447968</v>
      </c>
      <c r="L158" s="30">
        <v>9.5561775289884077E-2</v>
      </c>
      <c r="Q158" s="30">
        <v>0.11642335766423351</v>
      </c>
      <c r="R158" s="30"/>
      <c r="S158" s="34">
        <v>0.09</v>
      </c>
      <c r="T158" s="34">
        <v>0.09</v>
      </c>
      <c r="U158" s="34">
        <v>7.0000000000000007E-2</v>
      </c>
    </row>
    <row r="159" spans="3:21" x14ac:dyDescent="0.2">
      <c r="C159" t="s">
        <v>223</v>
      </c>
      <c r="E159" s="30">
        <f t="shared" ref="E159:F159" si="46">E156/D156-1</f>
        <v>-2.6757756902931917E-2</v>
      </c>
      <c r="F159" s="30">
        <f t="shared" si="46"/>
        <v>-2.1351272301842639E-2</v>
      </c>
      <c r="G159" s="30">
        <v>-8.9659294680215185E-4</v>
      </c>
      <c r="L159" s="30">
        <v>-8.3757104397248483E-3</v>
      </c>
      <c r="Q159" s="30">
        <v>-3.5294117647058809E-2</v>
      </c>
      <c r="R159" s="30"/>
      <c r="S159" s="34">
        <v>-0.03</v>
      </c>
      <c r="T159" s="34">
        <v>-0.04</v>
      </c>
      <c r="U159" s="34">
        <v>-0.06</v>
      </c>
    </row>
    <row r="160" spans="3:21" x14ac:dyDescent="0.2">
      <c r="C160" t="s">
        <v>224</v>
      </c>
      <c r="E160" s="30">
        <f t="shared" ref="E160:F160" si="47">E157/D157-1</f>
        <v>3.2627361190612492E-2</v>
      </c>
      <c r="F160" s="30">
        <f t="shared" si="47"/>
        <v>3.1966001478196615E-2</v>
      </c>
      <c r="G160" s="30">
        <v>4.637421665174575E-2</v>
      </c>
      <c r="L160" s="30">
        <v>3.6105407255304645E-2</v>
      </c>
      <c r="Q160" s="30">
        <v>3.3360858794384773E-2</v>
      </c>
      <c r="R160" s="30"/>
      <c r="S160" s="30">
        <v>2.8667092856001331E-2</v>
      </c>
      <c r="T160" s="30">
        <v>2.73454602516634E-2</v>
      </c>
      <c r="U160" s="30">
        <v>1.145264617836661E-2</v>
      </c>
    </row>
    <row r="162" spans="1:21" x14ac:dyDescent="0.2">
      <c r="C162" t="s">
        <v>225</v>
      </c>
      <c r="G162" s="32">
        <v>0.13700000000000001</v>
      </c>
      <c r="L162" s="32">
        <v>0.14399999999999999</v>
      </c>
      <c r="Q162" s="32">
        <v>0.14599999999999999</v>
      </c>
      <c r="R162" s="32"/>
    </row>
    <row r="163" spans="1:21" x14ac:dyDescent="0.2">
      <c r="C163" t="s">
        <v>226</v>
      </c>
      <c r="G163" s="32">
        <v>3.9100000000000003E-2</v>
      </c>
      <c r="L163" s="32">
        <v>3.5799999999999998E-2</v>
      </c>
      <c r="Q163" s="32">
        <v>1.46E-2</v>
      </c>
      <c r="R163" s="32"/>
    </row>
    <row r="166" spans="1:21" x14ac:dyDescent="0.2">
      <c r="C166" s="3" t="s">
        <v>204</v>
      </c>
      <c r="U166">
        <f>SUM(U167:U172)</f>
        <v>6504.6190468605337</v>
      </c>
    </row>
    <row r="167" spans="1:21" x14ac:dyDescent="0.2">
      <c r="A167" t="s">
        <v>228</v>
      </c>
      <c r="C167" t="s">
        <v>205</v>
      </c>
      <c r="D167" s="29"/>
      <c r="E167" s="29">
        <v>0.31</v>
      </c>
      <c r="F167" s="29">
        <v>0.3</v>
      </c>
      <c r="G167" s="29">
        <v>0.31</v>
      </c>
      <c r="H167" s="42">
        <f t="shared" ref="H167:H172" si="48">G$157*G167</f>
        <v>1811.64</v>
      </c>
      <c r="I167" s="43">
        <f>H167/F167-1</f>
        <v>6037.8</v>
      </c>
      <c r="J167" s="43"/>
      <c r="K167" s="43"/>
      <c r="L167" s="29">
        <v>0.32</v>
      </c>
      <c r="M167" s="42">
        <f t="shared" ref="M167:M172" si="49">L$157*L167</f>
        <v>1937.6000000000001</v>
      </c>
      <c r="N167" s="43">
        <f>M167/H167-1</f>
        <v>6.9528162328056364E-2</v>
      </c>
      <c r="O167" s="43"/>
      <c r="P167" s="43"/>
      <c r="Q167" s="29">
        <v>0.33</v>
      </c>
      <c r="R167" s="29"/>
      <c r="S167" s="33">
        <f t="shared" ref="S167:S172" si="50">Q$157*Q167</f>
        <v>2064.81</v>
      </c>
      <c r="T167" s="29">
        <f t="shared" ref="T167:T172" si="51">S167/M167-1</f>
        <v>6.5653385631709194E-2</v>
      </c>
      <c r="U167">
        <f t="shared" ref="U167:U172" si="52">S167*(1+T167)</f>
        <v>2200.3717671862096</v>
      </c>
    </row>
    <row r="168" spans="1:21" x14ac:dyDescent="0.2">
      <c r="A168" t="s">
        <v>229</v>
      </c>
      <c r="C168" t="s">
        <v>206</v>
      </c>
      <c r="D168" s="29"/>
      <c r="E168" s="29">
        <v>0.15</v>
      </c>
      <c r="F168" s="29">
        <v>0.16</v>
      </c>
      <c r="G168" s="29">
        <v>0.17</v>
      </c>
      <c r="H168" s="42">
        <f t="shared" si="48"/>
        <v>993.48</v>
      </c>
      <c r="I168" s="43">
        <f t="shared" ref="I168:I172" si="53">H168/F168-1</f>
        <v>6208.25</v>
      </c>
      <c r="J168" s="43"/>
      <c r="K168" s="43"/>
      <c r="L168" s="29">
        <v>0.17</v>
      </c>
      <c r="M168" s="42">
        <f t="shared" si="49"/>
        <v>1029.3500000000001</v>
      </c>
      <c r="N168" s="43">
        <f t="shared" ref="N168:N172" si="54">M168/H168-1</f>
        <v>3.6105407255304645E-2</v>
      </c>
      <c r="O168" s="43"/>
      <c r="P168" s="43"/>
      <c r="Q168" s="29">
        <v>0.17</v>
      </c>
      <c r="R168" s="29"/>
      <c r="S168" s="33">
        <f t="shared" si="50"/>
        <v>1063.69</v>
      </c>
      <c r="T168" s="29">
        <f t="shared" si="51"/>
        <v>3.3360858794384773E-2</v>
      </c>
      <c r="U168">
        <f t="shared" si="52"/>
        <v>1099.1756118909991</v>
      </c>
    </row>
    <row r="169" spans="1:21" x14ac:dyDescent="0.2">
      <c r="A169" t="s">
        <v>230</v>
      </c>
      <c r="C169" t="s">
        <v>207</v>
      </c>
      <c r="D169" s="29"/>
      <c r="E169" s="29">
        <v>0.16</v>
      </c>
      <c r="F169" s="29">
        <v>0.16</v>
      </c>
      <c r="G169" s="29">
        <v>0.16</v>
      </c>
      <c r="H169" s="42">
        <f t="shared" si="48"/>
        <v>935.04</v>
      </c>
      <c r="I169" s="43">
        <f t="shared" si="53"/>
        <v>5843</v>
      </c>
      <c r="J169" s="43"/>
      <c r="K169" s="43"/>
      <c r="L169" s="29">
        <v>0.16</v>
      </c>
      <c r="M169" s="42">
        <f t="shared" si="49"/>
        <v>968.80000000000007</v>
      </c>
      <c r="N169" s="43">
        <f t="shared" si="54"/>
        <v>3.6105407255304645E-2</v>
      </c>
      <c r="O169" s="43"/>
      <c r="P169" s="43"/>
      <c r="Q169" s="29">
        <v>0.17</v>
      </c>
      <c r="R169" s="29"/>
      <c r="S169" s="33">
        <f t="shared" si="50"/>
        <v>1063.69</v>
      </c>
      <c r="T169" s="29">
        <f t="shared" si="51"/>
        <v>9.7945912469033836E-2</v>
      </c>
      <c r="U169">
        <f t="shared" si="52"/>
        <v>1167.8740876341867</v>
      </c>
    </row>
    <row r="170" spans="1:21" x14ac:dyDescent="0.2">
      <c r="A170" t="s">
        <v>231</v>
      </c>
      <c r="C170" t="s">
        <v>208</v>
      </c>
      <c r="D170" s="29"/>
      <c r="E170" s="29">
        <v>0.14000000000000001</v>
      </c>
      <c r="F170" s="29">
        <v>0.13</v>
      </c>
      <c r="G170" s="29">
        <v>0.12</v>
      </c>
      <c r="H170" s="42">
        <f t="shared" si="48"/>
        <v>701.28</v>
      </c>
      <c r="I170" s="43">
        <f t="shared" si="53"/>
        <v>5393.4615384615381</v>
      </c>
      <c r="J170" s="43"/>
      <c r="K170" s="43"/>
      <c r="L170" s="29">
        <v>0.12</v>
      </c>
      <c r="M170" s="42">
        <f t="shared" si="49"/>
        <v>726.6</v>
      </c>
      <c r="N170" s="43">
        <f t="shared" si="54"/>
        <v>3.6105407255304645E-2</v>
      </c>
      <c r="O170" s="43"/>
      <c r="P170" s="43"/>
      <c r="Q170" s="29">
        <v>0.1</v>
      </c>
      <c r="R170" s="29"/>
      <c r="S170" s="33">
        <f t="shared" si="50"/>
        <v>625.70000000000005</v>
      </c>
      <c r="T170" s="29">
        <f t="shared" si="51"/>
        <v>-0.13886595100467924</v>
      </c>
      <c r="U170">
        <f t="shared" si="52"/>
        <v>538.81157445637223</v>
      </c>
    </row>
    <row r="171" spans="1:21" x14ac:dyDescent="0.2">
      <c r="A171" t="s">
        <v>232</v>
      </c>
      <c r="C171" t="s">
        <v>209</v>
      </c>
      <c r="D171" s="29"/>
      <c r="E171" s="29">
        <v>0.11</v>
      </c>
      <c r="F171" s="29">
        <v>0.12</v>
      </c>
      <c r="G171" s="29">
        <v>0.12</v>
      </c>
      <c r="H171" s="42">
        <f t="shared" si="48"/>
        <v>701.28</v>
      </c>
      <c r="I171" s="43">
        <f t="shared" si="53"/>
        <v>5843</v>
      </c>
      <c r="J171" s="43"/>
      <c r="K171" s="43"/>
      <c r="L171" s="29">
        <v>0.12</v>
      </c>
      <c r="M171" s="42">
        <f t="shared" si="49"/>
        <v>726.6</v>
      </c>
      <c r="N171" s="43">
        <f t="shared" si="54"/>
        <v>3.6105407255304645E-2</v>
      </c>
      <c r="O171" s="43"/>
      <c r="P171" s="43"/>
      <c r="Q171" s="29">
        <v>0.13</v>
      </c>
      <c r="R171" s="29"/>
      <c r="S171" s="33">
        <f t="shared" si="50"/>
        <v>813.41000000000008</v>
      </c>
      <c r="T171" s="29">
        <f t="shared" si="51"/>
        <v>0.119474263693917</v>
      </c>
      <c r="U171">
        <f t="shared" si="52"/>
        <v>910.59156083126913</v>
      </c>
    </row>
    <row r="172" spans="1:21" x14ac:dyDescent="0.2">
      <c r="C172" t="s">
        <v>210</v>
      </c>
      <c r="D172" s="29"/>
      <c r="E172" s="29">
        <v>0.13</v>
      </c>
      <c r="F172" s="29">
        <v>0.13</v>
      </c>
      <c r="G172" s="29">
        <v>0.12</v>
      </c>
      <c r="H172" s="42">
        <f t="shared" si="48"/>
        <v>701.28</v>
      </c>
      <c r="I172" s="43">
        <f t="shared" si="53"/>
        <v>5393.4615384615381</v>
      </c>
      <c r="J172" s="43"/>
      <c r="K172" s="43"/>
      <c r="L172" s="29">
        <v>0.11</v>
      </c>
      <c r="M172" s="42">
        <f t="shared" si="49"/>
        <v>666.05</v>
      </c>
      <c r="N172" s="43">
        <f t="shared" si="54"/>
        <v>-5.0236710015970854E-2</v>
      </c>
      <c r="O172" s="43"/>
      <c r="P172" s="43"/>
      <c r="Q172" s="29">
        <v>0.1</v>
      </c>
      <c r="R172" s="29"/>
      <c r="S172" s="33">
        <f t="shared" si="50"/>
        <v>625.70000000000005</v>
      </c>
      <c r="T172" s="29">
        <f t="shared" si="51"/>
        <v>-6.0581037459650044E-2</v>
      </c>
      <c r="U172">
        <f t="shared" si="52"/>
        <v>587.79444486149703</v>
      </c>
    </row>
    <row r="174" spans="1:21" x14ac:dyDescent="0.2">
      <c r="C174" t="s">
        <v>287</v>
      </c>
      <c r="F174" s="32">
        <v>0.36399999999999999</v>
      </c>
      <c r="G174" s="32">
        <v>0.36599999999999999</v>
      </c>
      <c r="L174" s="34">
        <v>0.37</v>
      </c>
      <c r="Q174" s="32">
        <v>0.36799999999999999</v>
      </c>
      <c r="R174" s="32"/>
    </row>
    <row r="175" spans="1:21" x14ac:dyDescent="0.2">
      <c r="C175" t="s">
        <v>270</v>
      </c>
      <c r="F175" s="32">
        <v>2.1999999999999999E-2</v>
      </c>
      <c r="G175" s="32">
        <v>2.7E-2</v>
      </c>
      <c r="L175" t="s">
        <v>288</v>
      </c>
      <c r="Q175" s="32">
        <v>1.4E-2</v>
      </c>
      <c r="R175" s="32"/>
    </row>
    <row r="176" spans="1:21" x14ac:dyDescent="0.2">
      <c r="C176" t="s">
        <v>271</v>
      </c>
      <c r="E176" s="34">
        <v>-0.01</v>
      </c>
      <c r="F176" s="32">
        <v>1.7000000000000001E-2</v>
      </c>
      <c r="G176" s="32">
        <v>1.6E-2</v>
      </c>
      <c r="L176" s="32">
        <v>2.3E-2</v>
      </c>
      <c r="Q176" s="32">
        <v>3.4000000000000002E-2</v>
      </c>
      <c r="R176" s="32"/>
    </row>
    <row r="177" spans="3:18" x14ac:dyDescent="0.2">
      <c r="C177" t="s">
        <v>272</v>
      </c>
      <c r="D177" s="32">
        <v>0.189</v>
      </c>
      <c r="E177" s="32">
        <v>0.19400000000000001</v>
      </c>
      <c r="F177" s="51">
        <v>0.19400000000000001</v>
      </c>
      <c r="G177" s="32">
        <v>0.19800000000000001</v>
      </c>
      <c r="L177" s="32">
        <v>0.19400000000000001</v>
      </c>
      <c r="Q177" t="s">
        <v>288</v>
      </c>
    </row>
    <row r="178" spans="3:18" x14ac:dyDescent="0.2">
      <c r="C178" t="s">
        <v>286</v>
      </c>
      <c r="E178">
        <v>1900</v>
      </c>
      <c r="F178">
        <v>1965</v>
      </c>
      <c r="G178">
        <v>2036</v>
      </c>
      <c r="L178">
        <v>2023</v>
      </c>
      <c r="Q178" s="54">
        <v>1971</v>
      </c>
      <c r="R178" s="54"/>
    </row>
    <row r="180" spans="3:18" x14ac:dyDescent="0.2">
      <c r="C180" t="s">
        <v>275</v>
      </c>
      <c r="F180">
        <v>212</v>
      </c>
      <c r="G180">
        <v>296</v>
      </c>
      <c r="L180">
        <v>317</v>
      </c>
      <c r="Q180">
        <v>358</v>
      </c>
    </row>
    <row r="181" spans="3:18" x14ac:dyDescent="0.2">
      <c r="C181" t="s">
        <v>281</v>
      </c>
      <c r="F181">
        <f>F180-F182</f>
        <v>97</v>
      </c>
      <c r="G181">
        <v>106</v>
      </c>
      <c r="L181">
        <v>108</v>
      </c>
      <c r="Q181">
        <v>107</v>
      </c>
    </row>
    <row r="182" spans="3:18" x14ac:dyDescent="0.2">
      <c r="C182" t="s">
        <v>282</v>
      </c>
      <c r="F182">
        <v>115</v>
      </c>
      <c r="G182">
        <v>120</v>
      </c>
      <c r="L182">
        <v>120</v>
      </c>
      <c r="Q182">
        <v>137</v>
      </c>
    </row>
    <row r="183" spans="3:18" x14ac:dyDescent="0.2">
      <c r="C183" t="s">
        <v>283</v>
      </c>
      <c r="F183">
        <v>48</v>
      </c>
      <c r="G183">
        <v>70</v>
      </c>
      <c r="L183">
        <v>89</v>
      </c>
      <c r="Q183">
        <v>114</v>
      </c>
    </row>
    <row r="184" spans="3:18" x14ac:dyDescent="0.2">
      <c r="C184" t="s">
        <v>273</v>
      </c>
      <c r="F184" s="34">
        <v>0.91</v>
      </c>
      <c r="G184" s="34">
        <v>0.92</v>
      </c>
      <c r="L184" s="34">
        <v>0.92</v>
      </c>
      <c r="Q184" s="34">
        <v>0.92</v>
      </c>
      <c r="R184" s="34"/>
    </row>
    <row r="185" spans="3:18" x14ac:dyDescent="0.2">
      <c r="C185" t="s">
        <v>274</v>
      </c>
      <c r="F185">
        <v>3.1</v>
      </c>
      <c r="G185">
        <v>3.1</v>
      </c>
      <c r="L185">
        <v>3.2</v>
      </c>
      <c r="Q185">
        <v>3.3</v>
      </c>
    </row>
    <row r="186" spans="3:18" x14ac:dyDescent="0.2">
      <c r="C186" t="s">
        <v>284</v>
      </c>
      <c r="F186" s="34">
        <v>0.77</v>
      </c>
      <c r="G186" s="34">
        <v>0.69</v>
      </c>
      <c r="L186" s="34">
        <v>0.7</v>
      </c>
      <c r="Q186" s="32">
        <v>0.72499999999999998</v>
      </c>
      <c r="R186" s="32"/>
    </row>
    <row r="187" spans="3:18" x14ac:dyDescent="0.2">
      <c r="C187" t="s">
        <v>276</v>
      </c>
      <c r="F187">
        <v>1000</v>
      </c>
      <c r="G187">
        <v>900</v>
      </c>
      <c r="L187">
        <v>819</v>
      </c>
      <c r="Q187">
        <v>773</v>
      </c>
    </row>
    <row r="188" spans="3:18" x14ac:dyDescent="0.2">
      <c r="C188" t="s">
        <v>277</v>
      </c>
      <c r="F188">
        <v>166</v>
      </c>
      <c r="G188">
        <v>169</v>
      </c>
      <c r="L188">
        <v>173</v>
      </c>
      <c r="Q188">
        <v>179</v>
      </c>
    </row>
    <row r="189" spans="3:18" x14ac:dyDescent="0.2">
      <c r="C189" t="s">
        <v>278</v>
      </c>
      <c r="F189" s="34">
        <v>0.92</v>
      </c>
      <c r="G189" s="34">
        <v>0.94</v>
      </c>
      <c r="L189" s="34">
        <v>0.94</v>
      </c>
      <c r="Q189" s="34">
        <v>0.91</v>
      </c>
      <c r="R189" s="34"/>
    </row>
    <row r="190" spans="3:18" x14ac:dyDescent="0.2">
      <c r="C190" t="s">
        <v>279</v>
      </c>
      <c r="F190">
        <v>171</v>
      </c>
      <c r="G190">
        <v>168</v>
      </c>
      <c r="L190">
        <v>167</v>
      </c>
      <c r="Q190">
        <v>190</v>
      </c>
    </row>
    <row r="191" spans="3:18" x14ac:dyDescent="0.2">
      <c r="C191" t="s">
        <v>280</v>
      </c>
      <c r="F191">
        <v>11.5</v>
      </c>
      <c r="G191">
        <v>11.8</v>
      </c>
      <c r="L191">
        <v>12</v>
      </c>
      <c r="Q191">
        <v>13</v>
      </c>
    </row>
    <row r="192" spans="3:18" x14ac:dyDescent="0.2">
      <c r="C192" t="s">
        <v>227</v>
      </c>
      <c r="F192">
        <v>17000</v>
      </c>
      <c r="G192">
        <v>17500</v>
      </c>
      <c r="L192">
        <v>17300</v>
      </c>
      <c r="Q192">
        <v>17600</v>
      </c>
    </row>
    <row r="195" spans="2:17" x14ac:dyDescent="0.2">
      <c r="C195" t="s">
        <v>233</v>
      </c>
    </row>
    <row r="196" spans="2:17" x14ac:dyDescent="0.2">
      <c r="B196" t="s">
        <v>242</v>
      </c>
      <c r="C196" t="s">
        <v>234</v>
      </c>
      <c r="E196">
        <v>104</v>
      </c>
      <c r="F196">
        <v>96</v>
      </c>
      <c r="G196">
        <v>87</v>
      </c>
      <c r="L196">
        <v>84</v>
      </c>
      <c r="Q196">
        <v>82</v>
      </c>
    </row>
    <row r="197" spans="2:17" x14ac:dyDescent="0.2">
      <c r="B197" t="s">
        <v>243</v>
      </c>
      <c r="C197" t="s">
        <v>235</v>
      </c>
      <c r="E197">
        <v>834</v>
      </c>
      <c r="F197">
        <v>878</v>
      </c>
      <c r="G197">
        <v>954</v>
      </c>
      <c r="L197">
        <v>948</v>
      </c>
      <c r="Q197">
        <v>945</v>
      </c>
    </row>
    <row r="198" spans="2:17" x14ac:dyDescent="0.2">
      <c r="B198" t="s">
        <v>244</v>
      </c>
      <c r="C198" t="s">
        <v>236</v>
      </c>
      <c r="E198">
        <v>408</v>
      </c>
      <c r="F198">
        <v>411</v>
      </c>
      <c r="G198">
        <v>429</v>
      </c>
      <c r="L198">
        <v>417</v>
      </c>
      <c r="Q198">
        <v>413</v>
      </c>
    </row>
    <row r="199" spans="2:17" x14ac:dyDescent="0.2">
      <c r="B199" t="s">
        <v>245</v>
      </c>
      <c r="C199" t="s">
        <v>237</v>
      </c>
      <c r="E199">
        <v>83</v>
      </c>
      <c r="F199">
        <v>91</v>
      </c>
      <c r="G199">
        <v>107</v>
      </c>
      <c r="L199">
        <v>105</v>
      </c>
      <c r="Q199">
        <v>129</v>
      </c>
    </row>
    <row r="200" spans="2:17" x14ac:dyDescent="0.2">
      <c r="B200" t="s">
        <v>246</v>
      </c>
      <c r="C200" t="s">
        <v>238</v>
      </c>
      <c r="E200">
        <v>167</v>
      </c>
      <c r="F200">
        <v>185</v>
      </c>
      <c r="G200">
        <v>204</v>
      </c>
      <c r="L200">
        <v>145</v>
      </c>
      <c r="Q200">
        <v>157</v>
      </c>
    </row>
    <row r="201" spans="2:17" x14ac:dyDescent="0.2">
      <c r="B201" t="s">
        <v>247</v>
      </c>
      <c r="C201" t="s">
        <v>239</v>
      </c>
      <c r="E201">
        <v>150</v>
      </c>
      <c r="F201">
        <v>137</v>
      </c>
      <c r="G201">
        <v>170</v>
      </c>
      <c r="L201">
        <v>168</v>
      </c>
      <c r="Q201">
        <v>148</v>
      </c>
    </row>
    <row r="202" spans="2:17" x14ac:dyDescent="0.2">
      <c r="B202" t="s">
        <v>242</v>
      </c>
      <c r="C202" t="s">
        <v>240</v>
      </c>
      <c r="E202">
        <v>151</v>
      </c>
      <c r="F202">
        <v>199</v>
      </c>
      <c r="G202">
        <v>74</v>
      </c>
      <c r="L202">
        <v>43</v>
      </c>
      <c r="Q202">
        <v>69</v>
      </c>
    </row>
    <row r="203" spans="2:17" x14ac:dyDescent="0.2">
      <c r="E203">
        <f>SUM(E196:E202)</f>
        <v>1897</v>
      </c>
      <c r="F203">
        <f>SUM(F196:F202)</f>
        <v>1997</v>
      </c>
      <c r="G203">
        <f>SUM(G196:G202)</f>
        <v>2025</v>
      </c>
      <c r="L203">
        <f>SUM(L196:L202)</f>
        <v>1910</v>
      </c>
      <c r="Q203">
        <f>SUM(Q196:Q202)</f>
        <v>1943</v>
      </c>
    </row>
    <row r="204" spans="2:17" x14ac:dyDescent="0.2">
      <c r="C204" t="s">
        <v>241</v>
      </c>
      <c r="E204">
        <v>-813</v>
      </c>
      <c r="F204">
        <v>-866</v>
      </c>
      <c r="G204">
        <v>-919</v>
      </c>
      <c r="L204">
        <v>-884</v>
      </c>
      <c r="Q204">
        <v>-941</v>
      </c>
    </row>
    <row r="205" spans="2:17" x14ac:dyDescent="0.2">
      <c r="C205" t="s">
        <v>233</v>
      </c>
      <c r="E205">
        <f>E203+E204</f>
        <v>1084</v>
      </c>
      <c r="F205">
        <f>F203+F204</f>
        <v>1131</v>
      </c>
      <c r="G205">
        <f>G203+G204</f>
        <v>1106</v>
      </c>
      <c r="L205">
        <f>L203+L204</f>
        <v>1026</v>
      </c>
      <c r="Q205">
        <f>Q203+Q204</f>
        <v>1002</v>
      </c>
    </row>
    <row r="208" spans="2:17" x14ac:dyDescent="0.2">
      <c r="C208" t="s">
        <v>248</v>
      </c>
    </row>
    <row r="209" spans="3:18" x14ac:dyDescent="0.2">
      <c r="C209" t="s">
        <v>249</v>
      </c>
      <c r="E209">
        <v>2284</v>
      </c>
      <c r="F209">
        <v>2304</v>
      </c>
      <c r="G209">
        <v>2324</v>
      </c>
      <c r="L209">
        <v>2308</v>
      </c>
      <c r="Q209">
        <v>2259</v>
      </c>
      <c r="R209">
        <v>2271</v>
      </c>
    </row>
    <row r="210" spans="3:18" x14ac:dyDescent="0.2">
      <c r="C210" t="s">
        <v>250</v>
      </c>
      <c r="E210">
        <v>-1379</v>
      </c>
      <c r="F210">
        <v>-1540</v>
      </c>
      <c r="G210">
        <v>-1700</v>
      </c>
      <c r="L210">
        <v>-1847</v>
      </c>
      <c r="Q210">
        <v>-1920</v>
      </c>
      <c r="R210">
        <v>-1977</v>
      </c>
    </row>
    <row r="211" spans="3:18" x14ac:dyDescent="0.2">
      <c r="C211" t="s">
        <v>251</v>
      </c>
      <c r="E211">
        <f>E209+E210</f>
        <v>905</v>
      </c>
      <c r="F211">
        <f>F209+F210</f>
        <v>764</v>
      </c>
      <c r="G211">
        <f>G209+G210</f>
        <v>624</v>
      </c>
      <c r="L211">
        <f>L209+L210</f>
        <v>461</v>
      </c>
      <c r="Q211">
        <f>Q209+Q210</f>
        <v>339</v>
      </c>
      <c r="R211" s="1">
        <f>R209+R210</f>
        <v>294</v>
      </c>
    </row>
    <row r="212" spans="3:18" x14ac:dyDescent="0.2">
      <c r="Q212">
        <f>Q211-L211</f>
        <v>-122</v>
      </c>
    </row>
    <row r="213" spans="3:18" x14ac:dyDescent="0.2">
      <c r="C213" t="s">
        <v>252</v>
      </c>
      <c r="D213">
        <v>169</v>
      </c>
      <c r="E213">
        <v>167</v>
      </c>
      <c r="F213">
        <v>163</v>
      </c>
      <c r="G213">
        <v>177</v>
      </c>
      <c r="L213">
        <v>185</v>
      </c>
      <c r="Q213">
        <v>189</v>
      </c>
    </row>
    <row r="214" spans="3:18" x14ac:dyDescent="0.2">
      <c r="C214" t="s">
        <v>253</v>
      </c>
      <c r="F214">
        <v>4.8</v>
      </c>
      <c r="G214">
        <v>3.7</v>
      </c>
      <c r="L214">
        <v>2.9</v>
      </c>
      <c r="Q214">
        <v>2.2999999999999998</v>
      </c>
    </row>
    <row r="216" spans="3:18" x14ac:dyDescent="0.2">
      <c r="C216" t="s">
        <v>285</v>
      </c>
      <c r="E216">
        <v>299</v>
      </c>
      <c r="F216">
        <v>296</v>
      </c>
      <c r="G216">
        <v>298</v>
      </c>
      <c r="L216">
        <v>299</v>
      </c>
      <c r="Q216">
        <v>293</v>
      </c>
    </row>
    <row r="217" spans="3:18" x14ac:dyDescent="0.2">
      <c r="H217"/>
    </row>
    <row r="218" spans="3:18" ht="16" customHeight="1" x14ac:dyDescent="0.2">
      <c r="C218" s="49" t="s">
        <v>267</v>
      </c>
      <c r="H218" s="48"/>
      <c r="L218" s="49">
        <v>399</v>
      </c>
      <c r="Q218" s="49">
        <v>399</v>
      </c>
      <c r="R218" s="49">
        <f>Q218*0.03125</f>
        <v>12.46875</v>
      </c>
    </row>
    <row r="219" spans="3:18" x14ac:dyDescent="0.2">
      <c r="C219" s="49" t="s">
        <v>254</v>
      </c>
      <c r="E219" s="49"/>
      <c r="G219" s="49"/>
      <c r="H219"/>
      <c r="L219" s="49">
        <v>500</v>
      </c>
      <c r="Q219" s="49" t="s">
        <v>255</v>
      </c>
      <c r="R219" s="49"/>
    </row>
    <row r="220" spans="3:18" x14ac:dyDescent="0.2">
      <c r="C220" s="49" t="s">
        <v>256</v>
      </c>
      <c r="E220" s="49"/>
      <c r="G220" s="49"/>
      <c r="H220"/>
      <c r="L220" s="49">
        <v>500</v>
      </c>
      <c r="Q220" s="49">
        <v>500</v>
      </c>
      <c r="R220" s="49">
        <f>Q220*0.05125</f>
        <v>25.625</v>
      </c>
    </row>
    <row r="221" spans="3:18" x14ac:dyDescent="0.2">
      <c r="C221" s="49" t="s">
        <v>257</v>
      </c>
      <c r="E221" s="49"/>
      <c r="G221" s="49"/>
      <c r="H221"/>
      <c r="L221" s="49">
        <v>750</v>
      </c>
      <c r="Q221" s="49">
        <v>750</v>
      </c>
      <c r="R221" s="49">
        <f>Q221*0.04375</f>
        <v>32.8125</v>
      </c>
    </row>
    <row r="222" spans="3:18" x14ac:dyDescent="0.2">
      <c r="C222" s="49" t="s">
        <v>258</v>
      </c>
      <c r="E222" s="49"/>
      <c r="G222" s="49"/>
      <c r="H222"/>
      <c r="L222" s="49">
        <v>600</v>
      </c>
      <c r="Q222" s="49">
        <v>600</v>
      </c>
      <c r="R222" s="49">
        <f>Q222*0.0485</f>
        <v>29.1</v>
      </c>
    </row>
    <row r="223" spans="3:18" x14ac:dyDescent="0.2">
      <c r="C223" s="49" t="s">
        <v>259</v>
      </c>
      <c r="E223" s="49"/>
      <c r="G223" s="49"/>
      <c r="H223"/>
      <c r="L223" s="49">
        <v>599</v>
      </c>
      <c r="Q223" s="49">
        <v>599</v>
      </c>
      <c r="R223" s="49">
        <f>Q223*0.0445</f>
        <v>26.6555</v>
      </c>
    </row>
    <row r="224" spans="3:18" x14ac:dyDescent="0.2">
      <c r="C224" s="49" t="s">
        <v>260</v>
      </c>
      <c r="E224" s="49"/>
      <c r="G224" s="49"/>
      <c r="H224"/>
      <c r="L224" s="49">
        <v>399</v>
      </c>
      <c r="Q224" s="49">
        <v>399</v>
      </c>
      <c r="R224" s="49">
        <f>Q224*0.0545</f>
        <v>21.7455</v>
      </c>
    </row>
    <row r="225" spans="3:19" x14ac:dyDescent="0.2">
      <c r="C225" s="49" t="s">
        <v>261</v>
      </c>
      <c r="E225" s="49"/>
      <c r="G225" s="49"/>
      <c r="H225"/>
      <c r="L225" s="49">
        <v>300</v>
      </c>
      <c r="Q225" s="49">
        <v>300</v>
      </c>
      <c r="R225" s="49">
        <f>Q225*0.0595</f>
        <v>17.849999999999998</v>
      </c>
      <c r="S225">
        <f>SUM(R218:R225)</f>
        <v>166.25725</v>
      </c>
    </row>
    <row r="226" spans="3:19" x14ac:dyDescent="0.2">
      <c r="C226" s="49" t="s">
        <v>262</v>
      </c>
      <c r="E226" s="49"/>
      <c r="G226" s="49"/>
      <c r="H226"/>
      <c r="L226" s="49">
        <v>508</v>
      </c>
      <c r="Q226" s="50">
        <v>1815</v>
      </c>
      <c r="R226" s="50"/>
    </row>
    <row r="227" spans="3:19" x14ac:dyDescent="0.2">
      <c r="C227" s="49" t="s">
        <v>263</v>
      </c>
      <c r="E227" s="49"/>
      <c r="G227" s="49"/>
      <c r="H227"/>
      <c r="L227" s="49">
        <v>74</v>
      </c>
      <c r="Q227" s="49">
        <v>72</v>
      </c>
      <c r="R227" s="49"/>
    </row>
    <row r="228" spans="3:19" x14ac:dyDescent="0.2">
      <c r="C228" s="48" t="s">
        <v>264</v>
      </c>
      <c r="E228" s="48"/>
      <c r="G228" s="48"/>
      <c r="H228"/>
      <c r="L228" s="48">
        <v>-41</v>
      </c>
      <c r="Q228" s="48">
        <v>-32</v>
      </c>
      <c r="R228" s="48"/>
    </row>
    <row r="229" spans="3:19" x14ac:dyDescent="0.2">
      <c r="C229" s="49" t="s">
        <v>265</v>
      </c>
      <c r="E229" s="49">
        <v>2480</v>
      </c>
      <c r="F229">
        <v>3465</v>
      </c>
      <c r="G229" s="49">
        <v>3800</v>
      </c>
      <c r="H229"/>
      <c r="L229" s="50">
        <v>4588</v>
      </c>
      <c r="Q229" s="50">
        <v>5402</v>
      </c>
      <c r="R229" s="50"/>
    </row>
    <row r="230" spans="3:19" x14ac:dyDescent="0.2">
      <c r="C230" s="49"/>
      <c r="G230" s="49"/>
      <c r="H230"/>
    </row>
    <row r="231" spans="3:19" x14ac:dyDescent="0.2">
      <c r="C231" s="48" t="s">
        <v>266</v>
      </c>
      <c r="E231" s="49">
        <v>-10</v>
      </c>
      <c r="F231">
        <v>-12</v>
      </c>
      <c r="G231" s="48"/>
      <c r="H231"/>
      <c r="L231" s="50">
        <v>-9</v>
      </c>
      <c r="Q231" s="50">
        <v>-9</v>
      </c>
      <c r="R231" s="50"/>
    </row>
    <row r="232" spans="3:19" x14ac:dyDescent="0.2">
      <c r="C232" s="49" t="s">
        <v>98</v>
      </c>
      <c r="E232" s="50"/>
      <c r="G232" s="50"/>
      <c r="H232" s="100"/>
      <c r="L232" s="49">
        <v>4579</v>
      </c>
      <c r="Q232" s="49">
        <v>5393</v>
      </c>
      <c r="R232" s="49"/>
    </row>
    <row r="233" spans="3:19" x14ac:dyDescent="0.2">
      <c r="C233" s="49"/>
      <c r="D233" s="49"/>
      <c r="E233" s="50"/>
      <c r="F233" s="49"/>
      <c r="G233" s="50"/>
      <c r="H233" s="100"/>
    </row>
  </sheetData>
  <mergeCells count="3">
    <mergeCell ref="H232:H233"/>
    <mergeCell ref="S42:V42"/>
    <mergeCell ref="B8:C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6"/>
  <sheetViews>
    <sheetView topLeftCell="P1" workbookViewId="0">
      <selection activeCell="AF75" sqref="AF75"/>
    </sheetView>
  </sheetViews>
  <sheetFormatPr baseColWidth="10" defaultColWidth="8.83203125" defaultRowHeight="15" x14ac:dyDescent="0.2"/>
  <cols>
    <col min="2" max="2" width="69.6640625" customWidth="1"/>
    <col min="7" max="10" width="0" hidden="1" customWidth="1"/>
    <col min="12" max="14" width="8.83203125" hidden="1" customWidth="1"/>
    <col min="15" max="15" width="12.1640625" hidden="1" customWidth="1"/>
    <col min="16" max="16" width="12.6640625" customWidth="1"/>
    <col min="17" max="17" width="11.6640625" bestFit="1" customWidth="1"/>
    <col min="18" max="18" width="15.1640625" customWidth="1"/>
    <col min="24" max="24" width="29" customWidth="1"/>
  </cols>
  <sheetData>
    <row r="1" spans="1:22" x14ac:dyDescent="0.2">
      <c r="D1">
        <v>2010</v>
      </c>
      <c r="E1">
        <v>2011</v>
      </c>
      <c r="F1">
        <v>2012</v>
      </c>
      <c r="G1" t="s">
        <v>291</v>
      </c>
      <c r="H1" t="s">
        <v>290</v>
      </c>
      <c r="I1" t="s">
        <v>289</v>
      </c>
      <c r="J1" t="s">
        <v>150</v>
      </c>
      <c r="K1">
        <v>2013</v>
      </c>
      <c r="L1" t="s">
        <v>33</v>
      </c>
      <c r="M1" t="s">
        <v>32</v>
      </c>
      <c r="N1" t="s">
        <v>27</v>
      </c>
      <c r="O1" t="s">
        <v>7</v>
      </c>
      <c r="P1">
        <v>2014</v>
      </c>
      <c r="Q1" t="s">
        <v>6</v>
      </c>
      <c r="R1" t="s">
        <v>5</v>
      </c>
      <c r="S1" t="s">
        <v>3</v>
      </c>
      <c r="T1" t="s">
        <v>113</v>
      </c>
      <c r="U1">
        <v>2015</v>
      </c>
      <c r="V1" t="s">
        <v>293</v>
      </c>
    </row>
    <row r="2" spans="1:22" hidden="1" x14ac:dyDescent="0.2">
      <c r="A2" s="22" t="s">
        <v>142</v>
      </c>
      <c r="B2" s="21" t="s">
        <v>79</v>
      </c>
    </row>
    <row r="3" spans="1:22" hidden="1" x14ac:dyDescent="0.2">
      <c r="A3" s="22"/>
      <c r="B3" t="s">
        <v>80</v>
      </c>
    </row>
    <row r="4" spans="1:22" hidden="1" x14ac:dyDescent="0.2">
      <c r="A4" s="22"/>
      <c r="B4" t="s">
        <v>81</v>
      </c>
      <c r="J4">
        <v>290.089</v>
      </c>
      <c r="N4">
        <v>291.03899999999999</v>
      </c>
      <c r="O4">
        <v>242.292</v>
      </c>
      <c r="Q4">
        <v>283.31599999999997</v>
      </c>
      <c r="R4">
        <v>282.06599999999997</v>
      </c>
    </row>
    <row r="5" spans="1:22" hidden="1" x14ac:dyDescent="0.2">
      <c r="A5" s="22"/>
      <c r="B5" t="s">
        <v>128</v>
      </c>
      <c r="J5">
        <v>18.013999999999999</v>
      </c>
      <c r="N5">
        <v>53.006</v>
      </c>
      <c r="O5">
        <v>131.52799999999999</v>
      </c>
      <c r="Q5">
        <v>31.524999999999999</v>
      </c>
      <c r="R5">
        <v>31.533000000000001</v>
      </c>
    </row>
    <row r="6" spans="1:22" hidden="1" x14ac:dyDescent="0.2">
      <c r="A6" s="22"/>
      <c r="B6" t="s">
        <v>83</v>
      </c>
      <c r="J6">
        <v>5.1760000000000002</v>
      </c>
      <c r="N6">
        <v>12.693</v>
      </c>
      <c r="O6">
        <v>8.3420000000000005</v>
      </c>
      <c r="Q6">
        <v>10.807</v>
      </c>
      <c r="R6">
        <v>10.678000000000001</v>
      </c>
    </row>
    <row r="7" spans="1:22" hidden="1" x14ac:dyDescent="0.2">
      <c r="A7" s="22"/>
      <c r="B7" t="s">
        <v>84</v>
      </c>
      <c r="J7">
        <v>12.978999999999999</v>
      </c>
      <c r="N7">
        <v>22.731000000000002</v>
      </c>
      <c r="O7">
        <v>17.373000000000001</v>
      </c>
      <c r="Q7">
        <v>21.731000000000002</v>
      </c>
      <c r="R7">
        <v>19.934000000000001</v>
      </c>
    </row>
    <row r="8" spans="1:22" hidden="1" x14ac:dyDescent="0.2">
      <c r="A8" s="22"/>
      <c r="B8" t="s">
        <v>85</v>
      </c>
      <c r="J8">
        <v>4.1920000000000002</v>
      </c>
      <c r="N8">
        <v>6.306</v>
      </c>
      <c r="O8">
        <v>8.1649999999999991</v>
      </c>
      <c r="Q8">
        <v>11.093</v>
      </c>
      <c r="R8">
        <v>9.2430000000000003</v>
      </c>
    </row>
    <row r="9" spans="1:22" hidden="1" x14ac:dyDescent="0.2">
      <c r="A9" s="22"/>
      <c r="B9" t="s">
        <v>129</v>
      </c>
      <c r="J9">
        <v>0</v>
      </c>
      <c r="N9">
        <v>1.6759999999999999</v>
      </c>
      <c r="O9">
        <v>4.4489999999999998</v>
      </c>
      <c r="Q9">
        <v>4.4489999999999998</v>
      </c>
      <c r="R9">
        <v>4.4489999999999998</v>
      </c>
    </row>
    <row r="10" spans="1:22" hidden="1" x14ac:dyDescent="0.2">
      <c r="A10" s="23"/>
      <c r="B10" s="5" t="s">
        <v>86</v>
      </c>
      <c r="C10" s="24"/>
      <c r="D10" s="24"/>
      <c r="E10" s="24"/>
      <c r="F10" s="24"/>
      <c r="G10" s="24"/>
      <c r="H10" s="24"/>
      <c r="I10" s="24"/>
      <c r="J10" s="24">
        <v>330.45</v>
      </c>
      <c r="K10" s="24"/>
      <c r="L10" s="24"/>
      <c r="M10" s="24"/>
      <c r="N10" s="24">
        <v>387.45099999999991</v>
      </c>
      <c r="O10" s="24">
        <v>412.149</v>
      </c>
      <c r="P10" s="24"/>
      <c r="Q10" s="24">
        <v>362.92099999999999</v>
      </c>
      <c r="R10" s="24">
        <v>357.90300000000002</v>
      </c>
      <c r="S10" s="24"/>
      <c r="T10" s="24"/>
    </row>
    <row r="11" spans="1:22" hidden="1" x14ac:dyDescent="0.2">
      <c r="A11" s="22"/>
      <c r="B11" t="s">
        <v>151</v>
      </c>
      <c r="J11">
        <v>24.613</v>
      </c>
      <c r="N11">
        <v>77.459999999999994</v>
      </c>
      <c r="O11">
        <v>78.897999999999996</v>
      </c>
      <c r="Q11">
        <v>84.173000000000002</v>
      </c>
      <c r="R11">
        <v>89.570999999999998</v>
      </c>
    </row>
    <row r="12" spans="1:22" hidden="1" x14ac:dyDescent="0.2">
      <c r="A12" s="22"/>
      <c r="B12" t="s">
        <v>88</v>
      </c>
    </row>
    <row r="13" spans="1:22" hidden="1" x14ac:dyDescent="0.2">
      <c r="A13" s="22"/>
      <c r="B13" t="s">
        <v>89</v>
      </c>
    </row>
    <row r="14" spans="1:22" hidden="1" x14ac:dyDescent="0.2">
      <c r="A14" s="22"/>
      <c r="B14" t="s">
        <v>90</v>
      </c>
    </row>
    <row r="15" spans="1:22" hidden="1" x14ac:dyDescent="0.2">
      <c r="A15" s="22"/>
      <c r="B15" t="s">
        <v>91</v>
      </c>
      <c r="J15">
        <v>1.024</v>
      </c>
      <c r="N15">
        <v>1.032</v>
      </c>
      <c r="O15">
        <v>1.331</v>
      </c>
      <c r="Q15">
        <v>0.93700000000000006</v>
      </c>
      <c r="R15">
        <v>1.002</v>
      </c>
    </row>
    <row r="16" spans="1:22" hidden="1" x14ac:dyDescent="0.2">
      <c r="A16" s="17"/>
      <c r="B16" s="17" t="s">
        <v>92</v>
      </c>
      <c r="C16" s="17"/>
      <c r="D16" s="17"/>
      <c r="E16" s="17"/>
      <c r="F16" s="17"/>
      <c r="G16" s="17"/>
      <c r="H16" s="17"/>
      <c r="I16" s="17"/>
      <c r="J16" s="18">
        <v>356.08699999999999</v>
      </c>
      <c r="K16" s="17"/>
      <c r="L16" s="17"/>
      <c r="M16" s="17"/>
      <c r="N16" s="18">
        <v>465.94299999999987</v>
      </c>
      <c r="O16" s="18">
        <v>492.37800000000004</v>
      </c>
      <c r="P16" s="17"/>
      <c r="Q16" s="18">
        <v>448.03100000000001</v>
      </c>
      <c r="R16" s="18">
        <v>448.47600000000006</v>
      </c>
      <c r="S16" s="17"/>
      <c r="T16" s="17"/>
    </row>
    <row r="17" spans="1:18" hidden="1" x14ac:dyDescent="0.2">
      <c r="A17" s="22"/>
    </row>
    <row r="18" spans="1:18" hidden="1" x14ac:dyDescent="0.2">
      <c r="A18" s="22"/>
      <c r="B18" s="21" t="s">
        <v>94</v>
      </c>
    </row>
    <row r="19" spans="1:18" hidden="1" x14ac:dyDescent="0.2">
      <c r="A19" s="22"/>
      <c r="B19" t="s">
        <v>93</v>
      </c>
    </row>
    <row r="20" spans="1:18" hidden="1" x14ac:dyDescent="0.2">
      <c r="A20" s="22"/>
      <c r="B20" t="s">
        <v>95</v>
      </c>
      <c r="J20">
        <v>55.606999999999999</v>
      </c>
      <c r="N20">
        <v>83.134</v>
      </c>
      <c r="O20">
        <v>109.267</v>
      </c>
      <c r="Q20">
        <v>75.081000000000003</v>
      </c>
      <c r="R20">
        <v>73.38</v>
      </c>
    </row>
    <row r="21" spans="1:18" hidden="1" x14ac:dyDescent="0.2">
      <c r="A21" s="22"/>
      <c r="B21" t="s">
        <v>96</v>
      </c>
      <c r="J21">
        <v>30.773</v>
      </c>
      <c r="N21">
        <v>36.19</v>
      </c>
      <c r="O21">
        <v>39.473999999999997</v>
      </c>
      <c r="Q21">
        <v>35.287999999999997</v>
      </c>
      <c r="R21">
        <v>34.241</v>
      </c>
    </row>
    <row r="22" spans="1:18" hidden="1" x14ac:dyDescent="0.2">
      <c r="A22" s="22"/>
      <c r="B22" t="s">
        <v>130</v>
      </c>
      <c r="J22">
        <v>23.25</v>
      </c>
      <c r="N22">
        <v>68.097999999999999</v>
      </c>
      <c r="O22">
        <v>44.243000000000002</v>
      </c>
      <c r="Q22">
        <v>59.719000000000001</v>
      </c>
      <c r="R22">
        <v>50.603000000000002</v>
      </c>
    </row>
    <row r="23" spans="1:18" hidden="1" x14ac:dyDescent="0.2">
      <c r="A23" s="22"/>
      <c r="B23" t="s">
        <v>97</v>
      </c>
      <c r="J23">
        <v>109.63</v>
      </c>
      <c r="N23">
        <v>187.422</v>
      </c>
      <c r="O23">
        <v>192.98399999999998</v>
      </c>
      <c r="Q23">
        <v>170.08799999999999</v>
      </c>
      <c r="R23">
        <v>158.22399999999999</v>
      </c>
    </row>
    <row r="24" spans="1:18" hidden="1" x14ac:dyDescent="0.2">
      <c r="A24" s="22"/>
      <c r="B24" t="s">
        <v>98</v>
      </c>
    </row>
    <row r="25" spans="1:18" hidden="1" x14ac:dyDescent="0.2">
      <c r="A25" s="22"/>
      <c r="B25" t="s">
        <v>112</v>
      </c>
    </row>
    <row r="26" spans="1:18" hidden="1" x14ac:dyDescent="0.2">
      <c r="A26" s="22"/>
      <c r="B26" t="s">
        <v>39</v>
      </c>
      <c r="J26">
        <v>0</v>
      </c>
      <c r="N26">
        <v>1.264</v>
      </c>
      <c r="O26">
        <v>5.0119999999999996</v>
      </c>
      <c r="Q26">
        <v>5.0170000000000003</v>
      </c>
      <c r="R26">
        <v>5.19</v>
      </c>
    </row>
    <row r="27" spans="1:18" hidden="1" x14ac:dyDescent="0.2">
      <c r="A27" s="22"/>
      <c r="B27" t="s">
        <v>99</v>
      </c>
      <c r="J27">
        <v>4.2539999999999996</v>
      </c>
      <c r="N27">
        <v>16.690000000000001</v>
      </c>
      <c r="O27">
        <v>18.419</v>
      </c>
      <c r="Q27">
        <v>25.004000000000001</v>
      </c>
      <c r="R27">
        <v>26.545000000000002</v>
      </c>
    </row>
    <row r="28" spans="1:18" hidden="1" x14ac:dyDescent="0.2">
      <c r="A28" s="22"/>
      <c r="B28" t="s">
        <v>100</v>
      </c>
      <c r="J28" s="3">
        <v>113.884</v>
      </c>
      <c r="N28" s="3">
        <v>205.376</v>
      </c>
      <c r="O28" s="3">
        <v>216.41499999999999</v>
      </c>
      <c r="Q28" s="3">
        <v>200.10899999999998</v>
      </c>
      <c r="R28" s="3">
        <v>189.959</v>
      </c>
    </row>
    <row r="29" spans="1:18" hidden="1" x14ac:dyDescent="0.2">
      <c r="A29" s="22"/>
      <c r="B29" t="s">
        <v>101</v>
      </c>
    </row>
    <row r="30" spans="1:18" hidden="1" x14ac:dyDescent="0.2">
      <c r="A30" s="22"/>
      <c r="B30" t="s">
        <v>131</v>
      </c>
      <c r="O30">
        <v>0</v>
      </c>
      <c r="Q30">
        <v>0</v>
      </c>
      <c r="R30">
        <v>0</v>
      </c>
    </row>
    <row r="31" spans="1:18" hidden="1" x14ac:dyDescent="0.2">
      <c r="A31" s="22"/>
      <c r="B31" t="s">
        <v>132</v>
      </c>
      <c r="O31">
        <v>0</v>
      </c>
      <c r="R31">
        <v>0</v>
      </c>
    </row>
    <row r="32" spans="1:18" hidden="1" x14ac:dyDescent="0.2">
      <c r="A32" s="22"/>
      <c r="B32" t="s">
        <v>133</v>
      </c>
      <c r="O32">
        <v>0</v>
      </c>
      <c r="R32">
        <v>0</v>
      </c>
    </row>
    <row r="33" spans="1:18" hidden="1" x14ac:dyDescent="0.2">
      <c r="A33" s="22"/>
      <c r="B33" t="s">
        <v>134</v>
      </c>
      <c r="O33">
        <v>0</v>
      </c>
      <c r="Q33">
        <v>-31.315000000000001</v>
      </c>
      <c r="R33">
        <v>-31.315000000000001</v>
      </c>
    </row>
    <row r="34" spans="1:18" hidden="1" x14ac:dyDescent="0.2">
      <c r="A34" s="22"/>
      <c r="B34" t="s">
        <v>135</v>
      </c>
      <c r="J34">
        <v>287.38499999999999</v>
      </c>
      <c r="N34">
        <v>301.71199999999999</v>
      </c>
      <c r="O34">
        <v>306.197</v>
      </c>
      <c r="Q34">
        <v>311.99</v>
      </c>
      <c r="R34">
        <v>319.08300000000003</v>
      </c>
    </row>
    <row r="35" spans="1:18" hidden="1" x14ac:dyDescent="0.2">
      <c r="A35" s="22"/>
      <c r="B35" t="s">
        <v>136</v>
      </c>
      <c r="J35">
        <v>-5.8000000000000003E-2</v>
      </c>
      <c r="N35">
        <v>-3.3000000000000002E-2</v>
      </c>
      <c r="O35">
        <v>-3.0000000000000001E-3</v>
      </c>
      <c r="Q35">
        <v>-3.5999999999999997E-2</v>
      </c>
      <c r="R35">
        <v>-7.4999999999999997E-2</v>
      </c>
    </row>
    <row r="36" spans="1:18" hidden="1" x14ac:dyDescent="0.2">
      <c r="A36" s="22"/>
      <c r="B36" t="s">
        <v>137</v>
      </c>
      <c r="J36">
        <v>-45.136000000000003</v>
      </c>
      <c r="N36">
        <v>-41.125</v>
      </c>
      <c r="O36">
        <v>-30.244</v>
      </c>
      <c r="Q36">
        <v>-32.729999999999997</v>
      </c>
      <c r="R36">
        <v>-29.19</v>
      </c>
    </row>
    <row r="37" spans="1:18" hidden="1" x14ac:dyDescent="0.2">
      <c r="A37" s="22"/>
      <c r="B37" t="s">
        <v>109</v>
      </c>
      <c r="J37" s="3">
        <v>242.191</v>
      </c>
      <c r="N37" s="3">
        <v>260.55399999999997</v>
      </c>
      <c r="O37" s="3">
        <v>275.95000000000005</v>
      </c>
      <c r="Q37" s="3">
        <v>247.90900000000002</v>
      </c>
      <c r="R37" s="3">
        <v>258.50300000000004</v>
      </c>
    </row>
    <row r="38" spans="1:18" hidden="1" x14ac:dyDescent="0.2">
      <c r="A38" s="22"/>
      <c r="B38" t="s">
        <v>138</v>
      </c>
      <c r="J38" s="3">
        <v>356.07499999999999</v>
      </c>
      <c r="N38" s="3">
        <v>465.92999999999995</v>
      </c>
      <c r="O38" s="3">
        <v>492.36500000000001</v>
      </c>
      <c r="Q38" s="3">
        <v>448.01800000000003</v>
      </c>
      <c r="R38" s="3">
        <v>448.46200000000005</v>
      </c>
    </row>
    <row r="39" spans="1:18" hidden="1" x14ac:dyDescent="0.2"/>
    <row r="40" spans="1:18" hidden="1" x14ac:dyDescent="0.2">
      <c r="B40" t="s">
        <v>143</v>
      </c>
      <c r="N40">
        <v>500000000</v>
      </c>
      <c r="O40">
        <v>500000000</v>
      </c>
      <c r="Q40">
        <v>500000000</v>
      </c>
      <c r="R40">
        <v>500000000</v>
      </c>
    </row>
    <row r="41" spans="1:18" hidden="1" x14ac:dyDescent="0.2">
      <c r="B41" t="s">
        <v>144</v>
      </c>
      <c r="J41">
        <v>13225000</v>
      </c>
      <c r="N41">
        <v>58365856</v>
      </c>
      <c r="O41">
        <v>61327351</v>
      </c>
      <c r="Q41">
        <v>69082966</v>
      </c>
      <c r="R41">
        <v>69876504</v>
      </c>
    </row>
    <row r="42" spans="1:18" hidden="1" x14ac:dyDescent="0.2">
      <c r="B42" t="s">
        <v>145</v>
      </c>
      <c r="J42">
        <v>13225000</v>
      </c>
      <c r="N42">
        <v>58365856</v>
      </c>
      <c r="O42">
        <v>61327351</v>
      </c>
      <c r="Q42">
        <v>66819777</v>
      </c>
      <c r="R42">
        <v>67613315</v>
      </c>
    </row>
    <row r="43" spans="1:18" hidden="1" x14ac:dyDescent="0.2">
      <c r="B43" t="s">
        <v>149</v>
      </c>
      <c r="J43">
        <v>0</v>
      </c>
      <c r="N43">
        <v>0</v>
      </c>
      <c r="O43">
        <v>0</v>
      </c>
      <c r="Q43">
        <v>2263189</v>
      </c>
      <c r="R43">
        <v>2263189</v>
      </c>
    </row>
    <row r="44" spans="1:18" hidden="1" x14ac:dyDescent="0.2">
      <c r="B44" t="s">
        <v>146</v>
      </c>
      <c r="N44">
        <v>275000000</v>
      </c>
      <c r="O44">
        <v>275000000</v>
      </c>
      <c r="Q44">
        <v>275000000</v>
      </c>
      <c r="R44">
        <v>275000000</v>
      </c>
    </row>
    <row r="45" spans="1:18" hidden="1" x14ac:dyDescent="0.2">
      <c r="B45" t="s">
        <v>147</v>
      </c>
      <c r="J45">
        <v>110159235</v>
      </c>
      <c r="N45">
        <v>66888268</v>
      </c>
      <c r="O45">
        <v>64115226</v>
      </c>
      <c r="Q45">
        <v>56633648</v>
      </c>
      <c r="R45">
        <v>56268788</v>
      </c>
    </row>
    <row r="46" spans="1:18" hidden="1" x14ac:dyDescent="0.2">
      <c r="B46" t="s">
        <v>148</v>
      </c>
      <c r="J46">
        <v>110159235</v>
      </c>
      <c r="N46">
        <v>66888268</v>
      </c>
      <c r="O46">
        <v>64115226</v>
      </c>
      <c r="Q46">
        <v>56633648</v>
      </c>
      <c r="R46">
        <v>56268788</v>
      </c>
    </row>
    <row r="47" spans="1:18" hidden="1" x14ac:dyDescent="0.2"/>
    <row r="48" spans="1:18" hidden="1" x14ac:dyDescent="0.2">
      <c r="B48" t="s">
        <v>152</v>
      </c>
      <c r="J48">
        <v>123384235</v>
      </c>
      <c r="N48">
        <v>125254124</v>
      </c>
      <c r="O48">
        <v>125442577</v>
      </c>
      <c r="Q48">
        <v>123453425</v>
      </c>
      <c r="R48">
        <v>123882103</v>
      </c>
    </row>
    <row r="49" spans="2:21" hidden="1" x14ac:dyDescent="0.2">
      <c r="O49" t="s">
        <v>7</v>
      </c>
      <c r="T49" t="s">
        <v>113</v>
      </c>
    </row>
    <row r="50" spans="2:21" hidden="1" x14ac:dyDescent="0.2">
      <c r="B50" t="s">
        <v>143</v>
      </c>
      <c r="T50">
        <v>4000000000</v>
      </c>
    </row>
    <row r="51" spans="2:21" hidden="1" x14ac:dyDescent="0.2">
      <c r="B51" t="s">
        <v>144</v>
      </c>
      <c r="O51">
        <v>447451702</v>
      </c>
      <c r="T51">
        <v>461379963</v>
      </c>
    </row>
    <row r="52" spans="2:21" hidden="1" x14ac:dyDescent="0.2">
      <c r="B52" t="s">
        <v>145</v>
      </c>
      <c r="O52">
        <v>447451702</v>
      </c>
      <c r="T52">
        <v>461379963</v>
      </c>
    </row>
    <row r="53" spans="2:21" hidden="1" x14ac:dyDescent="0.2">
      <c r="B53" t="s">
        <v>149</v>
      </c>
    </row>
    <row r="54" spans="2:21" hidden="1" x14ac:dyDescent="0.2">
      <c r="B54" t="s">
        <v>146</v>
      </c>
      <c r="T54">
        <v>150000000</v>
      </c>
    </row>
    <row r="55" spans="2:21" hidden="1" x14ac:dyDescent="0.2">
      <c r="B55" t="s">
        <v>147</v>
      </c>
      <c r="O55">
        <v>28877554</v>
      </c>
      <c r="T55">
        <v>29218527</v>
      </c>
    </row>
    <row r="56" spans="2:21" hidden="1" x14ac:dyDescent="0.2">
      <c r="B56" t="s">
        <v>148</v>
      </c>
      <c r="O56">
        <v>28877554</v>
      </c>
      <c r="T56">
        <v>29218527</v>
      </c>
    </row>
    <row r="57" spans="2:21" hidden="1" x14ac:dyDescent="0.2">
      <c r="C57">
        <v>1.0299566609026425</v>
      </c>
      <c r="O57">
        <v>476329256</v>
      </c>
      <c r="T57">
        <v>490598490</v>
      </c>
    </row>
    <row r="58" spans="2:21" x14ac:dyDescent="0.2">
      <c r="B58" s="6" t="s">
        <v>127</v>
      </c>
      <c r="K58" s="3">
        <v>2013</v>
      </c>
      <c r="P58" s="3">
        <v>2014</v>
      </c>
      <c r="U58" s="3">
        <v>2015</v>
      </c>
    </row>
    <row r="59" spans="2:21" x14ac:dyDescent="0.2">
      <c r="B59" t="s">
        <v>2</v>
      </c>
      <c r="K59">
        <v>696</v>
      </c>
      <c r="P59">
        <v>1201</v>
      </c>
      <c r="U59">
        <v>1361</v>
      </c>
    </row>
    <row r="60" spans="2:21" x14ac:dyDescent="0.2">
      <c r="B60" t="s">
        <v>116</v>
      </c>
      <c r="K60">
        <v>-512</v>
      </c>
      <c r="P60">
        <v>-894</v>
      </c>
      <c r="U60">
        <v>-978</v>
      </c>
    </row>
    <row r="61" spans="2:21" x14ac:dyDescent="0.2">
      <c r="B61" t="s">
        <v>117</v>
      </c>
      <c r="K61">
        <v>184</v>
      </c>
      <c r="P61">
        <v>307</v>
      </c>
      <c r="U61">
        <v>383</v>
      </c>
    </row>
    <row r="62" spans="2:21" x14ac:dyDescent="0.2">
      <c r="B62" t="s">
        <v>118</v>
      </c>
      <c r="K62">
        <v>-26</v>
      </c>
      <c r="P62">
        <v>-40</v>
      </c>
      <c r="U62">
        <v>-43</v>
      </c>
    </row>
    <row r="63" spans="2:21" x14ac:dyDescent="0.2">
      <c r="B63" t="s">
        <v>119</v>
      </c>
      <c r="K63">
        <v>-131</v>
      </c>
      <c r="P63">
        <v>-223</v>
      </c>
      <c r="U63">
        <v>-269</v>
      </c>
    </row>
    <row r="64" spans="2:21" x14ac:dyDescent="0.2">
      <c r="B64" t="s">
        <v>120</v>
      </c>
      <c r="K64" s="3">
        <v>27</v>
      </c>
      <c r="P64" s="3">
        <v>44</v>
      </c>
      <c r="U64" s="3">
        <v>71</v>
      </c>
    </row>
    <row r="65" spans="1:34" x14ac:dyDescent="0.2">
      <c r="B65" t="s">
        <v>121</v>
      </c>
      <c r="K65">
        <v>0</v>
      </c>
      <c r="P65">
        <v>0</v>
      </c>
      <c r="U65">
        <v>-30</v>
      </c>
    </row>
    <row r="66" spans="1:34" x14ac:dyDescent="0.2">
      <c r="B66" t="s">
        <v>122</v>
      </c>
      <c r="K66">
        <v>-8</v>
      </c>
      <c r="P66">
        <v>-15</v>
      </c>
      <c r="U66">
        <v>-19</v>
      </c>
      <c r="W66" t="s">
        <v>323</v>
      </c>
      <c r="Z66" s="34">
        <v>0.28000000000000003</v>
      </c>
    </row>
    <row r="67" spans="1:34" x14ac:dyDescent="0.2">
      <c r="B67" t="s">
        <v>123</v>
      </c>
      <c r="K67">
        <v>-6</v>
      </c>
      <c r="P67">
        <v>-13</v>
      </c>
      <c r="U67">
        <v>-83</v>
      </c>
    </row>
    <row r="68" spans="1:34" x14ac:dyDescent="0.2">
      <c r="B68" t="s">
        <v>124</v>
      </c>
      <c r="K68">
        <v>0</v>
      </c>
      <c r="P68">
        <v>0</v>
      </c>
      <c r="U68">
        <v>-17</v>
      </c>
    </row>
    <row r="69" spans="1:34" x14ac:dyDescent="0.2">
      <c r="B69" t="s">
        <v>125</v>
      </c>
      <c r="K69" s="3">
        <v>13</v>
      </c>
      <c r="P69" s="3">
        <v>16</v>
      </c>
      <c r="U69" s="3">
        <v>-78</v>
      </c>
    </row>
    <row r="70" spans="1:34" x14ac:dyDescent="0.2">
      <c r="K70">
        <f>(K62+K63+K66)/K59</f>
        <v>-0.23706896551724138</v>
      </c>
      <c r="P70">
        <f>(P62+P63+P66)/P59</f>
        <v>-0.231473771856786</v>
      </c>
      <c r="U70">
        <f>(U62+U63+U66)/U59</f>
        <v>-0.24320352681851579</v>
      </c>
      <c r="X70" t="s">
        <v>332</v>
      </c>
      <c r="Z70">
        <f>1.03</f>
        <v>1.03</v>
      </c>
      <c r="AA70">
        <f>1.03</f>
        <v>1.03</v>
      </c>
      <c r="AB70">
        <f>1.04</f>
        <v>1.04</v>
      </c>
      <c r="AC70">
        <f>1.03</f>
        <v>1.03</v>
      </c>
      <c r="AD70">
        <f>1.02</f>
        <v>1.02</v>
      </c>
      <c r="AE70">
        <f>1.03</f>
        <v>1.03</v>
      </c>
      <c r="AF70">
        <f>1.03</f>
        <v>1.03</v>
      </c>
      <c r="AG70">
        <f>1.03</f>
        <v>1.03</v>
      </c>
      <c r="AH70">
        <f>1.03</f>
        <v>1.03</v>
      </c>
    </row>
    <row r="71" spans="1:34" x14ac:dyDescent="0.2">
      <c r="K71">
        <f>K70*K59</f>
        <v>-165</v>
      </c>
      <c r="P71">
        <f>P70*P59</f>
        <v>-278</v>
      </c>
      <c r="U71">
        <f>U70*U59</f>
        <v>-331</v>
      </c>
      <c r="V71">
        <f>(V79+V80+V82)</f>
        <v>83</v>
      </c>
      <c r="X71" t="s">
        <v>331</v>
      </c>
      <c r="Z71">
        <f>1.04</f>
        <v>1.04</v>
      </c>
      <c r="AA71">
        <f t="shared" ref="AA71:AH71" si="0">1.04</f>
        <v>1.04</v>
      </c>
      <c r="AB71">
        <f t="shared" si="0"/>
        <v>1.04</v>
      </c>
      <c r="AC71">
        <f t="shared" si="0"/>
        <v>1.04</v>
      </c>
      <c r="AD71">
        <f t="shared" si="0"/>
        <v>1.04</v>
      </c>
      <c r="AE71">
        <f t="shared" si="0"/>
        <v>1.04</v>
      </c>
      <c r="AF71">
        <f t="shared" si="0"/>
        <v>1.04</v>
      </c>
      <c r="AG71">
        <f t="shared" si="0"/>
        <v>1.04</v>
      </c>
      <c r="AH71">
        <f t="shared" si="0"/>
        <v>1.04</v>
      </c>
    </row>
    <row r="72" spans="1:34" x14ac:dyDescent="0.2">
      <c r="B72" t="s">
        <v>335</v>
      </c>
      <c r="D72" s="30">
        <f>D88/D75</f>
        <v>0.65351545494122765</v>
      </c>
      <c r="E72" s="30">
        <f>E88/E75</f>
        <v>0.34468413483461369</v>
      </c>
      <c r="F72" s="30">
        <f>F88/F75</f>
        <v>0.30446504045405143</v>
      </c>
      <c r="G72" s="30"/>
      <c r="H72" s="30"/>
      <c r="I72" s="30"/>
      <c r="J72" s="30"/>
      <c r="K72" s="30">
        <f>K88/K75</f>
        <v>0.2592491975811726</v>
      </c>
      <c r="L72" s="30"/>
      <c r="M72" s="30"/>
      <c r="N72" s="30"/>
      <c r="O72" s="30"/>
      <c r="P72" s="30">
        <f>P88/P75</f>
        <v>0.25724639794546861</v>
      </c>
      <c r="Q72" s="30">
        <f>Q88/Q75</f>
        <v>0.31530970334229136</v>
      </c>
      <c r="R72" s="30">
        <f>R88/R75</f>
        <v>0.2930625989292952</v>
      </c>
      <c r="U72">
        <f>(U63+U62+U65)/U59</f>
        <v>-0.25128581925055105</v>
      </c>
      <c r="X72" t="s">
        <v>327</v>
      </c>
      <c r="Y72">
        <v>0.28000000000000003</v>
      </c>
      <c r="Z72">
        <v>0.28499999999999998</v>
      </c>
      <c r="AA72">
        <v>0.28999999999999998</v>
      </c>
      <c r="AB72">
        <v>0.29499999999999998</v>
      </c>
      <c r="AC72">
        <v>0.3</v>
      </c>
      <c r="AD72">
        <v>0.3</v>
      </c>
      <c r="AE72">
        <v>0.3</v>
      </c>
      <c r="AF72">
        <v>0.3</v>
      </c>
      <c r="AG72">
        <v>0.3</v>
      </c>
      <c r="AH72">
        <v>0.3</v>
      </c>
    </row>
    <row r="73" spans="1:34" x14ac:dyDescent="0.2">
      <c r="B73" t="s">
        <v>322</v>
      </c>
      <c r="D73" s="30">
        <f>D77/D75</f>
        <v>0.31573791902481502</v>
      </c>
      <c r="E73" s="30">
        <f>E77/E75</f>
        <v>0.26374829001367983</v>
      </c>
      <c r="F73" s="30">
        <f>F77/F75</f>
        <v>0.27260294650404537</v>
      </c>
      <c r="G73" s="30"/>
      <c r="H73" s="30"/>
      <c r="I73" s="30"/>
      <c r="J73" s="30"/>
      <c r="K73" s="30">
        <f>K77/K75</f>
        <v>0.27797685526563548</v>
      </c>
      <c r="L73" s="30"/>
      <c r="M73" s="30"/>
      <c r="N73" s="30"/>
      <c r="O73" s="30"/>
      <c r="P73" s="30">
        <f>P77/P75</f>
        <v>0.27035386837033221</v>
      </c>
      <c r="Q73" s="30">
        <f>Q77/Q75</f>
        <v>0.30078665170767344</v>
      </c>
      <c r="R73" s="30">
        <f>R77/R75</f>
        <v>0.31082366304724068</v>
      </c>
      <c r="U73">
        <f>U77/U75</f>
        <v>0.28141072740631889</v>
      </c>
      <c r="V73">
        <f>V77/V75</f>
        <v>0.28450704225352114</v>
      </c>
      <c r="X73" t="s">
        <v>334</v>
      </c>
      <c r="Y73">
        <f>1.1</f>
        <v>1.1000000000000001</v>
      </c>
      <c r="Z73">
        <f>1.09</f>
        <v>1.0900000000000001</v>
      </c>
      <c r="AA73">
        <f>1.08</f>
        <v>1.08</v>
      </c>
      <c r="AB73">
        <f>1.05</f>
        <v>1.05</v>
      </c>
      <c r="AC73">
        <f>1.03</f>
        <v>1.03</v>
      </c>
      <c r="AD73">
        <f>1.03</f>
        <v>1.03</v>
      </c>
      <c r="AE73">
        <v>1.03</v>
      </c>
      <c r="AF73">
        <v>1.03</v>
      </c>
      <c r="AG73">
        <v>1.03</v>
      </c>
      <c r="AH73">
        <v>1.03</v>
      </c>
    </row>
    <row r="74" spans="1:34" x14ac:dyDescent="0.2">
      <c r="A74" s="4"/>
      <c r="B74" s="4" t="s">
        <v>139</v>
      </c>
      <c r="C74" s="4"/>
      <c r="D74" s="4">
        <v>2010</v>
      </c>
      <c r="E74" s="4">
        <v>2011</v>
      </c>
      <c r="F74" s="4">
        <v>2012</v>
      </c>
      <c r="G74" s="4"/>
      <c r="H74" s="4"/>
      <c r="I74" s="4"/>
      <c r="J74" s="4"/>
      <c r="K74" s="4">
        <v>2013</v>
      </c>
      <c r="L74" s="4" t="s">
        <v>33</v>
      </c>
      <c r="M74" s="4" t="s">
        <v>32</v>
      </c>
      <c r="N74" s="4" t="s">
        <v>27</v>
      </c>
      <c r="O74" s="4" t="s">
        <v>7</v>
      </c>
      <c r="P74" s="4">
        <v>2014</v>
      </c>
      <c r="Q74" s="4" t="s">
        <v>6</v>
      </c>
      <c r="R74" s="4" t="s">
        <v>5</v>
      </c>
      <c r="S74" s="4"/>
      <c r="T74" s="4"/>
      <c r="U74">
        <v>2015</v>
      </c>
      <c r="X74" s="1" t="s">
        <v>333</v>
      </c>
      <c r="Y74" s="1">
        <v>2016</v>
      </c>
      <c r="Z74" s="1">
        <v>2017</v>
      </c>
      <c r="AA74" s="1">
        <v>2018</v>
      </c>
      <c r="AB74" s="1">
        <v>2019</v>
      </c>
      <c r="AC74" s="1">
        <v>2020</v>
      </c>
      <c r="AD74" s="1">
        <v>2021</v>
      </c>
      <c r="AE74" s="1">
        <v>2022</v>
      </c>
      <c r="AF74" s="1">
        <v>2023</v>
      </c>
      <c r="AG74" s="1">
        <v>2024</v>
      </c>
      <c r="AH74" s="1">
        <v>2025</v>
      </c>
    </row>
    <row r="75" spans="1:34" x14ac:dyDescent="0.2">
      <c r="B75" t="s">
        <v>153</v>
      </c>
      <c r="D75" s="52">
        <v>18.376000000000001</v>
      </c>
      <c r="E75" s="52">
        <v>142.54499999999999</v>
      </c>
      <c r="F75" s="52">
        <v>331.24</v>
      </c>
      <c r="G75" s="52"/>
      <c r="H75" s="52"/>
      <c r="I75" s="52"/>
      <c r="J75" s="52"/>
      <c r="K75" s="52">
        <v>695.70899999999995</v>
      </c>
      <c r="L75" s="52">
        <v>237.881</v>
      </c>
      <c r="M75" s="52">
        <v>285.01299999999998</v>
      </c>
      <c r="N75" s="52">
        <v>285.83600000000001</v>
      </c>
      <c r="O75" s="52">
        <v>391.34900000000005</v>
      </c>
      <c r="P75" s="52">
        <v>1200.079</v>
      </c>
      <c r="Q75" s="52">
        <v>306.61599999999999</v>
      </c>
      <c r="R75" s="52">
        <v>297.56099999999998</v>
      </c>
      <c r="U75">
        <v>1361</v>
      </c>
      <c r="V75">
        <v>355</v>
      </c>
      <c r="X75" t="s">
        <v>153</v>
      </c>
      <c r="Y75">
        <f>U75*Y73</f>
        <v>1497.1000000000001</v>
      </c>
      <c r="Z75">
        <f>Y75*Z73</f>
        <v>1631.8390000000002</v>
      </c>
      <c r="AA75">
        <f t="shared" ref="AA75:AE75" si="1">Z75*AA73</f>
        <v>1762.3861200000003</v>
      </c>
      <c r="AB75">
        <f t="shared" si="1"/>
        <v>1850.5054260000004</v>
      </c>
      <c r="AC75">
        <f t="shared" si="1"/>
        <v>1906.0205887800005</v>
      </c>
      <c r="AD75">
        <f t="shared" si="1"/>
        <v>1963.2012064434005</v>
      </c>
      <c r="AE75">
        <f t="shared" si="1"/>
        <v>2022.0972426367025</v>
      </c>
      <c r="AF75">
        <f t="shared" ref="AF75:AH75" si="2">AE75*AF73</f>
        <v>2082.7601599158038</v>
      </c>
      <c r="AG75">
        <f t="shared" si="2"/>
        <v>2145.2429647132781</v>
      </c>
      <c r="AH75">
        <f t="shared" si="2"/>
        <v>2209.6002536546766</v>
      </c>
    </row>
    <row r="76" spans="1:34" x14ac:dyDescent="0.2">
      <c r="B76" t="s">
        <v>116</v>
      </c>
      <c r="D76" s="52">
        <v>12.574</v>
      </c>
      <c r="E76" s="52">
        <v>104.949</v>
      </c>
      <c r="F76" s="52">
        <v>240.94300000000001</v>
      </c>
      <c r="G76" s="52"/>
      <c r="H76" s="52"/>
      <c r="I76" s="52"/>
      <c r="J76" s="52"/>
      <c r="K76" s="52">
        <v>502.31799999999998</v>
      </c>
      <c r="L76" s="52">
        <v>174.14699999999999</v>
      </c>
      <c r="M76" s="52">
        <v>204.05699999999999</v>
      </c>
      <c r="N76" s="52">
        <v>207.14699999999999</v>
      </c>
      <c r="O76" s="52">
        <v>290.28200000000015</v>
      </c>
      <c r="P76" s="52">
        <v>875.63300000000004</v>
      </c>
      <c r="Q76" s="52">
        <v>214.39</v>
      </c>
      <c r="R76" s="52">
        <v>205.072</v>
      </c>
      <c r="U76">
        <v>978</v>
      </c>
      <c r="V76">
        <v>254</v>
      </c>
      <c r="X76" t="s">
        <v>116</v>
      </c>
      <c r="Y76">
        <f t="shared" ref="Y76:AH76" si="3">Y75*0.72</f>
        <v>1077.912</v>
      </c>
      <c r="Z76">
        <f t="shared" si="3"/>
        <v>1174.92408</v>
      </c>
      <c r="AA76">
        <f t="shared" si="3"/>
        <v>1268.9180064000002</v>
      </c>
      <c r="AB76">
        <f t="shared" si="3"/>
        <v>1332.3639067200002</v>
      </c>
      <c r="AC76">
        <f t="shared" si="3"/>
        <v>1372.3348239216002</v>
      </c>
      <c r="AD76">
        <f t="shared" si="3"/>
        <v>1413.5048686392483</v>
      </c>
      <c r="AE76">
        <f t="shared" si="3"/>
        <v>1455.9100146984258</v>
      </c>
      <c r="AF76">
        <f t="shared" si="3"/>
        <v>1499.5873151393787</v>
      </c>
      <c r="AG76">
        <f t="shared" si="3"/>
        <v>1544.5749345935601</v>
      </c>
      <c r="AH76">
        <f t="shared" si="3"/>
        <v>1590.9121826313672</v>
      </c>
    </row>
    <row r="77" spans="1:34" x14ac:dyDescent="0.2">
      <c r="B77" t="s">
        <v>9</v>
      </c>
      <c r="D77" s="55">
        <f>D75-D76</f>
        <v>5.8020000000000014</v>
      </c>
      <c r="E77" s="55">
        <f t="shared" ref="E77:R77" si="4">E75-E76</f>
        <v>37.595999999999989</v>
      </c>
      <c r="F77" s="55">
        <f t="shared" si="4"/>
        <v>90.296999999999997</v>
      </c>
      <c r="G77" s="55">
        <f t="shared" si="4"/>
        <v>0</v>
      </c>
      <c r="H77" s="55">
        <f t="shared" si="4"/>
        <v>0</v>
      </c>
      <c r="I77" s="55">
        <f t="shared" si="4"/>
        <v>0</v>
      </c>
      <c r="J77" s="55">
        <f t="shared" si="4"/>
        <v>0</v>
      </c>
      <c r="K77" s="55">
        <f t="shared" si="4"/>
        <v>193.39099999999996</v>
      </c>
      <c r="L77" s="55">
        <f t="shared" si="4"/>
        <v>63.734000000000009</v>
      </c>
      <c r="M77" s="55">
        <f t="shared" si="4"/>
        <v>80.955999999999989</v>
      </c>
      <c r="N77" s="55">
        <f t="shared" si="4"/>
        <v>78.689000000000021</v>
      </c>
      <c r="O77" s="55">
        <f t="shared" si="4"/>
        <v>101.06699999999989</v>
      </c>
      <c r="P77" s="55">
        <f t="shared" si="4"/>
        <v>324.44599999999991</v>
      </c>
      <c r="Q77" s="55">
        <f t="shared" si="4"/>
        <v>92.225999999999999</v>
      </c>
      <c r="R77" s="55">
        <f t="shared" si="4"/>
        <v>92.488999999999976</v>
      </c>
      <c r="U77" s="1">
        <f t="shared" ref="U77" si="5">U75-U76</f>
        <v>383</v>
      </c>
      <c r="V77" s="1">
        <f>V75-V76</f>
        <v>101</v>
      </c>
      <c r="X77" t="s">
        <v>9</v>
      </c>
      <c r="Y77" s="1">
        <f t="shared" ref="Y77:AH77" si="6">Y75-Y76</f>
        <v>419.1880000000001</v>
      </c>
      <c r="Z77" s="1">
        <f t="shared" si="6"/>
        <v>456.91492000000017</v>
      </c>
      <c r="AA77" s="1">
        <f t="shared" si="6"/>
        <v>493.46811360000015</v>
      </c>
      <c r="AB77" s="1">
        <f t="shared" si="6"/>
        <v>518.14151928000024</v>
      </c>
      <c r="AC77" s="1">
        <f t="shared" si="6"/>
        <v>533.68576485840026</v>
      </c>
      <c r="AD77" s="1">
        <f t="shared" si="6"/>
        <v>549.69633780415211</v>
      </c>
      <c r="AE77" s="1">
        <f t="shared" si="6"/>
        <v>566.18722793827669</v>
      </c>
      <c r="AF77" s="1">
        <f t="shared" si="6"/>
        <v>583.17284477642511</v>
      </c>
      <c r="AG77" s="1">
        <f t="shared" si="6"/>
        <v>600.66803011971797</v>
      </c>
      <c r="AH77" s="1">
        <f t="shared" si="6"/>
        <v>618.68807102330948</v>
      </c>
    </row>
    <row r="78" spans="1:34" x14ac:dyDescent="0.2">
      <c r="B78" t="s">
        <v>118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X78" t="s">
        <v>118</v>
      </c>
      <c r="Y78">
        <f>-44</f>
        <v>-44</v>
      </c>
      <c r="Z78">
        <f>Y78*Z70</f>
        <v>-45.32</v>
      </c>
      <c r="AA78">
        <f t="shared" ref="AA78:AE78" si="7">Z78*AA70</f>
        <v>-46.679600000000001</v>
      </c>
      <c r="AB78">
        <f t="shared" si="7"/>
        <v>-48.546784000000002</v>
      </c>
      <c r="AC78">
        <f t="shared" si="7"/>
        <v>-50.003187520000004</v>
      </c>
      <c r="AD78">
        <f t="shared" si="7"/>
        <v>-51.003251270400007</v>
      </c>
      <c r="AE78">
        <f t="shared" si="7"/>
        <v>-52.533348808512009</v>
      </c>
      <c r="AF78">
        <f t="shared" ref="AF78:AH78" si="8">AE78*AF70</f>
        <v>-54.109349272767368</v>
      </c>
      <c r="AG78">
        <f t="shared" si="8"/>
        <v>-55.732629750950387</v>
      </c>
      <c r="AH78">
        <f t="shared" si="8"/>
        <v>-57.404608643478902</v>
      </c>
    </row>
    <row r="79" spans="1:34" x14ac:dyDescent="0.2">
      <c r="B79" t="s">
        <v>11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>
        <v>11</v>
      </c>
      <c r="R79" s="52"/>
      <c r="V79">
        <v>11</v>
      </c>
      <c r="X79" t="s">
        <v>155</v>
      </c>
      <c r="Y79" s="75">
        <f>-280</f>
        <v>-280</v>
      </c>
      <c r="Z79">
        <f>Y79*Z71</f>
        <v>-291.2</v>
      </c>
      <c r="AA79">
        <f t="shared" ref="AA79:AE79" si="9">Z79*AA71</f>
        <v>-302.84800000000001</v>
      </c>
      <c r="AB79">
        <f t="shared" si="9"/>
        <v>-314.96192000000002</v>
      </c>
      <c r="AC79">
        <f t="shared" si="9"/>
        <v>-327.56039680000004</v>
      </c>
      <c r="AD79">
        <f t="shared" si="9"/>
        <v>-340.66281267200003</v>
      </c>
      <c r="AE79">
        <f t="shared" si="9"/>
        <v>-354.28932517888006</v>
      </c>
      <c r="AF79">
        <f t="shared" ref="AF79:AH79" si="10">AE79*AF71</f>
        <v>-368.46089818603525</v>
      </c>
      <c r="AG79">
        <f t="shared" si="10"/>
        <v>-383.19933411347665</v>
      </c>
      <c r="AH79">
        <f t="shared" si="10"/>
        <v>-398.52730747801576</v>
      </c>
    </row>
    <row r="80" spans="1:34" x14ac:dyDescent="0.2">
      <c r="B80" t="s">
        <v>296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>
        <v>70</v>
      </c>
      <c r="R80" s="52"/>
      <c r="V80">
        <v>67</v>
      </c>
      <c r="X80" t="s">
        <v>324</v>
      </c>
      <c r="Y80">
        <f>-20</f>
        <v>-20</v>
      </c>
      <c r="Z80">
        <f>Y80*1.05</f>
        <v>-21</v>
      </c>
      <c r="AA80">
        <f>Z80*1.05</f>
        <v>-22.05</v>
      </c>
      <c r="AB80">
        <f t="shared" ref="AB80:AD80" si="11">AA80*1.05</f>
        <v>-23.152500000000003</v>
      </c>
      <c r="AC80">
        <f t="shared" si="11"/>
        <v>-24.310125000000003</v>
      </c>
      <c r="AD80">
        <f t="shared" si="11"/>
        <v>-25.525631250000004</v>
      </c>
      <c r="AE80">
        <f t="shared" ref="AE80:AF80" si="12">AD80*1.05</f>
        <v>-26.801912812500007</v>
      </c>
      <c r="AF80">
        <f t="shared" si="12"/>
        <v>-28.142008453125008</v>
      </c>
      <c r="AG80">
        <f t="shared" ref="AG80:AH80" si="13">AF80*1.05</f>
        <v>-29.549108875781261</v>
      </c>
      <c r="AH80">
        <f t="shared" si="13"/>
        <v>-31.026564319570326</v>
      </c>
    </row>
    <row r="81" spans="1:34" ht="21" customHeight="1" x14ac:dyDescent="0.2">
      <c r="B81" t="s">
        <v>120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72">
        <v>4</v>
      </c>
      <c r="R81" s="52"/>
      <c r="V81" s="1">
        <f>V77-V79-V80</f>
        <v>23</v>
      </c>
      <c r="X81" t="s">
        <v>13</v>
      </c>
      <c r="Y81">
        <f>-20</f>
        <v>-20</v>
      </c>
      <c r="Z81">
        <f>Y81*1.05</f>
        <v>-21</v>
      </c>
      <c r="AA81">
        <f>Z81*1.05</f>
        <v>-22.05</v>
      </c>
      <c r="AB81">
        <f t="shared" ref="AB81:AD81" si="14">AA81*1.05</f>
        <v>-23.152500000000003</v>
      </c>
      <c r="AC81">
        <f t="shared" si="14"/>
        <v>-24.310125000000003</v>
      </c>
      <c r="AD81">
        <f t="shared" si="14"/>
        <v>-25.525631250000004</v>
      </c>
      <c r="AE81">
        <f t="shared" ref="AE81:AF81" si="15">AD81*1.05</f>
        <v>-26.801912812500007</v>
      </c>
      <c r="AF81">
        <f t="shared" si="15"/>
        <v>-28.142008453125008</v>
      </c>
      <c r="AG81">
        <f t="shared" ref="AG81:AH81" si="16">AF81*1.05</f>
        <v>-29.549108875781261</v>
      </c>
      <c r="AH81">
        <f t="shared" si="16"/>
        <v>-31.026564319570326</v>
      </c>
    </row>
    <row r="82" spans="1:34" ht="15" customHeight="1" x14ac:dyDescent="0.2">
      <c r="B82" t="s">
        <v>297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73">
        <v>4</v>
      </c>
      <c r="R82" s="52"/>
      <c r="V82">
        <v>5</v>
      </c>
      <c r="X82" t="s">
        <v>14</v>
      </c>
      <c r="Y82">
        <f>-225</f>
        <v>-225</v>
      </c>
      <c r="Z82">
        <v>-225</v>
      </c>
      <c r="AA82">
        <f>Z82</f>
        <v>-225</v>
      </c>
      <c r="AB82">
        <v>-220</v>
      </c>
      <c r="AC82">
        <v>-210</v>
      </c>
      <c r="AD82">
        <v>-200</v>
      </c>
      <c r="AE82">
        <v>-190</v>
      </c>
      <c r="AF82">
        <v>-190</v>
      </c>
      <c r="AG82">
        <v>-190</v>
      </c>
      <c r="AH82">
        <v>-190</v>
      </c>
    </row>
    <row r="83" spans="1:34" ht="16" customHeight="1" x14ac:dyDescent="0.2">
      <c r="B83" t="s">
        <v>13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73">
        <v>3</v>
      </c>
      <c r="R83" s="52"/>
      <c r="V83">
        <v>5</v>
      </c>
    </row>
    <row r="84" spans="1:34" ht="19" customHeight="1" x14ac:dyDescent="0.2">
      <c r="B84" t="s">
        <v>298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73">
        <v>1</v>
      </c>
      <c r="R84" s="52"/>
      <c r="V84">
        <v>56</v>
      </c>
    </row>
    <row r="85" spans="1:34" x14ac:dyDescent="0.2"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73">
        <v>-4</v>
      </c>
      <c r="R85" s="52"/>
    </row>
    <row r="86" spans="1:34" x14ac:dyDescent="0.2">
      <c r="B86" t="s">
        <v>154</v>
      </c>
      <c r="D86" s="52">
        <v>4.8970000000000002</v>
      </c>
      <c r="E86" s="52">
        <v>20.228000000000002</v>
      </c>
      <c r="F86" s="52">
        <v>37.78</v>
      </c>
      <c r="G86" s="52"/>
      <c r="H86" s="52"/>
      <c r="I86" s="52"/>
      <c r="J86" s="52"/>
      <c r="K86" s="52">
        <v>59.667000000000002</v>
      </c>
      <c r="L86" s="52">
        <v>23.085000000000001</v>
      </c>
      <c r="M86" s="52">
        <v>24.282</v>
      </c>
      <c r="N86" s="52">
        <v>24.878</v>
      </c>
      <c r="O86" s="52">
        <v>28.484999999999999</v>
      </c>
      <c r="P86" s="52">
        <v>100.73</v>
      </c>
      <c r="Q86" s="52">
        <v>29.585999999999999</v>
      </c>
      <c r="R86" s="52">
        <v>26.896000000000001</v>
      </c>
    </row>
    <row r="87" spans="1:34" x14ac:dyDescent="0.2">
      <c r="B87" t="s">
        <v>155</v>
      </c>
      <c r="D87" s="52">
        <v>7.1120000000000001</v>
      </c>
      <c r="E87" s="52">
        <v>28.905000000000001</v>
      </c>
      <c r="F87" s="52">
        <v>63.070999999999998</v>
      </c>
      <c r="G87" s="52"/>
      <c r="H87" s="52"/>
      <c r="I87" s="52"/>
      <c r="J87" s="52"/>
      <c r="K87" s="52">
        <v>120.69499999999999</v>
      </c>
      <c r="L87" s="52">
        <v>43.6</v>
      </c>
      <c r="M87" s="52">
        <v>48.999000000000002</v>
      </c>
      <c r="N87" s="52">
        <v>54.473999999999997</v>
      </c>
      <c r="O87" s="52">
        <v>60.912999999999982</v>
      </c>
      <c r="P87" s="52">
        <v>207.98599999999999</v>
      </c>
      <c r="Q87" s="52">
        <v>67.093000000000004</v>
      </c>
      <c r="R87" s="52">
        <v>60.308</v>
      </c>
    </row>
    <row r="88" spans="1:34" x14ac:dyDescent="0.2">
      <c r="B88" t="s">
        <v>156</v>
      </c>
      <c r="D88" s="52">
        <f t="shared" ref="D88:R88" si="17">D87+D86</f>
        <v>12.009</v>
      </c>
      <c r="E88" s="52">
        <f t="shared" si="17"/>
        <v>49.133000000000003</v>
      </c>
      <c r="F88" s="52">
        <f t="shared" si="17"/>
        <v>100.851</v>
      </c>
      <c r="G88" s="52">
        <f t="shared" si="17"/>
        <v>0</v>
      </c>
      <c r="H88" s="52">
        <f t="shared" si="17"/>
        <v>0</v>
      </c>
      <c r="I88" s="52">
        <f t="shared" si="17"/>
        <v>0</v>
      </c>
      <c r="J88" s="52">
        <f t="shared" si="17"/>
        <v>0</v>
      </c>
      <c r="K88" s="52">
        <f t="shared" si="17"/>
        <v>180.36199999999999</v>
      </c>
      <c r="L88" s="52">
        <f t="shared" si="17"/>
        <v>66.685000000000002</v>
      </c>
      <c r="M88" s="52">
        <f t="shared" si="17"/>
        <v>73.281000000000006</v>
      </c>
      <c r="N88" s="52">
        <f t="shared" si="17"/>
        <v>79.352000000000004</v>
      </c>
      <c r="O88" s="52">
        <f t="shared" si="17"/>
        <v>89.397999999999982</v>
      </c>
      <c r="P88" s="52">
        <f t="shared" si="17"/>
        <v>308.71600000000001</v>
      </c>
      <c r="Q88" s="52">
        <f t="shared" si="17"/>
        <v>96.679000000000002</v>
      </c>
      <c r="R88" s="52">
        <f t="shared" si="17"/>
        <v>87.204000000000008</v>
      </c>
      <c r="X88" t="s">
        <v>156</v>
      </c>
      <c r="Y88">
        <f t="shared" ref="Y88:AH88" si="18">SUM(Y78:Y82)</f>
        <v>-589</v>
      </c>
      <c r="Z88">
        <f t="shared" si="18"/>
        <v>-603.52</v>
      </c>
      <c r="AA88">
        <f t="shared" si="18"/>
        <v>-618.62760000000003</v>
      </c>
      <c r="AB88">
        <f t="shared" si="18"/>
        <v>-629.81370400000003</v>
      </c>
      <c r="AC88">
        <f t="shared" si="18"/>
        <v>-636.18383432000007</v>
      </c>
      <c r="AD88">
        <f t="shared" si="18"/>
        <v>-642.71732644240001</v>
      </c>
      <c r="AE88">
        <f t="shared" si="18"/>
        <v>-650.42649961239204</v>
      </c>
      <c r="AF88">
        <f t="shared" si="18"/>
        <v>-668.85426436505259</v>
      </c>
      <c r="AG88">
        <f t="shared" si="18"/>
        <v>-688.03018161598948</v>
      </c>
      <c r="AH88">
        <f t="shared" si="18"/>
        <v>-707.98504476063533</v>
      </c>
    </row>
    <row r="89" spans="1:34" x14ac:dyDescent="0.2">
      <c r="A89" s="3"/>
      <c r="B89" s="3" t="s">
        <v>157</v>
      </c>
      <c r="C89" s="3"/>
      <c r="D89" s="56">
        <f t="shared" ref="D89:R89" si="19">D77-D88</f>
        <v>-6.206999999999999</v>
      </c>
      <c r="E89" s="56">
        <f t="shared" si="19"/>
        <v>-11.537000000000013</v>
      </c>
      <c r="F89" s="56">
        <f t="shared" si="19"/>
        <v>-10.554000000000002</v>
      </c>
      <c r="G89" s="56">
        <f t="shared" si="19"/>
        <v>0</v>
      </c>
      <c r="H89" s="56">
        <f t="shared" si="19"/>
        <v>0</v>
      </c>
      <c r="I89" s="56">
        <f t="shared" si="19"/>
        <v>0</v>
      </c>
      <c r="J89" s="56">
        <f t="shared" si="19"/>
        <v>0</v>
      </c>
      <c r="K89" s="56">
        <f t="shared" si="19"/>
        <v>13.028999999999968</v>
      </c>
      <c r="L89" s="56">
        <f t="shared" si="19"/>
        <v>-2.9509999999999934</v>
      </c>
      <c r="M89" s="56">
        <f t="shared" si="19"/>
        <v>7.6749999999999829</v>
      </c>
      <c r="N89" s="56">
        <f t="shared" si="19"/>
        <v>-0.66299999999998249</v>
      </c>
      <c r="O89" s="56">
        <f t="shared" si="19"/>
        <v>11.668999999999912</v>
      </c>
      <c r="P89" s="56">
        <f t="shared" si="19"/>
        <v>15.729999999999905</v>
      </c>
      <c r="Q89" s="56">
        <f t="shared" si="19"/>
        <v>-4.453000000000003</v>
      </c>
      <c r="R89" s="56">
        <f t="shared" si="19"/>
        <v>5.2849999999999682</v>
      </c>
      <c r="S89" s="3"/>
      <c r="T89" s="3"/>
      <c r="V89" s="1">
        <f>V81-V82-V83-V84</f>
        <v>-43</v>
      </c>
      <c r="X89" s="1" t="s">
        <v>15</v>
      </c>
      <c r="Y89" s="1">
        <f t="shared" ref="Y89:AH89" si="20">Y77+Y88</f>
        <v>-169.8119999999999</v>
      </c>
      <c r="Z89" s="1">
        <f t="shared" si="20"/>
        <v>-146.60507999999982</v>
      </c>
      <c r="AA89" s="1">
        <f t="shared" si="20"/>
        <v>-125.15948639999988</v>
      </c>
      <c r="AB89" s="1">
        <f t="shared" si="20"/>
        <v>-111.67218471999979</v>
      </c>
      <c r="AC89" s="1">
        <f t="shared" si="20"/>
        <v>-102.49806946159981</v>
      </c>
      <c r="AD89" s="1">
        <f t="shared" si="20"/>
        <v>-93.0209886382479</v>
      </c>
      <c r="AE89" s="1">
        <f t="shared" si="20"/>
        <v>-84.239271674115344</v>
      </c>
      <c r="AF89" s="1">
        <f t="shared" si="20"/>
        <v>-85.681419588627477</v>
      </c>
      <c r="AG89" s="1">
        <f t="shared" si="20"/>
        <v>-87.362151496271508</v>
      </c>
      <c r="AH89" s="1">
        <f t="shared" si="20"/>
        <v>-89.296973737325857</v>
      </c>
    </row>
    <row r="90" spans="1:34" x14ac:dyDescent="0.2">
      <c r="B90" t="s">
        <v>158</v>
      </c>
      <c r="D90" s="52">
        <v>-0.16900000000000001</v>
      </c>
      <c r="E90" s="52">
        <v>0.02</v>
      </c>
      <c r="F90" s="52">
        <v>4.2999999999999997E-2</v>
      </c>
      <c r="G90" s="52"/>
      <c r="H90" s="52"/>
      <c r="I90" s="52"/>
      <c r="J90" s="52"/>
      <c r="K90" s="52">
        <v>0.13600000000000001</v>
      </c>
      <c r="L90" s="52">
        <v>5.3999999999999999E-2</v>
      </c>
      <c r="M90" s="52">
        <v>9.1999999999999998E-2</v>
      </c>
      <c r="N90" s="52">
        <v>9.1999999999999998E-2</v>
      </c>
      <c r="O90" s="52">
        <v>7.9000000000000015E-2</v>
      </c>
      <c r="P90" s="52">
        <v>0.317</v>
      </c>
      <c r="Q90" s="52">
        <v>0.17</v>
      </c>
      <c r="R90" s="52">
        <v>0.16200000000000001</v>
      </c>
    </row>
    <row r="91" spans="1:34" x14ac:dyDescent="0.2">
      <c r="B91" t="s">
        <v>159</v>
      </c>
      <c r="D91" s="52">
        <v>-0.627</v>
      </c>
      <c r="E91" s="52">
        <v>0.20300000000000001</v>
      </c>
      <c r="F91" s="52">
        <v>0.17599999999999999</v>
      </c>
      <c r="G91" s="52"/>
      <c r="H91" s="52"/>
      <c r="I91" s="52"/>
      <c r="J91" s="52"/>
      <c r="K91" s="52">
        <v>9.9000000000000005E-2</v>
      </c>
      <c r="L91" s="52">
        <v>-5.2999999999999999E-2</v>
      </c>
      <c r="M91" s="52">
        <v>-1.0999999999999999E-2</v>
      </c>
      <c r="N91" s="52">
        <v>7.5999999999999998E-2</v>
      </c>
      <c r="O91" s="52">
        <v>-5.8000000000000003E-2</v>
      </c>
      <c r="P91" s="52">
        <v>-4.5999999999999999E-2</v>
      </c>
      <c r="Q91" s="52">
        <v>-6.3E-2</v>
      </c>
      <c r="R91" s="52">
        <v>8.0000000000000002E-3</v>
      </c>
    </row>
    <row r="92" spans="1:34" x14ac:dyDescent="0.2">
      <c r="B92" t="s">
        <v>160</v>
      </c>
      <c r="D92" s="55">
        <f>SUM(D89:D91)</f>
        <v>-7.0029999999999983</v>
      </c>
      <c r="E92" s="55">
        <f t="shared" ref="E92:R92" si="21">SUM(E89:E91)</f>
        <v>-11.314000000000014</v>
      </c>
      <c r="F92" s="55">
        <f t="shared" si="21"/>
        <v>-10.335000000000003</v>
      </c>
      <c r="G92" s="55">
        <f t="shared" si="21"/>
        <v>0</v>
      </c>
      <c r="H92" s="55">
        <f t="shared" si="21"/>
        <v>0</v>
      </c>
      <c r="I92" s="55">
        <f t="shared" si="21"/>
        <v>0</v>
      </c>
      <c r="J92" s="55">
        <f t="shared" si="21"/>
        <v>0</v>
      </c>
      <c r="K92" s="55">
        <f t="shared" si="21"/>
        <v>13.263999999999967</v>
      </c>
      <c r="L92" s="55">
        <f t="shared" si="21"/>
        <v>-2.9499999999999935</v>
      </c>
      <c r="M92" s="55">
        <f t="shared" si="21"/>
        <v>7.7559999999999825</v>
      </c>
      <c r="N92" s="55">
        <f t="shared" si="21"/>
        <v>-0.49499999999998251</v>
      </c>
      <c r="O92" s="55">
        <f t="shared" si="21"/>
        <v>11.689999999999912</v>
      </c>
      <c r="P92" s="55">
        <f t="shared" si="21"/>
        <v>16.000999999999905</v>
      </c>
      <c r="Q92" s="55">
        <f t="shared" si="21"/>
        <v>-4.3460000000000027</v>
      </c>
      <c r="R92" s="55">
        <f t="shared" si="21"/>
        <v>5.4549999999999681</v>
      </c>
      <c r="U92" s="1">
        <v>-78</v>
      </c>
    </row>
    <row r="93" spans="1:34" x14ac:dyDescent="0.2">
      <c r="B93" t="s">
        <v>161</v>
      </c>
      <c r="D93" s="52">
        <v>0</v>
      </c>
      <c r="E93" s="52">
        <v>0</v>
      </c>
      <c r="F93" s="52">
        <v>0</v>
      </c>
      <c r="G93" s="52"/>
      <c r="H93" s="52"/>
      <c r="I93" s="52"/>
      <c r="J93" s="52"/>
      <c r="K93" s="52">
        <v>0.35599999999999998</v>
      </c>
      <c r="L93" s="52">
        <v>0</v>
      </c>
      <c r="M93" s="52">
        <v>0</v>
      </c>
      <c r="N93" s="52">
        <v>0.3</v>
      </c>
      <c r="O93" s="52">
        <v>0.80899999999999994</v>
      </c>
      <c r="P93" s="52">
        <v>1.109</v>
      </c>
      <c r="Q93" s="52">
        <v>-1.86</v>
      </c>
      <c r="R93" s="52">
        <v>1.915</v>
      </c>
    </row>
    <row r="94" spans="1:34" x14ac:dyDescent="0.2">
      <c r="B94" t="s">
        <v>162</v>
      </c>
      <c r="D94" s="52">
        <f>D92-D93</f>
        <v>-7.0029999999999983</v>
      </c>
      <c r="E94" s="52">
        <f t="shared" ref="E94:R94" si="22">E92-E93</f>
        <v>-11.314000000000014</v>
      </c>
      <c r="F94" s="52">
        <f t="shared" si="22"/>
        <v>-10.335000000000003</v>
      </c>
      <c r="G94" s="52">
        <f t="shared" si="22"/>
        <v>0</v>
      </c>
      <c r="H94" s="52">
        <f t="shared" si="22"/>
        <v>0</v>
      </c>
      <c r="I94" s="52">
        <f t="shared" si="22"/>
        <v>0</v>
      </c>
      <c r="J94" s="52">
        <f t="shared" si="22"/>
        <v>0</v>
      </c>
      <c r="K94" s="52">
        <f t="shared" si="22"/>
        <v>12.907999999999967</v>
      </c>
      <c r="L94" s="52">
        <f t="shared" si="22"/>
        <v>-2.9499999999999935</v>
      </c>
      <c r="M94" s="52">
        <f t="shared" si="22"/>
        <v>7.7559999999999825</v>
      </c>
      <c r="N94" s="52">
        <f t="shared" si="22"/>
        <v>-0.7949999999999825</v>
      </c>
      <c r="O94" s="52">
        <f t="shared" si="22"/>
        <v>10.880999999999913</v>
      </c>
      <c r="P94" s="52">
        <f t="shared" si="22"/>
        <v>14.891999999999905</v>
      </c>
      <c r="Q94" s="52">
        <f t="shared" si="22"/>
        <v>-2.4860000000000024</v>
      </c>
      <c r="R94" s="52">
        <f t="shared" si="22"/>
        <v>3.5399999999999681</v>
      </c>
    </row>
    <row r="95" spans="1:34" x14ac:dyDescent="0.2">
      <c r="B95" t="s">
        <v>163</v>
      </c>
      <c r="D95" s="52">
        <v>-7.4480000000000004</v>
      </c>
      <c r="E95" s="52">
        <v>-11.314</v>
      </c>
      <c r="F95" s="52">
        <v>-46.822000000000003</v>
      </c>
      <c r="G95" s="52"/>
      <c r="H95" s="52"/>
      <c r="I95" s="52"/>
      <c r="J95" s="52"/>
      <c r="K95" s="52">
        <v>0</v>
      </c>
      <c r="L95" s="52">
        <v>-2.9499999999999935</v>
      </c>
      <c r="M95" s="52">
        <v>7.7559999999999825</v>
      </c>
      <c r="N95" s="52">
        <v>-0.7949999999999825</v>
      </c>
      <c r="O95" s="52">
        <v>10.880999999999899</v>
      </c>
      <c r="P95" s="52">
        <v>14.891999999999905</v>
      </c>
      <c r="Q95" s="52">
        <v>-2.4860000000000024</v>
      </c>
      <c r="R95" s="52">
        <v>3.5399999999999681</v>
      </c>
    </row>
    <row r="96" spans="1:34" x14ac:dyDescent="0.2">
      <c r="B96" t="s">
        <v>164</v>
      </c>
      <c r="D96" s="52">
        <v>-0.46</v>
      </c>
      <c r="E96" s="52">
        <v>-0.55000000000000004</v>
      </c>
      <c r="F96" s="52">
        <v>-1.2329130864473725</v>
      </c>
      <c r="G96" s="52"/>
      <c r="H96" s="52"/>
      <c r="I96" s="52"/>
      <c r="J96" s="52"/>
      <c r="K96" s="52">
        <v>0</v>
      </c>
      <c r="L96" s="52">
        <v>-2.3813638437220803E-2</v>
      </c>
      <c r="M96" s="52">
        <v>6.2335302411449391E-2</v>
      </c>
      <c r="N96" s="52">
        <v>-6.3607854806772973E-3</v>
      </c>
      <c r="O96" s="52">
        <v>8.7058750711006994E-2</v>
      </c>
      <c r="P96" s="52">
        <v>0.11944204300240711</v>
      </c>
      <c r="Q96" s="52">
        <v>-1.9907409883896096E-2</v>
      </c>
      <c r="R96" s="52">
        <v>2.8628865840063709E-2</v>
      </c>
    </row>
    <row r="97" spans="1:20" x14ac:dyDescent="0.2">
      <c r="B97" t="s">
        <v>165</v>
      </c>
      <c r="D97" s="52">
        <v>-0.46</v>
      </c>
      <c r="E97" s="52">
        <v>-0.55000000000000004</v>
      </c>
      <c r="F97" s="52">
        <v>-1.2329130864473725</v>
      </c>
      <c r="G97" s="52"/>
      <c r="H97" s="52"/>
      <c r="I97" s="52"/>
      <c r="J97" s="52"/>
      <c r="K97" s="52">
        <v>0</v>
      </c>
      <c r="L97" s="52">
        <v>-2.3813638437220803E-2</v>
      </c>
      <c r="M97" s="52">
        <v>5.8286587017098483E-2</v>
      </c>
      <c r="N97" s="52">
        <v>-6.3607854806772973E-3</v>
      </c>
      <c r="O97" s="52">
        <v>8.7058750711006994E-2</v>
      </c>
      <c r="P97" s="52">
        <v>0.11254759267901571</v>
      </c>
      <c r="Q97" s="52">
        <v>-1.9907409883896096E-2</v>
      </c>
      <c r="R97" s="52">
        <v>2.810026848933344E-2</v>
      </c>
    </row>
    <row r="98" spans="1:20" x14ac:dyDescent="0.2">
      <c r="B98" t="s">
        <v>166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</row>
    <row r="99" spans="1:20" x14ac:dyDescent="0.2">
      <c r="B99" t="s">
        <v>167</v>
      </c>
      <c r="D99" s="52">
        <v>16.347000000000001</v>
      </c>
      <c r="E99" s="52">
        <v>24.102</v>
      </c>
      <c r="F99" s="52">
        <v>37.976723999999997</v>
      </c>
      <c r="G99" s="52"/>
      <c r="H99" s="52"/>
      <c r="I99" s="52"/>
      <c r="J99" s="52"/>
      <c r="K99" s="52">
        <v>59.450186000000002</v>
      </c>
      <c r="L99" s="52">
        <v>123.878592</v>
      </c>
      <c r="M99" s="52">
        <v>124.423877</v>
      </c>
      <c r="N99" s="52">
        <v>124.98456400000001</v>
      </c>
      <c r="O99" s="52">
        <v>124.98456400000001</v>
      </c>
      <c r="P99" s="52">
        <v>124.679716</v>
      </c>
      <c r="Q99" s="52">
        <v>124.878124</v>
      </c>
      <c r="R99" s="52">
        <v>123.65142299999999</v>
      </c>
    </row>
    <row r="100" spans="1:20" x14ac:dyDescent="0.2">
      <c r="B100" t="s">
        <v>168</v>
      </c>
      <c r="D100" s="52">
        <v>16.347000000000001</v>
      </c>
      <c r="E100" s="52">
        <v>24.102</v>
      </c>
      <c r="F100" s="52">
        <v>37.976723999999997</v>
      </c>
      <c r="G100" s="52"/>
      <c r="H100" s="52"/>
      <c r="I100" s="52"/>
      <c r="J100" s="52"/>
      <c r="K100" s="52">
        <v>59.450186000000002</v>
      </c>
      <c r="L100" s="52">
        <v>123.878592</v>
      </c>
      <c r="M100" s="52">
        <v>133.06663499999999</v>
      </c>
      <c r="N100" s="52">
        <v>124.98456400000001</v>
      </c>
      <c r="O100" s="52">
        <v>124.98456400000001</v>
      </c>
      <c r="P100" s="52">
        <v>132.31735699999999</v>
      </c>
      <c r="Q100" s="52">
        <v>124.878124</v>
      </c>
      <c r="R100" s="52">
        <v>125.97744400000001</v>
      </c>
    </row>
    <row r="101" spans="1:20" x14ac:dyDescent="0.2"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</row>
    <row r="102" spans="1:20" x14ac:dyDescent="0.2">
      <c r="A102" s="4"/>
      <c r="B102" s="4" t="s">
        <v>169</v>
      </c>
      <c r="C102" s="4"/>
      <c r="D102" s="4">
        <v>2010</v>
      </c>
      <c r="E102" s="4">
        <v>2011</v>
      </c>
      <c r="F102" s="4">
        <v>2012</v>
      </c>
      <c r="G102" s="4"/>
      <c r="H102" s="4"/>
      <c r="I102" s="4"/>
      <c r="J102" s="4"/>
      <c r="K102" s="4">
        <v>2013</v>
      </c>
      <c r="L102" t="s">
        <v>33</v>
      </c>
      <c r="M102" t="s">
        <v>32</v>
      </c>
      <c r="N102" t="s">
        <v>27</v>
      </c>
      <c r="O102" t="s">
        <v>7</v>
      </c>
      <c r="P102" s="54">
        <v>2014</v>
      </c>
      <c r="Q102" t="s">
        <v>6</v>
      </c>
      <c r="R102" t="s">
        <v>5</v>
      </c>
      <c r="S102" s="4"/>
      <c r="T102" s="4"/>
    </row>
    <row r="103" spans="1:20" x14ac:dyDescent="0.2">
      <c r="B103" s="12" t="s">
        <v>170</v>
      </c>
    </row>
    <row r="104" spans="1:20" x14ac:dyDescent="0.2">
      <c r="B104" t="s">
        <v>171</v>
      </c>
      <c r="D104" s="52">
        <f>D94</f>
        <v>-7.0029999999999983</v>
      </c>
      <c r="E104" s="52">
        <f t="shared" ref="E104:K104" si="23">E94</f>
        <v>-11.314000000000014</v>
      </c>
      <c r="F104" s="52">
        <f t="shared" si="23"/>
        <v>-10.335000000000003</v>
      </c>
      <c r="G104" s="52">
        <f t="shared" si="23"/>
        <v>0</v>
      </c>
      <c r="H104" s="52">
        <f t="shared" si="23"/>
        <v>0</v>
      </c>
      <c r="I104" s="52">
        <f t="shared" si="23"/>
        <v>0</v>
      </c>
      <c r="J104" s="52">
        <f t="shared" si="23"/>
        <v>0</v>
      </c>
      <c r="K104" s="52">
        <f t="shared" si="23"/>
        <v>12.907999999999967</v>
      </c>
      <c r="L104" s="25">
        <v>-2.9499999999999935</v>
      </c>
      <c r="M104" s="25">
        <v>4.8059999999999885</v>
      </c>
      <c r="N104" s="25">
        <v>4.0110000000000063</v>
      </c>
      <c r="O104" s="25">
        <v>14.891999999999905</v>
      </c>
      <c r="P104" s="52">
        <f t="shared" ref="P104" si="24">P94</f>
        <v>14.891999999999905</v>
      </c>
      <c r="Q104" s="25">
        <v>-2.4860000000000024</v>
      </c>
      <c r="R104" s="25">
        <v>1.0539999999999656</v>
      </c>
    </row>
    <row r="105" spans="1:20" x14ac:dyDescent="0.2">
      <c r="B105" t="s">
        <v>172</v>
      </c>
    </row>
    <row r="106" spans="1:20" x14ac:dyDescent="0.2">
      <c r="B106" t="s">
        <v>173</v>
      </c>
      <c r="F106">
        <v>3.3690000000000002</v>
      </c>
      <c r="K106">
        <v>6.24</v>
      </c>
      <c r="L106">
        <v>2.4009999999999998</v>
      </c>
      <c r="M106">
        <v>5.5179999999999998</v>
      </c>
      <c r="N106">
        <v>8.8780000000000001</v>
      </c>
      <c r="O106">
        <v>13.449</v>
      </c>
      <c r="P106">
        <v>13.449</v>
      </c>
      <c r="Q106">
        <v>4.4829999999999997</v>
      </c>
      <c r="R106">
        <v>8.9269999999999996</v>
      </c>
    </row>
    <row r="107" spans="1:20" x14ac:dyDescent="0.2">
      <c r="B107" t="s">
        <v>122</v>
      </c>
      <c r="F107">
        <v>1.2649999999999999</v>
      </c>
      <c r="K107">
        <v>7.7770000000000001</v>
      </c>
      <c r="L107">
        <v>3.1739999999999999</v>
      </c>
      <c r="M107">
        <v>6.8310000000000004</v>
      </c>
      <c r="N107">
        <v>10.525</v>
      </c>
      <c r="O107">
        <v>14.548</v>
      </c>
      <c r="P107">
        <v>14.548</v>
      </c>
      <c r="Q107">
        <v>4.33</v>
      </c>
      <c r="R107">
        <v>8.7620000000000005</v>
      </c>
    </row>
    <row r="108" spans="1:20" x14ac:dyDescent="0.2">
      <c r="B108" t="s">
        <v>174</v>
      </c>
      <c r="F108">
        <v>0</v>
      </c>
      <c r="K108">
        <v>0</v>
      </c>
      <c r="L108">
        <v>0</v>
      </c>
      <c r="M108">
        <v>0</v>
      </c>
      <c r="N108">
        <v>-0.64500000000000002</v>
      </c>
      <c r="O108">
        <v>-0.28000000000000003</v>
      </c>
      <c r="P108">
        <v>-0.28000000000000003</v>
      </c>
      <c r="Q108">
        <v>5.0000000000000001E-3</v>
      </c>
      <c r="R108">
        <v>0.129</v>
      </c>
    </row>
    <row r="109" spans="1:20" x14ac:dyDescent="0.2">
      <c r="B109" t="s">
        <v>39</v>
      </c>
      <c r="F109">
        <v>0</v>
      </c>
      <c r="K109">
        <v>0</v>
      </c>
      <c r="M109">
        <v>0</v>
      </c>
      <c r="N109">
        <v>0.23300000000000001</v>
      </c>
      <c r="O109">
        <v>0.84299999999999997</v>
      </c>
      <c r="P109">
        <v>0.84299999999999997</v>
      </c>
      <c r="R109">
        <v>4.9000000000000002E-2</v>
      </c>
    </row>
    <row r="110" spans="1:20" x14ac:dyDescent="0.2">
      <c r="B110" t="s">
        <v>175</v>
      </c>
      <c r="F110">
        <v>7.3999999999999996E-2</v>
      </c>
      <c r="K110">
        <v>4.9000000000000002E-2</v>
      </c>
      <c r="L110">
        <v>0.105</v>
      </c>
      <c r="M110">
        <v>0.121</v>
      </c>
      <c r="N110">
        <v>0.14899999999999999</v>
      </c>
      <c r="O110">
        <v>0.33800000000000002</v>
      </c>
      <c r="P110">
        <v>0.33800000000000002</v>
      </c>
      <c r="Q110">
        <v>0.17399999999999999</v>
      </c>
      <c r="R110">
        <v>0.27400000000000002</v>
      </c>
    </row>
    <row r="111" spans="1:20" x14ac:dyDescent="0.2">
      <c r="B111" t="s">
        <v>176</v>
      </c>
      <c r="F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0.34899999999999998</v>
      </c>
      <c r="R111">
        <v>0.34899999999999998</v>
      </c>
    </row>
    <row r="112" spans="1:20" x14ac:dyDescent="0.2">
      <c r="B112" t="s">
        <v>177</v>
      </c>
    </row>
    <row r="113" spans="2:18" x14ac:dyDescent="0.2">
      <c r="B113" t="s">
        <v>178</v>
      </c>
      <c r="F113">
        <v>-2.4220000000000002</v>
      </c>
      <c r="K113">
        <v>-2.1309999999999998</v>
      </c>
      <c r="L113">
        <v>-4.984</v>
      </c>
      <c r="M113">
        <v>-3.7570000000000001</v>
      </c>
      <c r="N113">
        <v>-7.52</v>
      </c>
      <c r="O113">
        <v>-3.1739999999999999</v>
      </c>
      <c r="P113">
        <v>-3.1739999999999999</v>
      </c>
      <c r="Q113">
        <v>-2.4740000000000002</v>
      </c>
      <c r="R113">
        <v>-2.339</v>
      </c>
    </row>
    <row r="114" spans="2:18" x14ac:dyDescent="0.2">
      <c r="B114" t="s">
        <v>84</v>
      </c>
      <c r="F114">
        <v>-2.968</v>
      </c>
      <c r="K114">
        <v>-5.399</v>
      </c>
      <c r="L114">
        <v>-13.356</v>
      </c>
      <c r="M114">
        <v>-5.649</v>
      </c>
      <c r="N114">
        <v>-9.7620000000000005</v>
      </c>
      <c r="O114">
        <v>-4.4180000000000001</v>
      </c>
      <c r="P114">
        <v>-4.4180000000000001</v>
      </c>
      <c r="Q114">
        <v>-4.3689999999999998</v>
      </c>
      <c r="R114">
        <v>-2.5680000000000001</v>
      </c>
    </row>
    <row r="115" spans="2:18" x14ac:dyDescent="0.2">
      <c r="B115" t="s">
        <v>179</v>
      </c>
      <c r="F115">
        <v>-1.2649999999999999</v>
      </c>
      <c r="K115">
        <v>-1.827</v>
      </c>
      <c r="L115">
        <v>-2.1</v>
      </c>
      <c r="M115">
        <v>-1.5169999999999999</v>
      </c>
      <c r="N115">
        <v>-2.0219999999999998</v>
      </c>
      <c r="O115">
        <v>-4.3319999999999999</v>
      </c>
      <c r="P115">
        <v>-4.3319999999999999</v>
      </c>
      <c r="Q115">
        <v>-2.6659999999999999</v>
      </c>
      <c r="R115">
        <v>-0.98099999999999998</v>
      </c>
    </row>
    <row r="116" spans="2:18" x14ac:dyDescent="0.2">
      <c r="B116" t="s">
        <v>180</v>
      </c>
      <c r="F116">
        <v>14.15</v>
      </c>
      <c r="K116">
        <v>20.82</v>
      </c>
      <c r="L116">
        <v>-1.4999999999999999E-2</v>
      </c>
      <c r="M116">
        <v>2.4969999999999999</v>
      </c>
      <c r="N116">
        <v>24.744</v>
      </c>
      <c r="O116">
        <v>54.234999999999999</v>
      </c>
      <c r="P116">
        <v>54.234999999999999</v>
      </c>
      <c r="Q116">
        <v>-34.417000000000002</v>
      </c>
      <c r="R116">
        <v>-36.133000000000003</v>
      </c>
    </row>
    <row r="117" spans="2:18" x14ac:dyDescent="0.2">
      <c r="B117" t="s">
        <v>181</v>
      </c>
      <c r="F117">
        <v>8.3290000000000006</v>
      </c>
      <c r="K117">
        <v>21.091999999999999</v>
      </c>
      <c r="L117">
        <v>5.3719999999999999</v>
      </c>
      <c r="M117">
        <v>6.0309999999999997</v>
      </c>
      <c r="N117">
        <v>17.864000000000001</v>
      </c>
      <c r="O117">
        <v>22.901</v>
      </c>
      <c r="P117">
        <v>22.901</v>
      </c>
      <c r="Q117">
        <v>2.4119999999999999</v>
      </c>
      <c r="R117">
        <v>2.903</v>
      </c>
    </row>
    <row r="118" spans="2:18" x14ac:dyDescent="0.2">
      <c r="B118" t="s">
        <v>182</v>
      </c>
      <c r="F118">
        <v>6.0860000000000003</v>
      </c>
      <c r="K118">
        <v>13.590999999999999</v>
      </c>
      <c r="L118">
        <v>29.759</v>
      </c>
      <c r="M118">
        <v>24.39</v>
      </c>
      <c r="N118">
        <v>44.856999999999999</v>
      </c>
      <c r="O118">
        <v>21.012</v>
      </c>
      <c r="P118">
        <v>21.012</v>
      </c>
      <c r="Q118">
        <v>15.484</v>
      </c>
      <c r="R118">
        <v>6.3650000000000002</v>
      </c>
    </row>
    <row r="119" spans="2:18" x14ac:dyDescent="0.2">
      <c r="B119" t="s">
        <v>183</v>
      </c>
      <c r="F119" s="55">
        <f>SUM(F104:F118)</f>
        <v>16.282999999999998</v>
      </c>
      <c r="K119" s="55">
        <f>SUM(K104:K118)</f>
        <v>73.119999999999962</v>
      </c>
      <c r="L119" s="26">
        <v>17.406000000000006</v>
      </c>
      <c r="M119" s="26">
        <v>39.270999999999987</v>
      </c>
      <c r="N119" s="26">
        <v>91.312000000000012</v>
      </c>
      <c r="O119" s="26">
        <v>130.0139999999999</v>
      </c>
      <c r="P119" s="55">
        <f>SUM(P104:P118)</f>
        <v>130.0139999999999</v>
      </c>
      <c r="Q119" s="26">
        <v>-19.175000000000004</v>
      </c>
      <c r="R119" s="26">
        <v>-13.209000000000033</v>
      </c>
    </row>
    <row r="120" spans="2:18" x14ac:dyDescent="0.2">
      <c r="B120" s="12" t="s">
        <v>184</v>
      </c>
    </row>
    <row r="121" spans="2:18" x14ac:dyDescent="0.2">
      <c r="B121" t="s">
        <v>185</v>
      </c>
      <c r="F121">
        <v>-7.8579999999999997</v>
      </c>
      <c r="K121">
        <v>-19.606000000000002</v>
      </c>
      <c r="L121">
        <v>-15.760999999999999</v>
      </c>
      <c r="M121">
        <v>-37.536999999999999</v>
      </c>
      <c r="N121">
        <v>-58.365000000000002</v>
      </c>
      <c r="O121">
        <v>-67.757000000000005</v>
      </c>
      <c r="P121">
        <v>-67.757000000000005</v>
      </c>
      <c r="Q121">
        <v>-9.8190000000000008</v>
      </c>
      <c r="R121">
        <v>-19.54</v>
      </c>
    </row>
    <row r="122" spans="2:18" x14ac:dyDescent="0.2">
      <c r="B122" t="s">
        <v>186</v>
      </c>
      <c r="F122">
        <v>-10.199999999999999</v>
      </c>
      <c r="K122">
        <v>-36.012</v>
      </c>
      <c r="L122">
        <v>-59.996000000000002</v>
      </c>
      <c r="M122">
        <v>-59.996000000000002</v>
      </c>
      <c r="N122">
        <v>-112.94799999999999</v>
      </c>
      <c r="O122">
        <v>-191.44800000000001</v>
      </c>
      <c r="P122">
        <v>-191.44800000000001</v>
      </c>
      <c r="Q122">
        <v>-132.03899999999999</v>
      </c>
      <c r="R122">
        <v>-163.56</v>
      </c>
    </row>
    <row r="123" spans="2:18" x14ac:dyDescent="0.2">
      <c r="B123" t="s">
        <v>187</v>
      </c>
      <c r="F123">
        <f>16-9.281+11.2</f>
        <v>17.918999999999997</v>
      </c>
      <c r="K123">
        <f>26-6+6.682</f>
        <v>26.682000000000002</v>
      </c>
      <c r="L123">
        <v>25</v>
      </c>
      <c r="M123">
        <v>25</v>
      </c>
      <c r="N123">
        <v>78</v>
      </c>
      <c r="O123">
        <v>78</v>
      </c>
      <c r="P123">
        <v>78</v>
      </c>
      <c r="Q123">
        <v>232</v>
      </c>
      <c r="R123">
        <v>263.5</v>
      </c>
    </row>
    <row r="124" spans="2:18" x14ac:dyDescent="0.2">
      <c r="B124" t="s">
        <v>188</v>
      </c>
      <c r="F124" s="1">
        <f>SUM(F121:F123)</f>
        <v>-0.1390000000000029</v>
      </c>
      <c r="K124" s="1">
        <f>SUM(K121:K123)</f>
        <v>-28.936</v>
      </c>
      <c r="L124" s="3">
        <v>-50.757000000000005</v>
      </c>
      <c r="M124" s="3">
        <v>-72.533000000000001</v>
      </c>
      <c r="N124" s="3">
        <v>-93.312999999999988</v>
      </c>
      <c r="O124" s="3">
        <v>-181.20500000000004</v>
      </c>
      <c r="P124" s="1">
        <f>SUM(P121:P123)</f>
        <v>-181.20500000000004</v>
      </c>
      <c r="Q124" s="3">
        <v>90.142000000000024</v>
      </c>
      <c r="R124" s="3">
        <v>80.400000000000006</v>
      </c>
    </row>
    <row r="125" spans="2:18" x14ac:dyDescent="0.2">
      <c r="B125" s="12" t="s">
        <v>189</v>
      </c>
    </row>
    <row r="126" spans="2:18" x14ac:dyDescent="0.2">
      <c r="B126" t="s">
        <v>190</v>
      </c>
      <c r="F126">
        <v>0</v>
      </c>
      <c r="K126">
        <v>0</v>
      </c>
      <c r="L126">
        <v>0.215</v>
      </c>
      <c r="M126">
        <v>1.526</v>
      </c>
      <c r="N126">
        <v>3.1360000000000001</v>
      </c>
      <c r="O126">
        <v>3.9660000000000002</v>
      </c>
      <c r="P126">
        <v>3.9660000000000002</v>
      </c>
      <c r="Q126">
        <v>1.385</v>
      </c>
      <c r="R126">
        <v>4.0590000000000002</v>
      </c>
    </row>
    <row r="127" spans="2:18" x14ac:dyDescent="0.2">
      <c r="B127" t="s">
        <v>174</v>
      </c>
      <c r="F127">
        <v>0</v>
      </c>
      <c r="K127">
        <v>0</v>
      </c>
      <c r="L127">
        <v>0</v>
      </c>
      <c r="M127">
        <v>0</v>
      </c>
      <c r="N127">
        <v>0.64500000000000002</v>
      </c>
      <c r="O127">
        <v>0.28000000000000003</v>
      </c>
      <c r="P127">
        <v>0.28000000000000003</v>
      </c>
      <c r="Q127">
        <v>-5.0000000000000001E-3</v>
      </c>
      <c r="R127">
        <v>-0.129</v>
      </c>
    </row>
    <row r="128" spans="2:18" x14ac:dyDescent="0.2">
      <c r="B128" t="s">
        <v>191</v>
      </c>
      <c r="F128">
        <v>0</v>
      </c>
      <c r="K128">
        <v>-2.9329999999999998</v>
      </c>
      <c r="L128">
        <v>-0.38500000000000001</v>
      </c>
      <c r="M128">
        <v>-0.38500000000000001</v>
      </c>
      <c r="N128">
        <v>-0.38500000000000001</v>
      </c>
      <c r="O128">
        <v>-0.38500000000000001</v>
      </c>
      <c r="P128">
        <v>-0.38500000000000001</v>
      </c>
      <c r="Q128">
        <v>0</v>
      </c>
      <c r="R128">
        <v>0</v>
      </c>
    </row>
    <row r="129" spans="1:20" x14ac:dyDescent="0.2">
      <c r="B129" t="s">
        <v>192</v>
      </c>
      <c r="F129">
        <v>0</v>
      </c>
      <c r="K129">
        <v>-2.8000000000000001E-2</v>
      </c>
      <c r="L129">
        <v>-0.14899999999999999</v>
      </c>
      <c r="M129">
        <v>-0.40899999999999997</v>
      </c>
      <c r="N129">
        <v>-0.41199999999999998</v>
      </c>
      <c r="O129">
        <v>-0.40799999999999997</v>
      </c>
      <c r="P129">
        <v>-0.40799999999999997</v>
      </c>
      <c r="Q129">
        <v>0</v>
      </c>
      <c r="R129">
        <v>0</v>
      </c>
    </row>
    <row r="130" spans="1:20" x14ac:dyDescent="0.2">
      <c r="B130" t="s">
        <v>193</v>
      </c>
      <c r="F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-31.315000000000001</v>
      </c>
      <c r="R130">
        <v>-31.315000000000001</v>
      </c>
    </row>
    <row r="131" spans="1:20" x14ac:dyDescent="0.2">
      <c r="B131" t="s">
        <v>292</v>
      </c>
      <c r="F131">
        <f>85-0.085+0.078-32.5</f>
        <v>52.493000000000009</v>
      </c>
      <c r="K131">
        <f>150.863+1.029</f>
        <v>151.892</v>
      </c>
      <c r="P131">
        <v>0</v>
      </c>
    </row>
    <row r="132" spans="1:20" x14ac:dyDescent="0.2">
      <c r="B132" t="s">
        <v>194</v>
      </c>
      <c r="F132" s="1">
        <f>SUM(F126:F131)</f>
        <v>52.493000000000009</v>
      </c>
      <c r="K132" s="1">
        <f>SUM(K126:K131)</f>
        <v>148.93099999999998</v>
      </c>
      <c r="L132" s="3">
        <v>-0.31900000000000001</v>
      </c>
      <c r="M132" s="3">
        <v>0.73199999999999998</v>
      </c>
      <c r="N132" s="3">
        <v>2.984</v>
      </c>
      <c r="O132" s="3">
        <v>3.4530000000000007</v>
      </c>
      <c r="P132" s="1">
        <f>SUM(P126:P131)</f>
        <v>3.4530000000000007</v>
      </c>
      <c r="Q132" s="3">
        <v>-29.935000000000002</v>
      </c>
      <c r="R132" s="3">
        <v>-27.385000000000002</v>
      </c>
    </row>
    <row r="133" spans="1:20" x14ac:dyDescent="0.2">
      <c r="B133" t="s">
        <v>195</v>
      </c>
      <c r="F133">
        <v>0</v>
      </c>
      <c r="K133">
        <v>-2.4E-2</v>
      </c>
      <c r="L133">
        <v>-2E-3</v>
      </c>
      <c r="M133">
        <v>-2E-3</v>
      </c>
      <c r="N133">
        <v>-3.3000000000000002E-2</v>
      </c>
      <c r="O133">
        <v>-5.8999999999999997E-2</v>
      </c>
      <c r="P133">
        <v>-5.8999999999999997E-2</v>
      </c>
      <c r="Q133">
        <v>-8.0000000000000002E-3</v>
      </c>
      <c r="R133">
        <v>-3.2000000000000001E-2</v>
      </c>
    </row>
    <row r="134" spans="1:20" x14ac:dyDescent="0.2">
      <c r="B134" t="s">
        <v>196</v>
      </c>
      <c r="F134" s="55">
        <f>F133+F132+F124+F119</f>
        <v>68.637</v>
      </c>
      <c r="K134" s="55">
        <f>K133+K132+K124+K119</f>
        <v>193.09099999999995</v>
      </c>
      <c r="L134" s="25">
        <v>-33.671999999999997</v>
      </c>
      <c r="M134" s="25">
        <v>-32.531999999999996</v>
      </c>
      <c r="N134" s="25">
        <v>0.9500000000000236</v>
      </c>
      <c r="O134" s="25">
        <v>-47.797000000000139</v>
      </c>
      <c r="P134" s="55">
        <f>P133+P132+P124+P119</f>
        <v>-47.797000000000139</v>
      </c>
      <c r="Q134" s="25">
        <v>41.024000000000008</v>
      </c>
      <c r="R134" s="25">
        <v>39.773999999999972</v>
      </c>
    </row>
    <row r="135" spans="1:20" x14ac:dyDescent="0.2">
      <c r="A135" s="27"/>
      <c r="B135" s="27" t="s">
        <v>197</v>
      </c>
      <c r="C135" s="27"/>
      <c r="D135" s="27"/>
      <c r="E135" s="27"/>
      <c r="F135" s="27">
        <v>28.361000000000001</v>
      </c>
      <c r="G135" s="27"/>
      <c r="H135" s="27"/>
      <c r="I135" s="27"/>
      <c r="J135" s="27"/>
      <c r="K135" s="27">
        <v>96.998000000000005</v>
      </c>
      <c r="L135" s="27">
        <v>290.089</v>
      </c>
      <c r="M135" s="27">
        <v>290.089</v>
      </c>
      <c r="N135" s="27">
        <v>290.089</v>
      </c>
      <c r="O135" s="27">
        <v>290.089</v>
      </c>
      <c r="P135" s="27">
        <v>290.089</v>
      </c>
      <c r="Q135" s="27">
        <v>242.292</v>
      </c>
      <c r="R135" s="27">
        <v>242.292</v>
      </c>
      <c r="S135" s="27"/>
      <c r="T135" s="27"/>
    </row>
    <row r="136" spans="1:20" x14ac:dyDescent="0.2">
      <c r="A136" s="27"/>
      <c r="B136" s="27" t="s">
        <v>198</v>
      </c>
      <c r="C136" s="27"/>
      <c r="D136" s="27"/>
      <c r="E136" s="27"/>
      <c r="F136" s="58">
        <f>F135+F134</f>
        <v>96.998000000000005</v>
      </c>
      <c r="G136" s="27"/>
      <c r="H136" s="27"/>
      <c r="I136" s="27"/>
      <c r="J136" s="27"/>
      <c r="K136" s="58">
        <f>K135+K134</f>
        <v>290.08899999999994</v>
      </c>
      <c r="L136" s="28">
        <v>256.41700000000003</v>
      </c>
      <c r="M136" s="28">
        <v>257.55700000000002</v>
      </c>
      <c r="N136" s="28">
        <v>291.03900000000004</v>
      </c>
      <c r="O136" s="28">
        <v>242.29199999999986</v>
      </c>
      <c r="P136" s="57">
        <f>P135+P134</f>
        <v>242.29199999999986</v>
      </c>
      <c r="Q136" s="57">
        <v>283.31600000000003</v>
      </c>
      <c r="R136" s="57">
        <v>282.06599999999997</v>
      </c>
      <c r="S136" s="27"/>
      <c r="T136" s="27"/>
    </row>
    <row r="137" spans="1:20" x14ac:dyDescent="0.2">
      <c r="B137" t="s">
        <v>199</v>
      </c>
    </row>
    <row r="138" spans="1:20" x14ac:dyDescent="0.2">
      <c r="B138" t="s">
        <v>200</v>
      </c>
      <c r="L138">
        <v>1.8979999999999999</v>
      </c>
      <c r="M138">
        <v>1.851</v>
      </c>
      <c r="N138">
        <v>3.5760000000000001</v>
      </c>
      <c r="O138">
        <v>0.28799999999999998</v>
      </c>
      <c r="P138">
        <v>0.28799999999999998</v>
      </c>
      <c r="Q138">
        <v>0.56000000000000005</v>
      </c>
      <c r="R138">
        <v>0.55800000000000005</v>
      </c>
    </row>
    <row r="139" spans="1:20" x14ac:dyDescent="0.2">
      <c r="B139" t="s">
        <v>201</v>
      </c>
      <c r="L139">
        <v>1.6E-2</v>
      </c>
      <c r="M139">
        <v>1.6E-2</v>
      </c>
      <c r="N139">
        <v>1.6E-2</v>
      </c>
      <c r="O139">
        <v>1.6E-2</v>
      </c>
      <c r="P139">
        <v>1.6E-2</v>
      </c>
      <c r="Q139">
        <v>82</v>
      </c>
      <c r="R139">
        <v>0.193</v>
      </c>
    </row>
    <row r="143" spans="1:20" x14ac:dyDescent="0.2">
      <c r="B143" t="s">
        <v>202</v>
      </c>
      <c r="C143">
        <v>123882103</v>
      </c>
    </row>
    <row r="144" spans="1:20" x14ac:dyDescent="0.2">
      <c r="B144" t="s">
        <v>203</v>
      </c>
      <c r="C144">
        <v>9.375</v>
      </c>
    </row>
    <row r="145" spans="2:3" x14ac:dyDescent="0.2">
      <c r="B145">
        <v>0.309</v>
      </c>
      <c r="C145">
        <v>1071827955.156</v>
      </c>
    </row>
    <row r="146" spans="2:3" x14ac:dyDescent="0.2">
      <c r="C146">
        <v>38279569.827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QVC Group</vt:lpstr>
      <vt:lpstr>QVC</vt:lpstr>
      <vt:lpstr>zulily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2016-04-10T23:03:10Z</dcterms:created>
  <dcterms:modified xsi:type="dcterms:W3CDTF">2016-07-17T19:30:01Z</dcterms:modified>
</cp:coreProperties>
</file>