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F:\Monash Text Books\Sem 4\BIM\Assignment\Big Assignment\"/>
    </mc:Choice>
  </mc:AlternateContent>
  <xr:revisionPtr revIDLastSave="0" documentId="13_ncr:1_{0BBC1573-445B-4098-AA0F-4ED16433B167}" xr6:coauthVersionLast="45" xr6:coauthVersionMax="45" xr10:uidLastSave="{00000000-0000-0000-0000-000000000000}"/>
  <bookViews>
    <workbookView xWindow="-108" yWindow="-108" windowWidth="23256" windowHeight="12576" tabRatio="816" xr2:uid="{00000000-000D-0000-FFFF-FFFF00000000}"/>
  </bookViews>
  <sheets>
    <sheet name="LotsOfProducts 1b" sheetId="1" r:id="rId1"/>
    <sheet name="Qu1c Sensitivity Rep" sheetId="6" r:id="rId2"/>
    <sheet name="Qu1e Answer Rep" sheetId="5" r:id="rId3"/>
    <sheet name="LotsOfProducts 1f" sheetId="42" r:id="rId4"/>
    <sheet name="LotsOfProducts 1g" sheetId="14" r:id="rId5"/>
    <sheet name="Qu1g Sensitivity Rep" sheetId="43" r:id="rId6"/>
    <sheet name="LotsOfProducts 1h" sheetId="25" r:id="rId7"/>
    <sheet name="LotsOfProducts 1i" sheetId="27" r:id="rId8"/>
    <sheet name="LotsOfProducts 1j" sheetId="28" r:id="rId9"/>
    <sheet name="LotsOfProducts 1k" sheetId="29" r:id="rId10"/>
    <sheet name="LotsOfProducts 1l" sheetId="45" r:id="rId11"/>
    <sheet name="LotsOfProducts 1m" sheetId="31" r:id="rId12"/>
    <sheet name="LotsOfProducts 1n" sheetId="32" r:id="rId13"/>
    <sheet name="LotsOfProducts 1o" sheetId="33" r:id="rId14"/>
    <sheet name="LotsOfProducts 1p" sheetId="35" r:id="rId15"/>
    <sheet name="LotsOfProducts 1q" sheetId="47" r:id="rId16"/>
    <sheet name="LotsOfProducts 1r" sheetId="48" r:id="rId17"/>
    <sheet name="T&amp;N 2c" sheetId="39" r:id="rId18"/>
    <sheet name="T&amp;N 2f" sheetId="53" r:id="rId19"/>
    <sheet name="T&amp;N 2g" sheetId="54" r:id="rId20"/>
    <sheet name="T&amp;N 2h" sheetId="55" r:id="rId21"/>
    <sheet name="T&amp;N 2i part 1" sheetId="56" r:id="rId22"/>
    <sheet name="T&amp;N 2i part 2" sheetId="57" r:id="rId23"/>
    <sheet name="EOQ q3" sheetId="40" r:id="rId24"/>
  </sheets>
  <definedNames>
    <definedName name="solver_adj" localSheetId="23" hidden="1">'EOQ q3'!$B$9:$E$9</definedName>
    <definedName name="solver_adj" localSheetId="0" hidden="1">'LotsOfProducts 1b'!$B$3:$F$3</definedName>
    <definedName name="solver_adj" localSheetId="3" hidden="1">'LotsOfProducts 1f'!$B$3:$F$3</definedName>
    <definedName name="solver_adj" localSheetId="4" hidden="1">'LotsOfProducts 1g'!$B$3:$G$3</definedName>
    <definedName name="solver_adj" localSheetId="6" hidden="1">'LotsOfProducts 1h'!$B$3:$F$3</definedName>
    <definedName name="solver_adj" localSheetId="7" hidden="1">'LotsOfProducts 1i'!$B$3:$F$3</definedName>
    <definedName name="solver_adj" localSheetId="8" hidden="1">'LotsOfProducts 1j'!$B$3:$F$3</definedName>
    <definedName name="solver_adj" localSheetId="9" hidden="1">'LotsOfProducts 1k'!$B$3:$F$3</definedName>
    <definedName name="solver_adj" localSheetId="10" hidden="1">'LotsOfProducts 1l'!$B$3:$F$3</definedName>
    <definedName name="solver_adj" localSheetId="11" hidden="1">'LotsOfProducts 1m'!$B$3:$F$3</definedName>
    <definedName name="solver_adj" localSheetId="12" hidden="1">'LotsOfProducts 1n'!$B$2:$F$2,'LotsOfProducts 1n'!$B$15:$F$15</definedName>
    <definedName name="solver_adj" localSheetId="13" hidden="1">'LotsOfProducts 1o'!$B$2:$F$2,'LotsOfProducts 1o'!$B$15:$F$15</definedName>
    <definedName name="solver_adj" localSheetId="14" hidden="1">'LotsOfProducts 1p'!$B$2:$F$2,'LotsOfProducts 1p'!$B$15:$C$15,'LotsOfProducts 1p'!$E$15:$F$15,'LotsOfProducts 1p'!$B$19:$F$19</definedName>
    <definedName name="solver_adj" localSheetId="15" hidden="1">'LotsOfProducts 1q'!$B$2:$F$2,'LotsOfProducts 1q'!$B$15,'LotsOfProducts 1q'!$D$15,'LotsOfProducts 1q'!$F$15,'LotsOfProducts 1q'!$B$19:$F$19,'LotsOfProducts 1q'!$B$24:$F$24</definedName>
    <definedName name="solver_adj" localSheetId="16" hidden="1">'LotsOfProducts 1r'!$B$2:$F$2,'LotsOfProducts 1r'!$B$15:$F$15</definedName>
    <definedName name="solver_adj" localSheetId="17" hidden="1">'T&amp;N 2c'!$A$3:$A$14</definedName>
    <definedName name="solver_adj" localSheetId="18" hidden="1">'T&amp;N 2f'!$A$3:$A$15</definedName>
    <definedName name="solver_adj" localSheetId="19" hidden="1">'T&amp;N 2g'!$A$3:$A$16</definedName>
    <definedName name="solver_adj" localSheetId="20" hidden="1">'T&amp;N 2h'!$A$3:$A$10</definedName>
    <definedName name="solver_adj" localSheetId="21" hidden="1">'T&amp;N 2i part 1'!$A$3:$A$10</definedName>
    <definedName name="solver_adj" localSheetId="22" hidden="1">'T&amp;N 2i part 2'!$A$3:$A$10</definedName>
    <definedName name="solver_cvg" localSheetId="23" hidden="1">0.0001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20" hidden="1">0.0001</definedName>
    <definedName name="solver_cvg" localSheetId="21" hidden="1">0.0001</definedName>
    <definedName name="solver_cvg" localSheetId="22" hidden="1">0.0001</definedName>
    <definedName name="solver_drv" localSheetId="23" hidden="1">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eng" localSheetId="23" hidden="1">1</definedName>
    <definedName name="solver_eng" localSheetId="0" hidden="1">2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ng" localSheetId="20" hidden="1">2</definedName>
    <definedName name="solver_eng" localSheetId="21" hidden="1">2</definedName>
    <definedName name="solver_eng" localSheetId="22" hidden="1">2</definedName>
    <definedName name="solver_est" localSheetId="23" hidden="1">1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itr" localSheetId="23" hidden="1">2147483647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20" hidden="1">2147483647</definedName>
    <definedName name="solver_itr" localSheetId="21" hidden="1">2147483647</definedName>
    <definedName name="solver_itr" localSheetId="22" hidden="1">2147483647</definedName>
    <definedName name="solver_lhs0" localSheetId="14" hidden="1">'LotsOfProducts 1p'!$G$8:$G$13</definedName>
    <definedName name="solver_lhs0" localSheetId="15" hidden="1">'LotsOfProducts 1q'!$G$8:$G$13</definedName>
    <definedName name="solver_lhs0" localSheetId="21" hidden="1">'T&amp;N 2i part 1'!$H$3:$H$8</definedName>
    <definedName name="solver_lhs0" localSheetId="22" hidden="1">'T&amp;N 2i part 2'!$H$3:$H$8</definedName>
    <definedName name="solver_lhs1" localSheetId="23" hidden="1">'EOQ q3'!$B$9:$E$9</definedName>
    <definedName name="solver_lhs1" localSheetId="0" hidden="1">'LotsOfProducts 1b'!$G$5:$G$10</definedName>
    <definedName name="solver_lhs1" localSheetId="3" hidden="1">'LotsOfProducts 1f'!$G$5:$G$10</definedName>
    <definedName name="solver_lhs1" localSheetId="4" hidden="1">'LotsOfProducts 1g'!$H$5:$H$10</definedName>
    <definedName name="solver_lhs1" localSheetId="6" hidden="1">'LotsOfProducts 1h'!$G$5:$G$10</definedName>
    <definedName name="solver_lhs1" localSheetId="7" hidden="1">'LotsOfProducts 1i'!$G$5:$G$10</definedName>
    <definedName name="solver_lhs1" localSheetId="8" hidden="1">'LotsOfProducts 1j'!$G$5:$G$10</definedName>
    <definedName name="solver_lhs1" localSheetId="9" hidden="1">'LotsOfProducts 1k'!$B$3</definedName>
    <definedName name="solver_lhs1" localSheetId="10" hidden="1">'LotsOfProducts 1l'!$B$3</definedName>
    <definedName name="solver_lhs1" localSheetId="11" hidden="1">'LotsOfProducts 1m'!$B$3:$F$3</definedName>
    <definedName name="solver_lhs1" localSheetId="12" hidden="1">'LotsOfProducts 1n'!$B$15:$F$15</definedName>
    <definedName name="solver_lhs1" localSheetId="13" hidden="1">'LotsOfProducts 1o'!$B$15:$F$15</definedName>
    <definedName name="solver_lhs1" localSheetId="14" hidden="1">'LotsOfProducts 1p'!$B$15:$C$15</definedName>
    <definedName name="solver_lhs1" localSheetId="15" hidden="1">'LotsOfProducts 1q'!$B$15</definedName>
    <definedName name="solver_lhs1" localSheetId="16" hidden="1">'LotsOfProducts 1r'!$B$15:$F$15</definedName>
    <definedName name="solver_lhs1" localSheetId="17" hidden="1">'T&amp;N 2c'!$H$3:$H$10</definedName>
    <definedName name="solver_lhs1" localSheetId="18" hidden="1">'T&amp;N 2f'!$A$9</definedName>
    <definedName name="solver_lhs1" localSheetId="19" hidden="1">'T&amp;N 2g'!$A$10</definedName>
    <definedName name="solver_lhs1" localSheetId="20" hidden="1">'T&amp;N 2h'!$A$3:$A$10</definedName>
    <definedName name="solver_lhs1" localSheetId="21" hidden="1">'T&amp;N 2i part 1'!$A$3:$A$10</definedName>
    <definedName name="solver_lhs1" localSheetId="22" hidden="1">'T&amp;N 2i part 2'!$D$15</definedName>
    <definedName name="solver_lhs10" localSheetId="15" hidden="1">'LotsOfProducts 1q'!$D$15</definedName>
    <definedName name="solver_lhs10" localSheetId="16" hidden="1">'LotsOfProducts 1r'!$E$2</definedName>
    <definedName name="solver_lhs11" localSheetId="15" hidden="1">'LotsOfProducts 1q'!$D$16</definedName>
    <definedName name="solver_lhs11" localSheetId="16" hidden="1">'LotsOfProducts 1r'!$G$8:$G$13</definedName>
    <definedName name="solver_lhs12" localSheetId="15" hidden="1">'LotsOfProducts 1q'!$F$15</definedName>
    <definedName name="solver_lhs13" localSheetId="15" hidden="1">'LotsOfProducts 1q'!$F$16</definedName>
    <definedName name="solver_lhs14" localSheetId="15" hidden="1">'LotsOfProducts 1q'!$G$8:$G$13</definedName>
    <definedName name="solver_lhs2" localSheetId="23" hidden="1">'EOQ q3'!$B$9:$E$9</definedName>
    <definedName name="solver_lhs2" localSheetId="9" hidden="1">'LotsOfProducts 1k'!$C$3</definedName>
    <definedName name="solver_lhs2" localSheetId="10" hidden="1">'LotsOfProducts 1l'!$C$3</definedName>
    <definedName name="solver_lhs2" localSheetId="11" hidden="1">'LotsOfProducts 1m'!$G$5:$G$10</definedName>
    <definedName name="solver_lhs2" localSheetId="12" hidden="1">'LotsOfProducts 1n'!$B$16:$F$16</definedName>
    <definedName name="solver_lhs2" localSheetId="13" hidden="1">'LotsOfProducts 1o'!$B$16:$F$16</definedName>
    <definedName name="solver_lhs2" localSheetId="14" hidden="1">'LotsOfProducts 1p'!$B$16:$C$16</definedName>
    <definedName name="solver_lhs2" localSheetId="15" hidden="1">'LotsOfProducts 1q'!$B$16</definedName>
    <definedName name="solver_lhs2" localSheetId="16" hidden="1">'LotsOfProducts 1r'!$B$16:$F$16</definedName>
    <definedName name="solver_lhs2" localSheetId="18" hidden="1">'T&amp;N 2f'!$H$3:$H$10</definedName>
    <definedName name="solver_lhs2" localSheetId="19" hidden="1">'T&amp;N 2g'!$A$9</definedName>
    <definedName name="solver_lhs2" localSheetId="20" hidden="1">'T&amp;N 2h'!$H$3:$H$8</definedName>
    <definedName name="solver_lhs2" localSheetId="21" hidden="1">'T&amp;N 2i part 1'!$H$3:$H$8</definedName>
    <definedName name="solver_lhs2" localSheetId="22" hidden="1">'T&amp;N 2i part 2'!$A$3:$A$10</definedName>
    <definedName name="solver_lhs3" localSheetId="23" hidden="1">'EOQ q3'!$B$9:$E$9</definedName>
    <definedName name="solver_lhs3" localSheetId="9" hidden="1">'LotsOfProducts 1k'!$G$5:$G$10</definedName>
    <definedName name="solver_lhs3" localSheetId="10" hidden="1">'LotsOfProducts 1l'!$G$5:$G$10</definedName>
    <definedName name="solver_lhs3" localSheetId="12" hidden="1">'LotsOfProducts 1n'!$B$2:$F$2</definedName>
    <definedName name="solver_lhs3" localSheetId="13" hidden="1">'LotsOfProducts 1o'!$B$2:$F$2</definedName>
    <definedName name="solver_lhs3" localSheetId="14" hidden="1">'LotsOfProducts 1p'!$B$19:$F$19</definedName>
    <definedName name="solver_lhs3" localSheetId="15" hidden="1">'LotsOfProducts 1q'!$B$19:$F$19</definedName>
    <definedName name="solver_lhs3" localSheetId="16" hidden="1">'LotsOfProducts 1r'!$B$18</definedName>
    <definedName name="solver_lhs3" localSheetId="18" hidden="1">'T&amp;N 2f'!$H$3:$H$10</definedName>
    <definedName name="solver_lhs3" localSheetId="19" hidden="1">'T&amp;N 2g'!$H$3:$H$10</definedName>
    <definedName name="solver_lhs3" localSheetId="21" hidden="1">'T&amp;N 2i part 1'!$D$15</definedName>
    <definedName name="solver_lhs3" localSheetId="22" hidden="1">'T&amp;N 2i part 2'!$H$3:$H$8</definedName>
    <definedName name="solver_lhs4" localSheetId="12" hidden="1">'LotsOfProducts 1n'!$G$8:$G$13</definedName>
    <definedName name="solver_lhs4" localSheetId="13" hidden="1">'LotsOfProducts 1o'!$D$18</definedName>
    <definedName name="solver_lhs4" localSheetId="14" hidden="1">'LotsOfProducts 1p'!$B$20:$F$20</definedName>
    <definedName name="solver_lhs4" localSheetId="15" hidden="1">'LotsOfProducts 1q'!$B$20:$F$20</definedName>
    <definedName name="solver_lhs4" localSheetId="16" hidden="1">'LotsOfProducts 1r'!$B$19</definedName>
    <definedName name="solver_lhs4" localSheetId="21" hidden="1">'T&amp;N 2i part 1'!$H$3:$H$8</definedName>
    <definedName name="solver_lhs4" localSheetId="22" hidden="1">'T&amp;N 2i part 2'!$H$3:$H$8</definedName>
    <definedName name="solver_lhs5" localSheetId="13" hidden="1">'LotsOfProducts 1o'!$D$20</definedName>
    <definedName name="solver_lhs5" localSheetId="14" hidden="1">'LotsOfProducts 1p'!$B$21</definedName>
    <definedName name="solver_lhs5" localSheetId="15" hidden="1">'LotsOfProducts 1q'!$B$21</definedName>
    <definedName name="solver_lhs5" localSheetId="16" hidden="1">'LotsOfProducts 1r'!$B$2</definedName>
    <definedName name="solver_lhs5" localSheetId="21" hidden="1">'T&amp;N 2i part 1'!$H$3:$H$8</definedName>
    <definedName name="solver_lhs5" localSheetId="22" hidden="1">'T&amp;N 2i part 2'!$H$3:$H$8</definedName>
    <definedName name="solver_lhs6" localSheetId="13" hidden="1">'LotsOfProducts 1o'!$G$8:$G$13</definedName>
    <definedName name="solver_lhs6" localSheetId="14" hidden="1">'LotsOfProducts 1p'!$B$2:$F$2</definedName>
    <definedName name="solver_lhs6" localSheetId="15" hidden="1">'LotsOfProducts 1q'!$B$24:$F$24</definedName>
    <definedName name="solver_lhs6" localSheetId="16" hidden="1">'LotsOfProducts 1r'!$B$20</definedName>
    <definedName name="solver_lhs7" localSheetId="14" hidden="1">'LotsOfProducts 1p'!$E$15:$F$15</definedName>
    <definedName name="solver_lhs7" localSheetId="15" hidden="1">'LotsOfProducts 1q'!$B$25:$F$25</definedName>
    <definedName name="solver_lhs7" localSheetId="16" hidden="1">'LotsOfProducts 1r'!$B$21</definedName>
    <definedName name="solver_lhs8" localSheetId="14" hidden="1">'LotsOfProducts 1p'!$E$16:$F$16</definedName>
    <definedName name="solver_lhs8" localSheetId="15" hidden="1">'LotsOfProducts 1q'!$B$26</definedName>
    <definedName name="solver_lhs8" localSheetId="16" hidden="1">'LotsOfProducts 1r'!$B$22</definedName>
    <definedName name="solver_lhs9" localSheetId="14" hidden="1">'LotsOfProducts 1p'!$G$8:$G$13</definedName>
    <definedName name="solver_lhs9" localSheetId="15" hidden="1">'LotsOfProducts 1q'!$B$2:$F$2</definedName>
    <definedName name="solver_lhs9" localSheetId="16" hidden="1">'LotsOfProducts 1r'!$B$2:$F$2</definedName>
    <definedName name="solver_mip" localSheetId="23" hidden="1">2147483647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20" hidden="1">2147483647</definedName>
    <definedName name="solver_mip" localSheetId="21" hidden="1">2147483647</definedName>
    <definedName name="solver_mip" localSheetId="22" hidden="1">2147483647</definedName>
    <definedName name="solver_mni" localSheetId="23" hidden="1">30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20" hidden="1">30</definedName>
    <definedName name="solver_mni" localSheetId="21" hidden="1">30</definedName>
    <definedName name="solver_mni" localSheetId="22" hidden="1">30</definedName>
    <definedName name="solver_mrt" localSheetId="23" hidden="1">0.075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20" hidden="1">0.075</definedName>
    <definedName name="solver_mrt" localSheetId="21" hidden="1">0.075</definedName>
    <definedName name="solver_mrt" localSheetId="22" hidden="1">0.075</definedName>
    <definedName name="solver_msl" localSheetId="23" hidden="1">2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20" hidden="1">2</definedName>
    <definedName name="solver_msl" localSheetId="21" hidden="1">2</definedName>
    <definedName name="solver_msl" localSheetId="22" hidden="1">2</definedName>
    <definedName name="solver_neg" localSheetId="23" hidden="1">1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od" localSheetId="23" hidden="1">2147483647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20" hidden="1">2147483647</definedName>
    <definedName name="solver_nod" localSheetId="21" hidden="1">2147483647</definedName>
    <definedName name="solver_nod" localSheetId="22" hidden="1">2147483647</definedName>
    <definedName name="solver_num" localSheetId="23" hidden="1">2</definedName>
    <definedName name="solver_num" localSheetId="0" hidden="1">1</definedName>
    <definedName name="solver_num" localSheetId="3" hidden="1">1</definedName>
    <definedName name="solver_num" localSheetId="4" hidden="1">1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9" hidden="1">3</definedName>
    <definedName name="solver_num" localSheetId="10" hidden="1">3</definedName>
    <definedName name="solver_num" localSheetId="11" hidden="1">2</definedName>
    <definedName name="solver_num" localSheetId="12" hidden="1">4</definedName>
    <definedName name="solver_num" localSheetId="13" hidden="1">6</definedName>
    <definedName name="solver_num" localSheetId="14" hidden="1">9</definedName>
    <definedName name="solver_num" localSheetId="15" hidden="1">14</definedName>
    <definedName name="solver_num" localSheetId="16" hidden="1">11</definedName>
    <definedName name="solver_num" localSheetId="17" hidden="1">1</definedName>
    <definedName name="solver_num" localSheetId="18" hidden="1">2</definedName>
    <definedName name="solver_num" localSheetId="19" hidden="1">3</definedName>
    <definedName name="solver_num" localSheetId="20" hidden="1">2</definedName>
    <definedName name="solver_num" localSheetId="21" hidden="1">3</definedName>
    <definedName name="solver_num" localSheetId="22" hidden="1">3</definedName>
    <definedName name="solver_nwt" localSheetId="23" hidden="1">1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opt" localSheetId="23" hidden="1">'EOQ q3'!$B$16</definedName>
    <definedName name="solver_opt" localSheetId="0" hidden="1">'LotsOfProducts 1b'!$B$12</definedName>
    <definedName name="solver_opt" localSheetId="3" hidden="1">'LotsOfProducts 1f'!$B$12</definedName>
    <definedName name="solver_opt" localSheetId="4" hidden="1">'LotsOfProducts 1g'!$B$12</definedName>
    <definedName name="solver_opt" localSheetId="6" hidden="1">'LotsOfProducts 1h'!$B$12</definedName>
    <definedName name="solver_opt" localSheetId="7" hidden="1">'LotsOfProducts 1i'!$B$12</definedName>
    <definedName name="solver_opt" localSheetId="8" hidden="1">'LotsOfProducts 1j'!$B$12</definedName>
    <definedName name="solver_opt" localSheetId="9" hidden="1">'LotsOfProducts 1k'!$B$12</definedName>
    <definedName name="solver_opt" localSheetId="10" hidden="1">'LotsOfProducts 1l'!$B$12</definedName>
    <definedName name="solver_opt" localSheetId="11" hidden="1">'LotsOfProducts 1m'!$B$12</definedName>
    <definedName name="solver_opt" localSheetId="12" hidden="1">'LotsOfProducts 1n'!$H$5</definedName>
    <definedName name="solver_opt" localSheetId="13" hidden="1">'LotsOfProducts 1o'!$H$5</definedName>
    <definedName name="solver_opt" localSheetId="14" hidden="1">'LotsOfProducts 1p'!$H$5</definedName>
    <definedName name="solver_opt" localSheetId="15" hidden="1">'LotsOfProducts 1q'!$H$5</definedName>
    <definedName name="solver_opt" localSheetId="16" hidden="1">'LotsOfProducts 1r'!$H$5</definedName>
    <definedName name="solver_opt" localSheetId="17" hidden="1">'T&amp;N 2c'!$D$17</definedName>
    <definedName name="solver_opt" localSheetId="18" hidden="1">'T&amp;N 2f'!$D$18</definedName>
    <definedName name="solver_opt" localSheetId="19" hidden="1">'T&amp;N 2g'!$D$19</definedName>
    <definedName name="solver_opt" localSheetId="20" hidden="1">'T&amp;N 2h'!$D$12</definedName>
    <definedName name="solver_opt" localSheetId="21" hidden="1">'T&amp;N 2i part 1'!$D$12</definedName>
    <definedName name="solver_opt" localSheetId="22" hidden="1">'T&amp;N 2i part 2'!$D$12</definedName>
    <definedName name="solver_pre" localSheetId="23" hidden="1">0.000001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rbv" localSheetId="23" hidden="1">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2</definedName>
    <definedName name="solver_rbv" localSheetId="18" hidden="1">2</definedName>
    <definedName name="solver_rbv" localSheetId="19" hidden="1">2</definedName>
    <definedName name="solver_rbv" localSheetId="20" hidden="1">2</definedName>
    <definedName name="solver_rbv" localSheetId="21" hidden="1">2</definedName>
    <definedName name="solver_rbv" localSheetId="22" hidden="1">2</definedName>
    <definedName name="solver_rel0" localSheetId="14" hidden="1">1</definedName>
    <definedName name="solver_rel0" localSheetId="15" hidden="1">1</definedName>
    <definedName name="solver_rel0" localSheetId="21" hidden="1">2</definedName>
    <definedName name="solver_rel0" localSheetId="22" hidden="1">2</definedName>
    <definedName name="solver_rel1" localSheetId="23" hidden="1">1</definedName>
    <definedName name="solver_rel1" localSheetId="0" hidden="1">1</definedName>
    <definedName name="solver_rel1" localSheetId="3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2</definedName>
    <definedName name="solver_rel1" localSheetId="10" hidden="1">2</definedName>
    <definedName name="solver_rel1" localSheetId="11" hidden="1">4</definedName>
    <definedName name="solver_rel1" localSheetId="12" hidden="1">5</definedName>
    <definedName name="solver_rel1" localSheetId="13" hidden="1">5</definedName>
    <definedName name="solver_rel1" localSheetId="14" hidden="1">5</definedName>
    <definedName name="solver_rel1" localSheetId="15" hidden="1">5</definedName>
    <definedName name="solver_rel1" localSheetId="16" hidden="1">5</definedName>
    <definedName name="solver_rel1" localSheetId="17" hidden="1">2</definedName>
    <definedName name="solver_rel1" localSheetId="18" hidden="1">1</definedName>
    <definedName name="solver_rel1" localSheetId="19" hidden="1">1</definedName>
    <definedName name="solver_rel1" localSheetId="20" hidden="1">3</definedName>
    <definedName name="solver_rel1" localSheetId="21" hidden="1">3</definedName>
    <definedName name="solver_rel1" localSheetId="22" hidden="1">2</definedName>
    <definedName name="solver_rel10" localSheetId="15" hidden="1">5</definedName>
    <definedName name="solver_rel10" localSheetId="16" hidden="1">2</definedName>
    <definedName name="solver_rel11" localSheetId="15" hidden="1">1</definedName>
    <definedName name="solver_rel11" localSheetId="16" hidden="1">1</definedName>
    <definedName name="solver_rel12" localSheetId="15" hidden="1">5</definedName>
    <definedName name="solver_rel13" localSheetId="15" hidden="1">1</definedName>
    <definedName name="solver_rel14" localSheetId="15" hidden="1">1</definedName>
    <definedName name="solver_rel2" localSheetId="23" hidden="1">3</definedName>
    <definedName name="solver_rel2" localSheetId="9" hidden="1">2</definedName>
    <definedName name="solver_rel2" localSheetId="10" hidden="1">2</definedName>
    <definedName name="solver_rel2" localSheetId="11" hidden="1">1</definedName>
    <definedName name="solver_rel2" localSheetId="12" hidden="1">1</definedName>
    <definedName name="solver_rel2" localSheetId="13" hidden="1">1</definedName>
    <definedName name="solver_rel2" localSheetId="14" hidden="1">1</definedName>
    <definedName name="solver_rel2" localSheetId="15" hidden="1">1</definedName>
    <definedName name="solver_rel2" localSheetId="16" hidden="1">1</definedName>
    <definedName name="solver_rel2" localSheetId="18" hidden="1">2</definedName>
    <definedName name="solver_rel2" localSheetId="19" hidden="1">1</definedName>
    <definedName name="solver_rel2" localSheetId="20" hidden="1">2</definedName>
    <definedName name="solver_rel2" localSheetId="21" hidden="1">2</definedName>
    <definedName name="solver_rel2" localSheetId="22" hidden="1">3</definedName>
    <definedName name="solver_rel3" localSheetId="23" hidden="1">3</definedName>
    <definedName name="solver_rel3" localSheetId="9" hidden="1">1</definedName>
    <definedName name="solver_rel3" localSheetId="10" hidden="1">1</definedName>
    <definedName name="solver_rel3" localSheetId="12" hidden="1">4</definedName>
    <definedName name="solver_rel3" localSheetId="13" hidden="1">4</definedName>
    <definedName name="solver_rel3" localSheetId="14" hidden="1">5</definedName>
    <definedName name="solver_rel3" localSheetId="15" hidden="1">5</definedName>
    <definedName name="solver_rel3" localSheetId="16" hidden="1">1</definedName>
    <definedName name="solver_rel3" localSheetId="18" hidden="1">2</definedName>
    <definedName name="solver_rel3" localSheetId="19" hidden="1">2</definedName>
    <definedName name="solver_rel3" localSheetId="21" hidden="1">2</definedName>
    <definedName name="solver_rel3" localSheetId="22" hidden="1">2</definedName>
    <definedName name="solver_rel4" localSheetId="12" hidden="1">1</definedName>
    <definedName name="solver_rel4" localSheetId="13" hidden="1">3</definedName>
    <definedName name="solver_rel4" localSheetId="14" hidden="1">2</definedName>
    <definedName name="solver_rel4" localSheetId="15" hidden="1">2</definedName>
    <definedName name="solver_rel4" localSheetId="16" hidden="1">1</definedName>
    <definedName name="solver_rel4" localSheetId="21" hidden="1">2</definedName>
    <definedName name="solver_rel4" localSheetId="22" hidden="1">2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2</definedName>
    <definedName name="solver_rel5" localSheetId="21" hidden="1">2</definedName>
    <definedName name="solver_rel5" localSheetId="22" hidden="1">2</definedName>
    <definedName name="solver_rel6" localSheetId="13" hidden="1">1</definedName>
    <definedName name="solver_rel6" localSheetId="14" hidden="1">4</definedName>
    <definedName name="solver_rel6" localSheetId="15" hidden="1">5</definedName>
    <definedName name="solver_rel6" localSheetId="16" hidden="1">1</definedName>
    <definedName name="solver_rel7" localSheetId="14" hidden="1">5</definedName>
    <definedName name="solver_rel7" localSheetId="15" hidden="1">2</definedName>
    <definedName name="solver_rel7" localSheetId="16" hidden="1">3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9" localSheetId="14" hidden="1">1</definedName>
    <definedName name="solver_rel9" localSheetId="15" hidden="1">4</definedName>
    <definedName name="solver_rel9" localSheetId="16" hidden="1">4</definedName>
    <definedName name="solver_rhs0" localSheetId="14" hidden="1">'LotsOfProducts 1p'!$H$8:$H$13</definedName>
    <definedName name="solver_rhs0" localSheetId="15" hidden="1">'LotsOfProducts 1q'!$H$8:$H$13</definedName>
    <definedName name="solver_rhs0" localSheetId="21" hidden="1">'T&amp;N 2i part 1'!$I$3:$I$8</definedName>
    <definedName name="solver_rhs0" localSheetId="22" hidden="1">'T&amp;N 2i part 2'!$I$3:$I$8</definedName>
    <definedName name="solver_rhs1" localSheetId="23" hidden="1">'EOQ q3'!$B$5:$E$5</definedName>
    <definedName name="solver_rhs1" localSheetId="0" hidden="1">'LotsOfProducts 1b'!$H$5:$H$10</definedName>
    <definedName name="solver_rhs1" localSheetId="3" hidden="1">'LotsOfProducts 1f'!$H$5:$H$10</definedName>
    <definedName name="solver_rhs1" localSheetId="4" hidden="1">'LotsOfProducts 1g'!$I$5:$I$10</definedName>
    <definedName name="solver_rhs1" localSheetId="6" hidden="1">'LotsOfProducts 1h'!$H$5:$H$10</definedName>
    <definedName name="solver_rhs1" localSheetId="7" hidden="1">'LotsOfProducts 1i'!$H$5:$H$10</definedName>
    <definedName name="solver_rhs1" localSheetId="8" hidden="1">'LotsOfProducts 1j'!$H$5:$H$10</definedName>
    <definedName name="solver_rhs1" localSheetId="9" hidden="1">'LotsOfProducts 1k'!$C$3</definedName>
    <definedName name="solver_rhs1" localSheetId="10" hidden="1">'LotsOfProducts 1l'!$C$3</definedName>
    <definedName name="solver_rhs1" localSheetId="11" hidden="1">integer</definedName>
    <definedName name="solver_rhs1" localSheetId="12" hidden="1">binary</definedName>
    <definedName name="solver_rhs1" localSheetId="13" hidden="1">binary</definedName>
    <definedName name="solver_rhs1" localSheetId="14" hidden="1">binary</definedName>
    <definedName name="solver_rhs1" localSheetId="15" hidden="1">binary</definedName>
    <definedName name="solver_rhs1" localSheetId="16" hidden="1">binary</definedName>
    <definedName name="solver_rhs1" localSheetId="17" hidden="1">'T&amp;N 2c'!$I$3:$I$10</definedName>
    <definedName name="solver_rhs1" localSheetId="18" hidden="1">30</definedName>
    <definedName name="solver_rhs1" localSheetId="19" hidden="1">25</definedName>
    <definedName name="solver_rhs1" localSheetId="20" hidden="1">0</definedName>
    <definedName name="solver_rhs1" localSheetId="21" hidden="1">0</definedName>
    <definedName name="solver_rhs1" localSheetId="22" hidden="1">1</definedName>
    <definedName name="solver_rhs10" localSheetId="15" hidden="1">binary</definedName>
    <definedName name="solver_rhs10" localSheetId="16" hidden="1">'LotsOfProducts 1r'!$F$2</definedName>
    <definedName name="solver_rhs11" localSheetId="15" hidden="1">0</definedName>
    <definedName name="solver_rhs11" localSheetId="16" hidden="1">'LotsOfProducts 1r'!$H$8:$H$13</definedName>
    <definedName name="solver_rhs12" localSheetId="15" hidden="1">binary</definedName>
    <definedName name="solver_rhs13" localSheetId="15" hidden="1">0</definedName>
    <definedName name="solver_rhs14" localSheetId="15" hidden="1">'LotsOfProducts 1q'!$H$8:$H$13</definedName>
    <definedName name="solver_rhs2" localSheetId="23" hidden="1">'EOQ q3'!$B$4:$E$4</definedName>
    <definedName name="solver_rhs2" localSheetId="9" hidden="1">'LotsOfProducts 1k'!$F$3</definedName>
    <definedName name="solver_rhs2" localSheetId="10" hidden="1">'LotsOfProducts 1l'!$F$3</definedName>
    <definedName name="solver_rhs2" localSheetId="11" hidden="1">'LotsOfProducts 1m'!$H$5:$H$10</definedName>
    <definedName name="solver_rhs2" localSheetId="12" hidden="1">0</definedName>
    <definedName name="solver_rhs2" localSheetId="13" hidden="1">0</definedName>
    <definedName name="solver_rhs2" localSheetId="14" hidden="1">0</definedName>
    <definedName name="solver_rhs2" localSheetId="15" hidden="1">0</definedName>
    <definedName name="solver_rhs2" localSheetId="16" hidden="1">0</definedName>
    <definedName name="solver_rhs2" localSheetId="18" hidden="1">'T&amp;N 2f'!$I$3:$I$10</definedName>
    <definedName name="solver_rhs2" localSheetId="19" hidden="1">30</definedName>
    <definedName name="solver_rhs2" localSheetId="20" hidden="1">'T&amp;N 2h'!$I$3:$I$8</definedName>
    <definedName name="solver_rhs2" localSheetId="21" hidden="1">'T&amp;N 2i part 1'!$I$3:$I$8</definedName>
    <definedName name="solver_rhs2" localSheetId="22" hidden="1">0</definedName>
    <definedName name="solver_rhs3" localSheetId="23" hidden="1">1</definedName>
    <definedName name="solver_rhs3" localSheetId="9" hidden="1">'LotsOfProducts 1k'!$H$5:$H$10</definedName>
    <definedName name="solver_rhs3" localSheetId="10" hidden="1">'LotsOfProducts 1l'!$H$5:$H$10</definedName>
    <definedName name="solver_rhs3" localSheetId="12" hidden="1">integer</definedName>
    <definedName name="solver_rhs3" localSheetId="13" hidden="1">integer</definedName>
    <definedName name="solver_rhs3" localSheetId="14" hidden="1">binary</definedName>
    <definedName name="solver_rhs3" localSheetId="15" hidden="1">binary</definedName>
    <definedName name="solver_rhs3" localSheetId="16" hidden="1">1</definedName>
    <definedName name="solver_rhs3" localSheetId="18" hidden="1">'T&amp;N 2f'!$I$3:$I$10</definedName>
    <definedName name="solver_rhs3" localSheetId="19" hidden="1">'T&amp;N 2g'!$I$3:$I$10</definedName>
    <definedName name="solver_rhs3" localSheetId="21" hidden="1">1</definedName>
    <definedName name="solver_rhs3" localSheetId="22" hidden="1">'T&amp;N 2i part 2'!$I$3:$I$8</definedName>
    <definedName name="solver_rhs4" localSheetId="12" hidden="1">'LotsOfProducts 1n'!$H$8:$H$13</definedName>
    <definedName name="solver_rhs4" localSheetId="13" hidden="1">0</definedName>
    <definedName name="solver_rhs4" localSheetId="14" hidden="1">0</definedName>
    <definedName name="solver_rhs4" localSheetId="15" hidden="1">0</definedName>
    <definedName name="solver_rhs4" localSheetId="16" hidden="1">1</definedName>
    <definedName name="solver_rhs4" localSheetId="21" hidden="1">'T&amp;N 2i part 1'!$I$3:$I$8</definedName>
    <definedName name="solver_rhs4" localSheetId="22" hidden="1">'T&amp;N 2i part 2'!$I$3:$I$8</definedName>
    <definedName name="solver_rhs5" localSheetId="13" hidden="1">0</definedName>
    <definedName name="solver_rhs5" localSheetId="14" hidden="1">1</definedName>
    <definedName name="solver_rhs5" localSheetId="15" hidden="1">1</definedName>
    <definedName name="solver_rhs5" localSheetId="16" hidden="1">'LotsOfProducts 1r'!$C$2</definedName>
    <definedName name="solver_rhs5" localSheetId="21" hidden="1">'T&amp;N 2i part 1'!$I$3:$I$8</definedName>
    <definedName name="solver_rhs5" localSheetId="22" hidden="1">'T&amp;N 2i part 2'!$I$3:$I$8</definedName>
    <definedName name="solver_rhs6" localSheetId="13" hidden="1">'LotsOfProducts 1o'!$H$8:$H$13</definedName>
    <definedName name="solver_rhs6" localSheetId="14" hidden="1">integer</definedName>
    <definedName name="solver_rhs6" localSheetId="15" hidden="1">binary</definedName>
    <definedName name="solver_rhs6" localSheetId="16" hidden="1">0</definedName>
    <definedName name="solver_rhs7" localSheetId="14" hidden="1">binary</definedName>
    <definedName name="solver_rhs7" localSheetId="15" hidden="1">0</definedName>
    <definedName name="solver_rhs7" localSheetId="16" hidden="1">0</definedName>
    <definedName name="solver_rhs8" localSheetId="14" hidden="1">0</definedName>
    <definedName name="solver_rhs8" localSheetId="15" hidden="1">1</definedName>
    <definedName name="solver_rhs8" localSheetId="16" hidden="1">0</definedName>
    <definedName name="solver_rhs9" localSheetId="14" hidden="1">'LotsOfProducts 1p'!$H$8:$H$13</definedName>
    <definedName name="solver_rhs9" localSheetId="15" hidden="1">integer</definedName>
    <definedName name="solver_rhs9" localSheetId="16" hidden="1">integer</definedName>
    <definedName name="solver_rlx" localSheetId="23" hidden="1">2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20" hidden="1">2</definedName>
    <definedName name="solver_rlx" localSheetId="21" hidden="1">2</definedName>
    <definedName name="solver_rlx" localSheetId="22" hidden="1">2</definedName>
    <definedName name="solver_rsd" localSheetId="23" hidden="1">0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20" hidden="1">0</definedName>
    <definedName name="solver_rsd" localSheetId="21" hidden="1">0</definedName>
    <definedName name="solver_rsd" localSheetId="22" hidden="1">0</definedName>
    <definedName name="solver_scl" localSheetId="23" hidden="1">1</definedName>
    <definedName name="solver_scl" localSheetId="0" hidden="1">1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2</definedName>
    <definedName name="solver_scl" localSheetId="18" hidden="1">2</definedName>
    <definedName name="solver_scl" localSheetId="19" hidden="1">2</definedName>
    <definedName name="solver_scl" localSheetId="20" hidden="1">2</definedName>
    <definedName name="solver_scl" localSheetId="21" hidden="1">2</definedName>
    <definedName name="solver_scl" localSheetId="22" hidden="1">2</definedName>
    <definedName name="solver_sho" localSheetId="23" hidden="1">2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sz" localSheetId="23" hidden="1">100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20" hidden="1">100</definedName>
    <definedName name="solver_ssz" localSheetId="21" hidden="1">100</definedName>
    <definedName name="solver_ssz" localSheetId="22" hidden="1">100</definedName>
    <definedName name="solver_tim" localSheetId="23" hidden="1">2147483647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20" hidden="1">2147483647</definedName>
    <definedName name="solver_tim" localSheetId="21" hidden="1">2147483647</definedName>
    <definedName name="solver_tim" localSheetId="22" hidden="1">2147483647</definedName>
    <definedName name="solver_tol" localSheetId="23" hidden="1">0.01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ol" localSheetId="20" hidden="1">0.01</definedName>
    <definedName name="solver_tol" localSheetId="21" hidden="1">0.01</definedName>
    <definedName name="solver_tol" localSheetId="22" hidden="1">0.01</definedName>
    <definedName name="solver_typ" localSheetId="23" hidden="1">2</definedName>
    <definedName name="solver_typ" localSheetId="0" hidden="1">1</definedName>
    <definedName name="solver_typ" localSheetId="3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15" hidden="1">1</definedName>
    <definedName name="solver_typ" localSheetId="16" hidden="1">1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val" localSheetId="23" hidden="1">0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er" localSheetId="23" hidden="1">3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7" l="1"/>
  <c r="D12" i="57"/>
  <c r="H8" i="57"/>
  <c r="H7" i="57"/>
  <c r="H6" i="57"/>
  <c r="H5" i="57"/>
  <c r="H4" i="57"/>
  <c r="H3" i="57"/>
  <c r="D15" i="56"/>
  <c r="D12" i="56"/>
  <c r="H8" i="56"/>
  <c r="H7" i="56"/>
  <c r="H6" i="56"/>
  <c r="H5" i="56"/>
  <c r="H4" i="56"/>
  <c r="H3" i="56"/>
  <c r="D15" i="55"/>
  <c r="D12" i="55"/>
  <c r="H8" i="55"/>
  <c r="H7" i="55"/>
  <c r="H6" i="55"/>
  <c r="H5" i="55"/>
  <c r="H4" i="55"/>
  <c r="H3" i="55"/>
  <c r="D22" i="54"/>
  <c r="D19" i="54"/>
  <c r="H10" i="54"/>
  <c r="H9" i="54"/>
  <c r="H8" i="54"/>
  <c r="H7" i="54"/>
  <c r="H6" i="54"/>
  <c r="H5" i="54"/>
  <c r="H4" i="54"/>
  <c r="H3" i="54"/>
  <c r="D21" i="53"/>
  <c r="D18" i="53"/>
  <c r="H10" i="53"/>
  <c r="H9" i="53"/>
  <c r="H8" i="53"/>
  <c r="H7" i="53"/>
  <c r="H6" i="53"/>
  <c r="H5" i="53"/>
  <c r="H4" i="53"/>
  <c r="H3" i="53"/>
  <c r="D20" i="39"/>
  <c r="H5" i="48"/>
  <c r="B22" i="48"/>
  <c r="B21" i="48"/>
  <c r="B20" i="48"/>
  <c r="B19" i="48"/>
  <c r="B18" i="48"/>
  <c r="F16" i="48"/>
  <c r="E16" i="48"/>
  <c r="D16" i="48"/>
  <c r="C16" i="48"/>
  <c r="B16" i="48"/>
  <c r="G13" i="48"/>
  <c r="G12" i="48"/>
  <c r="G11" i="48"/>
  <c r="G10" i="48"/>
  <c r="G9" i="48"/>
  <c r="G8" i="48"/>
  <c r="B21" i="47"/>
  <c r="B26" i="47"/>
  <c r="H5" i="47"/>
  <c r="C25" i="47"/>
  <c r="D25" i="47"/>
  <c r="E25" i="47"/>
  <c r="F25" i="47"/>
  <c r="B25" i="47"/>
  <c r="F20" i="47"/>
  <c r="E20" i="47"/>
  <c r="D20" i="47"/>
  <c r="C20" i="47"/>
  <c r="B20" i="47"/>
  <c r="D16" i="47"/>
  <c r="F16" i="47"/>
  <c r="B16" i="47"/>
  <c r="G13" i="47"/>
  <c r="G12" i="47"/>
  <c r="G11" i="47"/>
  <c r="G10" i="47"/>
  <c r="G9" i="47"/>
  <c r="G8" i="47"/>
  <c r="H5" i="35"/>
  <c r="D20" i="33"/>
  <c r="H5" i="33"/>
  <c r="B12" i="31"/>
  <c r="B12" i="45"/>
  <c r="B20" i="45" s="1"/>
  <c r="B12" i="29"/>
  <c r="G6" i="31"/>
  <c r="G7" i="31"/>
  <c r="G8" i="31"/>
  <c r="G9" i="31"/>
  <c r="G10" i="31"/>
  <c r="G5" i="31"/>
  <c r="G6" i="45"/>
  <c r="G7" i="45"/>
  <c r="G8" i="45"/>
  <c r="G9" i="45"/>
  <c r="G10" i="45"/>
  <c r="G5" i="45"/>
  <c r="G6" i="29"/>
  <c r="G7" i="29"/>
  <c r="G8" i="29"/>
  <c r="G9" i="29"/>
  <c r="G10" i="29"/>
  <c r="G5" i="29"/>
  <c r="B12" i="28"/>
  <c r="G6" i="28"/>
  <c r="G7" i="28"/>
  <c r="G8" i="28"/>
  <c r="G9" i="28"/>
  <c r="G10" i="28"/>
  <c r="G5" i="28"/>
  <c r="B12" i="27"/>
  <c r="G6" i="27"/>
  <c r="G7" i="27"/>
  <c r="G8" i="27"/>
  <c r="G9" i="27"/>
  <c r="G10" i="27"/>
  <c r="G5" i="27"/>
  <c r="B29" i="25"/>
  <c r="B12" i="25"/>
  <c r="G6" i="25"/>
  <c r="G7" i="25"/>
  <c r="G8" i="25"/>
  <c r="G9" i="25"/>
  <c r="G10" i="25"/>
  <c r="G5" i="25"/>
  <c r="K10" i="6"/>
  <c r="K11" i="6"/>
  <c r="K12" i="6"/>
  <c r="K13" i="6"/>
  <c r="K9" i="6"/>
  <c r="J10" i="6"/>
  <c r="J11" i="6"/>
  <c r="J12" i="6"/>
  <c r="J13" i="6"/>
  <c r="J9" i="6"/>
  <c r="J14" i="43"/>
  <c r="B12" i="14"/>
  <c r="H6" i="14"/>
  <c r="H7" i="14"/>
  <c r="H8" i="14"/>
  <c r="H9" i="14"/>
  <c r="H10" i="14"/>
  <c r="H5" i="14"/>
  <c r="B20" i="42"/>
  <c r="B12" i="42"/>
  <c r="G10" i="42"/>
  <c r="G9" i="42"/>
  <c r="G8" i="42"/>
  <c r="G7" i="42"/>
  <c r="G6" i="42"/>
  <c r="G5" i="42"/>
  <c r="G6" i="1"/>
  <c r="G7" i="1"/>
  <c r="G8" i="1"/>
  <c r="G9" i="1"/>
  <c r="G10" i="1"/>
  <c r="G5" i="1"/>
  <c r="B12" i="1"/>
  <c r="B18" i="40" l="1"/>
  <c r="B19" i="40" s="1"/>
  <c r="C19" i="40" s="1"/>
  <c r="D19" i="40" s="1"/>
  <c r="C13" i="40" l="1"/>
  <c r="D13" i="40"/>
  <c r="E13" i="40"/>
  <c r="C12" i="40"/>
  <c r="D12" i="40"/>
  <c r="E12" i="40"/>
  <c r="C11" i="40"/>
  <c r="D11" i="40"/>
  <c r="E11" i="40"/>
  <c r="B11" i="40"/>
  <c r="B13" i="40"/>
  <c r="B12" i="40"/>
  <c r="D14" i="40" l="1"/>
  <c r="C14" i="40"/>
  <c r="E14" i="40"/>
  <c r="B14" i="40"/>
  <c r="H3" i="39"/>
  <c r="D17" i="39"/>
  <c r="H4" i="39"/>
  <c r="H5" i="39"/>
  <c r="H6" i="39"/>
  <c r="H7" i="39"/>
  <c r="H8" i="39"/>
  <c r="H9" i="39"/>
  <c r="H10" i="39"/>
  <c r="B16" i="40" l="1"/>
  <c r="B21" i="35"/>
  <c r="C20" i="35"/>
  <c r="D20" i="35"/>
  <c r="E20" i="35"/>
  <c r="F20" i="35"/>
  <c r="B20" i="35"/>
  <c r="F16" i="35"/>
  <c r="E16" i="35"/>
  <c r="C16" i="35"/>
  <c r="B16" i="35"/>
  <c r="G13" i="35"/>
  <c r="G12" i="35"/>
  <c r="G11" i="35"/>
  <c r="G10" i="35"/>
  <c r="G9" i="35"/>
  <c r="G8" i="35"/>
  <c r="D18" i="33" l="1"/>
  <c r="F16" i="33"/>
  <c r="E16" i="33"/>
  <c r="C16" i="33"/>
  <c r="B16" i="33"/>
  <c r="G13" i="33"/>
  <c r="G12" i="33"/>
  <c r="G11" i="33"/>
  <c r="G10" i="33"/>
  <c r="G9" i="33"/>
  <c r="G8" i="33"/>
  <c r="H5" i="32"/>
  <c r="C16" i="32"/>
  <c r="D16" i="32"/>
  <c r="E16" i="32"/>
  <c r="F16" i="32"/>
  <c r="B16" i="32"/>
  <c r="G9" i="32"/>
  <c r="G10" i="32"/>
  <c r="G11" i="32"/>
  <c r="G12" i="32"/>
  <c r="G13" i="32"/>
  <c r="G8" i="32"/>
  <c r="B20" i="29" l="1"/>
  <c r="E22" i="25" l="1"/>
  <c r="G22" i="25" s="1"/>
  <c r="E23" i="25"/>
  <c r="G23" i="25" s="1"/>
  <c r="E24" i="25"/>
  <c r="G24" i="25" s="1"/>
  <c r="E25" i="25"/>
  <c r="G25" i="25" s="1"/>
  <c r="E21" i="25"/>
  <c r="G21" i="25" s="1"/>
  <c r="G26" i="25" l="1"/>
  <c r="K19" i="6"/>
  <c r="K20" i="6"/>
  <c r="K21" i="6"/>
  <c r="K22" i="6"/>
  <c r="K23" i="6"/>
  <c r="K18" i="6"/>
  <c r="J19" i="6"/>
  <c r="J20" i="6"/>
  <c r="J21" i="6"/>
  <c r="J22" i="6"/>
  <c r="J23" i="6"/>
  <c r="J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veruv</author>
  </authors>
  <commentList>
    <comment ref="D16" authorId="0" shapeId="0" xr:uid="{12B1ADCE-0E77-43E1-BBEF-E3BF289A2FCA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This constraint is set to 0 as the deciding factors are min max constraints.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veruv</author>
  </authors>
  <commentList>
    <comment ref="D15" authorId="0" shapeId="0" xr:uid="{65986E9F-1383-4FEE-B7FD-1945A954F5F3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constraints for product 3 are below.</t>
        </r>
      </text>
    </comment>
    <comment ref="D16" authorId="0" shapeId="0" xr:uid="{05002906-84C2-4D4E-96A2-F00F900F1905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constraints for product 3 are below.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veruv</author>
  </authors>
  <commentList>
    <comment ref="C15" authorId="0" shapeId="0" xr:uid="{D6892ABE-9B88-41F7-803F-A347D5FB13C8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 for product 2 is below</t>
        </r>
      </text>
    </comment>
    <comment ref="E15" authorId="0" shapeId="0" xr:uid="{ECB35C1B-9981-476E-869D-9A765C39E2D2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 for product 4 is below</t>
        </r>
      </text>
    </comment>
    <comment ref="C16" authorId="0" shapeId="0" xr:uid="{F07C1713-2359-43DC-BB1D-FE780A59C975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 for product 2 is below</t>
        </r>
      </text>
    </comment>
    <comment ref="E16" authorId="0" shapeId="0" xr:uid="{1EF32955-35AC-469D-943F-589757C693BF}">
      <text>
        <r>
          <rPr>
            <b/>
            <sz val="9"/>
            <color indexed="81"/>
            <rFont val="Tahoma"/>
            <family val="2"/>
          </rPr>
          <t>veruv:</t>
        </r>
        <r>
          <rPr>
            <sz val="9"/>
            <color indexed="81"/>
            <rFont val="Tahoma"/>
            <family val="2"/>
          </rPr>
          <t xml:space="preserve">
space filler as main constraint for product 4 is below</t>
        </r>
      </text>
    </comment>
  </commentList>
</comments>
</file>

<file path=xl/sharedStrings.xml><?xml version="1.0" encoding="utf-8"?>
<sst xmlns="http://schemas.openxmlformats.org/spreadsheetml/2006/main" count="721" uniqueCount="227">
  <si>
    <t xml:space="preserve">Product 1 </t>
  </si>
  <si>
    <t xml:space="preserve">Product 2 </t>
  </si>
  <si>
    <t>Product 3</t>
  </si>
  <si>
    <t>Product 4</t>
  </si>
  <si>
    <t>Product 5</t>
  </si>
  <si>
    <t>Profit of Product</t>
  </si>
  <si>
    <t>Resource 1</t>
  </si>
  <si>
    <t>Resource 2</t>
  </si>
  <si>
    <t>Resource 3</t>
  </si>
  <si>
    <t>Resource 4</t>
  </si>
  <si>
    <t>Resource 5</t>
  </si>
  <si>
    <t>Resource 6</t>
  </si>
  <si>
    <t># of Products</t>
  </si>
  <si>
    <t>Maximize Profit</t>
  </si>
  <si>
    <t>Decision Variables</t>
  </si>
  <si>
    <t>B3:F3</t>
  </si>
  <si>
    <t>Constraints</t>
  </si>
  <si>
    <t>Optimization function</t>
  </si>
  <si>
    <t>B12</t>
  </si>
  <si>
    <t>Also, non negativity constraint for each variable</t>
  </si>
  <si>
    <t>Microsoft Excel 16.0 Sensitivity Report</t>
  </si>
  <si>
    <t>Worksheet: [VERUVA-30513669-2ndSem2020FIT5097.xlsx]LotsOfProducts 1b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</si>
  <si>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</si>
  <si>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</si>
  <si>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</si>
  <si>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</si>
  <si>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</si>
  <si>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</si>
  <si>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</si>
  <si>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</si>
  <si>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</si>
  <si>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</si>
  <si>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</si>
  <si>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</si>
  <si>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</si>
  <si>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</si>
  <si>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</si>
  <si>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</si>
  <si>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</si>
  <si>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 xml:space="preserve"># of Products Product 1 </t>
  </si>
  <si>
    <t>$C$3</t>
  </si>
  <si>
    <t xml:space="preserve"># of Products Product 2 </t>
  </si>
  <si>
    <t>$D$3</t>
  </si>
  <si>
    <t># of Products Product 3</t>
  </si>
  <si>
    <t>$E$3</t>
  </si>
  <si>
    <t># of Products Product 4</t>
  </si>
  <si>
    <t>$F$3</t>
  </si>
  <si>
    <t># of Products Product 5</t>
  </si>
  <si>
    <t>$G$5</t>
  </si>
  <si>
    <t>$G$6</t>
  </si>
  <si>
    <t>$G$7</t>
  </si>
  <si>
    <t>$G$8</t>
  </si>
  <si>
    <t>$G$9</t>
  </si>
  <si>
    <t>$G$10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</si>
  <si>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</si>
  <si>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</si>
  <si>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</si>
  <si>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</si>
  <si>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</si>
  <si>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</si>
  <si>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</si>
  <si>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</si>
  <si>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</si>
  <si>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</si>
  <si>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</si>
  <si>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</si>
  <si>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</si>
  <si>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</si>
  <si>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</si>
  <si>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</si>
  <si>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</si>
  <si>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$B$12</t>
  </si>
  <si>
    <t xml:space="preserve">Maximize Profit Product 1 </t>
  </si>
  <si>
    <t>Contin</t>
  </si>
  <si>
    <t>$G$5&lt;=$H$5</t>
  </si>
  <si>
    <t>Binding</t>
  </si>
  <si>
    <t>$G$6&lt;=$H$6</t>
  </si>
  <si>
    <t>$G$7&lt;=$H$7</t>
  </si>
  <si>
    <t>$G$8&lt;=$H$8</t>
  </si>
  <si>
    <t>Not Binding</t>
  </si>
  <si>
    <t>$G$9&lt;=$H$9</t>
  </si>
  <si>
    <t>$G$10&lt;=$H$10</t>
  </si>
  <si>
    <t>Used</t>
  </si>
  <si>
    <t>Available</t>
  </si>
  <si>
    <t>Report Created: 3/10/2020 4:35:16 PM</t>
  </si>
  <si>
    <t>Resource 1 Used</t>
  </si>
  <si>
    <t>Resource 2 Used</t>
  </si>
  <si>
    <t>Resource 3 Used</t>
  </si>
  <si>
    <t>Resource 4 Used</t>
  </si>
  <si>
    <t>Resource 5 Used</t>
  </si>
  <si>
    <t>Resource 6 Used</t>
  </si>
  <si>
    <t>Product 6</t>
  </si>
  <si>
    <t>$G$3</t>
  </si>
  <si>
    <t># of Products Product 6</t>
  </si>
  <si>
    <t>$H$5</t>
  </si>
  <si>
    <t>$H$6</t>
  </si>
  <si>
    <t>$H$7</t>
  </si>
  <si>
    <t>$H$8</t>
  </si>
  <si>
    <t>$H$9</t>
  </si>
  <si>
    <t>$H$10</t>
  </si>
  <si>
    <t>Allowable Increase</t>
  </si>
  <si>
    <t>Allowable Decrease</t>
  </si>
  <si>
    <t>New Profit Value</t>
  </si>
  <si>
    <t>Original Profit Value</t>
  </si>
  <si>
    <t>% Change</t>
  </si>
  <si>
    <t>Absolute Change Value</t>
  </si>
  <si>
    <t>Increase/Decrease</t>
  </si>
  <si>
    <t>Sum of % Change</t>
  </si>
  <si>
    <t>B3=C3 and C3=F3</t>
  </si>
  <si>
    <t>B3:F3 should be integers</t>
  </si>
  <si>
    <t>Product 1</t>
  </si>
  <si>
    <t>Product 2</t>
  </si>
  <si>
    <t>Number to Produce</t>
  </si>
  <si>
    <t>Unit Profit</t>
  </si>
  <si>
    <t>Total Profit</t>
  </si>
  <si>
    <t>Fixed-Cost</t>
  </si>
  <si>
    <t>Binary Variables</t>
  </si>
  <si>
    <t>Linking Constraints</t>
  </si>
  <si>
    <t>Minimum required constraint</t>
  </si>
  <si>
    <t>Minimum value</t>
  </si>
  <si>
    <t>Maximum value constraint</t>
  </si>
  <si>
    <t>max value</t>
  </si>
  <si>
    <t>Product 3 values</t>
  </si>
  <si>
    <t>(=0)</t>
  </si>
  <si>
    <t>Sum of Binary Variables</t>
  </si>
  <si>
    <t>(&lt;=1)</t>
  </si>
  <si>
    <t>Product 2 values</t>
  </si>
  <si>
    <t>Product 4 values</t>
  </si>
  <si>
    <t>From</t>
  </si>
  <si>
    <t>To</t>
  </si>
  <si>
    <t>Unit Cost ($)</t>
  </si>
  <si>
    <t>Ship</t>
  </si>
  <si>
    <t>Node</t>
  </si>
  <si>
    <t>Net Flow</t>
  </si>
  <si>
    <t>Suppy/Demand</t>
  </si>
  <si>
    <t xml:space="preserve">Total Transportation Cost </t>
  </si>
  <si>
    <t>Minimum Order Size</t>
  </si>
  <si>
    <t>Maximum Order Size</t>
  </si>
  <si>
    <t>Annual Demand, A</t>
  </si>
  <si>
    <t>Cost per Unit, c</t>
  </si>
  <si>
    <t>Cost per Order, k</t>
  </si>
  <si>
    <t>Holding Cost, h</t>
  </si>
  <si>
    <t>Order Quantity, Q*</t>
  </si>
  <si>
    <t>Purchasing Cost, Ac</t>
  </si>
  <si>
    <t>Cost of Ordering, Ak/Q*</t>
  </si>
  <si>
    <t>Inventory Cost, Q*ch/2</t>
  </si>
  <si>
    <t>Total Cost, Ac + Ak/Q* + Q*ch/2</t>
  </si>
  <si>
    <t>Optimal Cost (min of total cost)</t>
  </si>
  <si>
    <t>A/Q*</t>
  </si>
  <si>
    <t>Q*/A</t>
  </si>
  <si>
    <t>days</t>
  </si>
  <si>
    <t>months</t>
  </si>
  <si>
    <t>years</t>
  </si>
  <si>
    <t>orders/yr</t>
  </si>
  <si>
    <t>G5:G10&lt;=H5:H10</t>
  </si>
  <si>
    <t>Difference</t>
  </si>
  <si>
    <t>B3:G3</t>
  </si>
  <si>
    <t>H5:H10&lt;=I5:I10</t>
  </si>
  <si>
    <t>Worksheet: [VERUVA-30513669-2ndSem2020FIT5097.xlsx]LotsOfProducts 1g</t>
  </si>
  <si>
    <t>Report Created: 16/10/2020 2:13:36 AM</t>
  </si>
  <si>
    <t>G5:G10&lt;H5:H10</t>
  </si>
  <si>
    <t>B15:F15</t>
  </si>
  <si>
    <t>integers</t>
  </si>
  <si>
    <t>binary</t>
  </si>
  <si>
    <t>linking constraints for each product</t>
  </si>
  <si>
    <t>B16:F16 &lt;=0</t>
  </si>
  <si>
    <t>H5</t>
  </si>
  <si>
    <t>ProfitsxQty - Fixed_CostxBinary_Variables</t>
  </si>
  <si>
    <t>Now, for product 3:</t>
  </si>
  <si>
    <t>G8:G13&lt;H8:H13</t>
  </si>
  <si>
    <t>D18 &gt;=0</t>
  </si>
  <si>
    <t>D20 &lt;=0</t>
  </si>
  <si>
    <t>min req</t>
  </si>
  <si>
    <t>max req</t>
  </si>
  <si>
    <t>B2:F2</t>
  </si>
  <si>
    <t>B16:C16 &lt;=0</t>
  </si>
  <si>
    <t>linking constraints for P1,P2</t>
  </si>
  <si>
    <t>linking constraints for P4,P5</t>
  </si>
  <si>
    <t>linking constraints for P3</t>
  </si>
  <si>
    <t>B18&lt;=1</t>
  </si>
  <si>
    <t>B19:F19</t>
  </si>
  <si>
    <t>E16:F16 &lt;=0</t>
  </si>
  <si>
    <t>B20:F20 =0</t>
  </si>
  <si>
    <t>B15:F15,B19:F19</t>
  </si>
  <si>
    <t>(&lt;=0)</t>
  </si>
  <si>
    <t>B15,D15,F15</t>
  </si>
  <si>
    <t>B24:F24</t>
  </si>
  <si>
    <t>B16&lt;=0</t>
  </si>
  <si>
    <t>linking constraints for P1</t>
  </si>
  <si>
    <t>D16&lt;=0</t>
  </si>
  <si>
    <t>linking constraints for P5</t>
  </si>
  <si>
    <t>F16&lt;=0</t>
  </si>
  <si>
    <t>linking constraints for P2</t>
  </si>
  <si>
    <t>linking constraints for P4</t>
  </si>
  <si>
    <t>B21&lt;=1</t>
  </si>
  <si>
    <t>B26&lt;=1</t>
  </si>
  <si>
    <t>B25:F25 =0</t>
  </si>
  <si>
    <t>B15:F15,B19:F19,B24:F24</t>
  </si>
  <si>
    <t>If Y3=1, X5&gt;=10</t>
  </si>
  <si>
    <t>If Y3=1, X5&lt;=100</t>
  </si>
  <si>
    <t>If Y3=1, Y5=1</t>
  </si>
  <si>
    <t>(&gt;=0)</t>
  </si>
  <si>
    <t>If Y3=1, Y1=0</t>
  </si>
  <si>
    <t>If Y3=1, Y2=0</t>
  </si>
  <si>
    <t>B19&lt;=1</t>
  </si>
  <si>
    <t>B20&lt;=0</t>
  </si>
  <si>
    <t>B21&gt;=0</t>
  </si>
  <si>
    <t>B22&lt;=0</t>
  </si>
  <si>
    <t>If P3 is produced, P1 must not be produced</t>
  </si>
  <si>
    <t>If P3 is produced, P2 must not be produced</t>
  </si>
  <si>
    <t>If P3 is produced, P5 must be produced</t>
  </si>
  <si>
    <t>If P3 is produced, X5&gt;=10</t>
  </si>
  <si>
    <t>If P3 is produced, X5&lt;=100</t>
  </si>
  <si>
    <t>B2=C2</t>
  </si>
  <si>
    <t>E2=F2</t>
  </si>
  <si>
    <t>P1=P2</t>
  </si>
  <si>
    <t>P4=P5</t>
  </si>
  <si>
    <t># Edges with non-zero flow</t>
  </si>
  <si>
    <t>(Ship &gt;=0)</t>
  </si>
  <si>
    <t>(Ship &lt;= 25)</t>
  </si>
  <si>
    <t>(Ship &lt;= 30)</t>
  </si>
  <si>
    <t>(Ship &gt;= 0)</t>
  </si>
  <si>
    <t>Distance</t>
  </si>
  <si>
    <t>Shortest Path</t>
  </si>
  <si>
    <t>Shipment coming to node 5</t>
  </si>
  <si>
    <t>Shipment coming to node 6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</si>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</sst>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44" formatCode="_-&quot;$&quot;* #,##0.00_-;\-&quot;$&quot;* #,##0.00_-;_-&quot;$&quot;* &quot;-&quot;??_-;_-@_-"/>
    <numFmt numFmtId="164" formatCode="0.000"/>
    <numFmt numFmtId="165" formatCode="0.000%"/>
    <numFmt numFmtId="166" formatCode="&quot;$&quot;#,##0_);\(&quot;$&quot;#,##0\)"/>
    <numFmt numFmtId="167" formatCode="_-&quot;$&quot;* #,##0.000_-;\-&quot;$&quot;* #,##0.000_-;_-&quot;$&quot;* &quot;-&quot;??_-;_-@_-"/>
    <numFmt numFmtId="168" formatCode="&quot;$&quot;#,##0.00_);\(&quot;$&quot;#,##0.00\)"/>
    <numFmt numFmtId="170" formatCode="&quot;$&quot;#,##0.000_);\(&quot;$&quot;#,##0.000\)"/>
    <numFmt numFmtId="171" formatCode="&quot;$&quot;#,##0.0000_);\(&quot;$&quot;#,##0.0000\)"/>
    <numFmt numFmtId="177" formatCode="&quot;$&quot;#,##0.000;[Red]\-&quot;$&quot;#,##0.000"/>
    <numFmt numFmtId="189" formatCode="&quot;$&quot;#,##0.000"/>
    <numFmt numFmtId="198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6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5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8" borderId="0" xfId="0" applyFont="1" applyFill="1"/>
    <xf numFmtId="0" fontId="0" fillId="0" borderId="0" xfId="0" applyFont="1"/>
    <xf numFmtId="0" fontId="0" fillId="0" borderId="0" xfId="0" applyFont="1" applyAlignment="1"/>
    <xf numFmtId="0" fontId="4" fillId="0" borderId="5" xfId="0" applyFont="1" applyFill="1" applyBorder="1" applyAlignment="1">
      <alignment horizontal="center"/>
    </xf>
    <xf numFmtId="6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" fontId="7" fillId="9" borderId="7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0" fontId="6" fillId="0" borderId="0" xfId="0" applyFont="1" applyFill="1" applyBorder="1"/>
    <xf numFmtId="0" fontId="0" fillId="10" borderId="6" xfId="0" applyFill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166" fontId="5" fillId="0" borderId="0" xfId="2" applyNumberFormat="1" applyFont="1" applyAlignment="1">
      <alignment horizontal="center"/>
    </xf>
    <xf numFmtId="166" fontId="8" fillId="9" borderId="8" xfId="2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68" fontId="5" fillId="0" borderId="0" xfId="2" applyNumberFormat="1" applyFont="1" applyAlignment="1">
      <alignment horizontal="center"/>
    </xf>
    <xf numFmtId="37" fontId="5" fillId="0" borderId="0" xfId="2" applyNumberFormat="1" applyFont="1" applyAlignment="1">
      <alignment horizontal="center"/>
    </xf>
    <xf numFmtId="11" fontId="0" fillId="0" borderId="0" xfId="0" applyNumberFormat="1" applyFont="1"/>
    <xf numFmtId="9" fontId="5" fillId="0" borderId="0" xfId="0" applyNumberFormat="1" applyFont="1" applyAlignment="1">
      <alignment horizontal="center"/>
    </xf>
    <xf numFmtId="164" fontId="7" fillId="9" borderId="7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1" fontId="11" fillId="0" borderId="0" xfId="2" applyNumberFormat="1" applyFont="1" applyFill="1" applyBorder="1" applyAlignment="1">
      <alignment horizontal="center"/>
    </xf>
    <xf numFmtId="0" fontId="0" fillId="0" borderId="6" xfId="0" applyBorder="1"/>
    <xf numFmtId="177" fontId="2" fillId="7" borderId="0" xfId="0" applyNumberFormat="1" applyFont="1" applyFill="1"/>
    <xf numFmtId="189" fontId="2" fillId="7" borderId="0" xfId="2" applyNumberFormat="1" applyFont="1" applyFill="1"/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5" borderId="0" xfId="0" applyNumberFormat="1" applyFill="1"/>
    <xf numFmtId="189" fontId="0" fillId="7" borderId="0" xfId="0" applyNumberFormat="1" applyFill="1"/>
    <xf numFmtId="164" fontId="9" fillId="9" borderId="6" xfId="0" applyNumberFormat="1" applyFont="1" applyFill="1" applyBorder="1" applyAlignment="1">
      <alignment horizontal="center"/>
    </xf>
    <xf numFmtId="170" fontId="8" fillId="9" borderId="8" xfId="0" applyNumberFormat="1" applyFont="1" applyFill="1" applyBorder="1" applyAlignment="1">
      <alignment horizontal="center"/>
    </xf>
    <xf numFmtId="0" fontId="5" fillId="0" borderId="0" xfId="0" applyFont="1" applyFill="1" applyBorder="1"/>
    <xf numFmtId="198" fontId="9" fillId="9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7" fontId="2" fillId="0" borderId="0" xfId="2" applyNumberFormat="1" applyFont="1" applyAlignment="1">
      <alignment horizontal="center" vertical="center"/>
    </xf>
    <xf numFmtId="0" fontId="2" fillId="5" borderId="0" xfId="0" applyFont="1" applyFill="1" applyAlignment="1">
      <alignment wrapText="1"/>
    </xf>
    <xf numFmtId="0" fontId="0" fillId="0" borderId="9" xfId="0" applyFill="1" applyBorder="1" applyAlignment="1">
      <alignment horizontal="center"/>
    </xf>
    <xf numFmtId="0" fontId="2" fillId="0" borderId="0" xfId="2" applyNumberFormat="1" applyFont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4"/>
  <sheetViews>
    <sheetView tabSelected="1" workbookViewId="0"/>
  </sheetViews>
  <sheetFormatPr defaultColWidth="13" defaultRowHeight="14.4" x14ac:dyDescent="0.3"/>
  <cols>
    <col min="1" max="1" width="19.5546875" bestFit="1" customWidth="1"/>
    <col min="2" max="2" width="14.88671875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</row>
    <row r="3" spans="1:8" x14ac:dyDescent="0.3">
      <c r="A3" s="12" t="s">
        <v>12</v>
      </c>
      <c r="B3" s="25">
        <v>3.9999999999999876</v>
      </c>
      <c r="C3" s="25">
        <v>83.000000000000028</v>
      </c>
      <c r="D3" s="25">
        <v>276.99999999999989</v>
      </c>
      <c r="E3" s="25">
        <v>365.00000000000006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8">
        <f>SUMPRODUCT($B$3:$F$3,$B5:$F5)</f>
        <v>2487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8">
        <f t="shared" ref="G6:G10" si="0">SUMPRODUCT($B$3:$F$3,$B6:$F6)</f>
        <v>3029.9999999999995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8">
        <f t="shared" si="0"/>
        <v>5217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8">
        <f t="shared" si="0"/>
        <v>3371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8">
        <f t="shared" si="0"/>
        <v>2769</v>
      </c>
      <c r="H10" s="9">
        <v>2769</v>
      </c>
    </row>
    <row r="12" spans="1:8" x14ac:dyDescent="0.3">
      <c r="A12" s="14" t="s">
        <v>13</v>
      </c>
      <c r="B12" s="62">
        <f>SUMPRODUCT($B$2:$F$2,$B$3:$F$3)</f>
        <v>266759.99999999994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154</v>
      </c>
      <c r="C16" s="16" t="s">
        <v>19</v>
      </c>
    </row>
    <row r="17" spans="1:3" x14ac:dyDescent="0.3">
      <c r="A17" s="3" t="s">
        <v>17</v>
      </c>
      <c r="B17" s="15" t="s">
        <v>18</v>
      </c>
      <c r="C17" s="15"/>
    </row>
    <row r="19" spans="1:3" x14ac:dyDescent="0.3">
      <c r="B19" s="31"/>
    </row>
    <row r="20" spans="1:3" x14ac:dyDescent="0.3">
      <c r="B20" s="31"/>
    </row>
    <row r="21" spans="1:3" x14ac:dyDescent="0.3">
      <c r="B21" s="31"/>
    </row>
    <row r="22" spans="1:3" x14ac:dyDescent="0.3">
      <c r="B22" s="31"/>
    </row>
    <row r="23" spans="1:3" x14ac:dyDescent="0.3">
      <c r="B23" s="31"/>
    </row>
    <row r="24" spans="1:3" x14ac:dyDescent="0.3">
      <c r="B24" s="31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C692-74D5-4E38-AD3D-4BC7A2DC4D0C}">
  <sheetPr codeName="Sheet11"/>
  <dimension ref="A1:H20"/>
  <sheetViews>
    <sheetView workbookViewId="0"/>
  </sheetViews>
  <sheetFormatPr defaultColWidth="13" defaultRowHeight="14.4" x14ac:dyDescent="0.3"/>
  <cols>
    <col min="1" max="1" width="19.5546875" bestFit="1" customWidth="1"/>
    <col min="2" max="2" width="14.109375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</row>
    <row r="3" spans="1:8" x14ac:dyDescent="0.3">
      <c r="A3" s="12" t="s">
        <v>12</v>
      </c>
      <c r="B3" s="25">
        <v>9.684910086004713</v>
      </c>
      <c r="C3" s="25">
        <v>9.684910086004713</v>
      </c>
      <c r="D3" s="25">
        <v>271.38389366692724</v>
      </c>
      <c r="E3" s="25">
        <v>405.89444878811571</v>
      </c>
      <c r="F3" s="25">
        <v>9.684910086004713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68">
        <f>SUMPRODUCT($B$3:$F$3,$B5:$F5)</f>
        <v>1934.7795152462863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68">
        <f t="shared" ref="G6:G10" si="0">SUMPRODUCT($B$3:$F$3,$B6:$F6)</f>
        <v>3030.0000000000005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68">
        <f t="shared" si="0"/>
        <v>5216.9999999999982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68">
        <f t="shared" si="0"/>
        <v>3135.4558248631743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6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68">
        <f t="shared" si="0"/>
        <v>2739.2462861610634</v>
      </c>
      <c r="H10" s="9">
        <v>2769</v>
      </c>
    </row>
    <row r="12" spans="1:8" x14ac:dyDescent="0.3">
      <c r="A12" s="14" t="s">
        <v>13</v>
      </c>
      <c r="B12" s="62">
        <f>SUMPRODUCT($B$2:$F$2,$B$3:$F$3)</f>
        <v>263686.84128225176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160</v>
      </c>
      <c r="C16" s="16" t="s">
        <v>19</v>
      </c>
    </row>
    <row r="17" spans="1:3" x14ac:dyDescent="0.3">
      <c r="B17" t="s">
        <v>108</v>
      </c>
      <c r="C17" s="15"/>
    </row>
    <row r="18" spans="1:3" x14ac:dyDescent="0.3">
      <c r="A18" s="3" t="s">
        <v>17</v>
      </c>
      <c r="B18" s="15" t="s">
        <v>18</v>
      </c>
    </row>
    <row r="20" spans="1:3" x14ac:dyDescent="0.3">
      <c r="A20" s="3" t="s">
        <v>155</v>
      </c>
      <c r="B20" s="62">
        <f>(B12-'LotsOfProducts 1b'!B12)</f>
        <v>-3073.1587177481852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B047-F6F8-4BAA-B4AA-A77EF2C0D13A}">
  <dimension ref="A1:H20"/>
  <sheetViews>
    <sheetView workbookViewId="0"/>
  </sheetViews>
  <sheetFormatPr defaultColWidth="13" defaultRowHeight="14.4" x14ac:dyDescent="0.3"/>
  <cols>
    <col min="1" max="1" width="19.5546875" bestFit="1" customWidth="1"/>
    <col min="2" max="2" width="14.109375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</row>
    <row r="3" spans="1:8" x14ac:dyDescent="0.3">
      <c r="A3" s="12" t="s">
        <v>12</v>
      </c>
      <c r="B3" s="25">
        <v>9.684910086004713</v>
      </c>
      <c r="C3" s="25">
        <v>9.684910086004713</v>
      </c>
      <c r="D3" s="25">
        <v>271.38389366692724</v>
      </c>
      <c r="E3" s="25">
        <v>405.89444878811571</v>
      </c>
      <c r="F3" s="25">
        <v>9.684910086004713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68">
        <f>SUMPRODUCT($B$3:$F$3,$B5:$F5)</f>
        <v>1934.7795152462863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68">
        <f t="shared" ref="G6:G10" si="0">SUMPRODUCT($B$3:$F$3,$B6:$F6)</f>
        <v>3030.0000000000005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68">
        <f t="shared" si="0"/>
        <v>5216.9999999999982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68">
        <f t="shared" si="0"/>
        <v>3135.4558248631743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6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68">
        <f t="shared" si="0"/>
        <v>2739.2462861610634</v>
      </c>
      <c r="H10" s="9">
        <v>2769</v>
      </c>
    </row>
    <row r="12" spans="1:8" x14ac:dyDescent="0.3">
      <c r="A12" s="14" t="s">
        <v>13</v>
      </c>
      <c r="B12" s="62">
        <f>SUMPRODUCT($B$2:$F$2,$B$3:$F$3)</f>
        <v>263686.84128225176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160</v>
      </c>
      <c r="C16" s="16" t="s">
        <v>19</v>
      </c>
    </row>
    <row r="17" spans="1:3" x14ac:dyDescent="0.3">
      <c r="B17" t="s">
        <v>108</v>
      </c>
      <c r="C17" s="15"/>
    </row>
    <row r="18" spans="1:3" x14ac:dyDescent="0.3">
      <c r="A18" s="3" t="s">
        <v>17</v>
      </c>
      <c r="B18" s="15" t="s">
        <v>18</v>
      </c>
    </row>
    <row r="20" spans="1:3" x14ac:dyDescent="0.3">
      <c r="A20" s="3" t="s">
        <v>155</v>
      </c>
      <c r="B20" s="62">
        <f>(B12-'LotsOfProducts 1b'!B12)</f>
        <v>-3073.1587177481852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7754-8BE8-405C-8380-B399137EF9EA}">
  <sheetPr codeName="Sheet13"/>
  <dimension ref="A1:H18"/>
  <sheetViews>
    <sheetView workbookViewId="0"/>
  </sheetViews>
  <sheetFormatPr defaultColWidth="13" defaultRowHeight="14.4" x14ac:dyDescent="0.3"/>
  <cols>
    <col min="1" max="1" width="19.5546875" bestFit="1" customWidth="1"/>
    <col min="2" max="2" width="13.77734375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</row>
    <row r="3" spans="1:8" x14ac:dyDescent="0.3">
      <c r="A3" s="12" t="s">
        <v>12</v>
      </c>
      <c r="B3" s="25">
        <v>4</v>
      </c>
      <c r="C3" s="25">
        <v>83</v>
      </c>
      <c r="D3" s="25">
        <v>277</v>
      </c>
      <c r="E3" s="25">
        <v>365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68">
        <f>SUMPRODUCT($B$3:$F$3,$B5:$F5)</f>
        <v>2487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68">
        <f t="shared" ref="G6:G10" si="0">SUMPRODUCT($B$3:$F$3,$B6:$F6)</f>
        <v>3030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68">
        <f t="shared" si="0"/>
        <v>5217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68">
        <f t="shared" si="0"/>
        <v>3371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6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68">
        <f t="shared" si="0"/>
        <v>2769</v>
      </c>
      <c r="H10" s="9">
        <v>2769</v>
      </c>
    </row>
    <row r="12" spans="1:8" x14ac:dyDescent="0.3">
      <c r="A12" s="14" t="s">
        <v>13</v>
      </c>
      <c r="B12" s="62">
        <f>SUMPRODUCT($B$2:$F$2,$B$3:$F$3)</f>
        <v>266760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160</v>
      </c>
      <c r="C16" s="16" t="s">
        <v>19</v>
      </c>
    </row>
    <row r="17" spans="1:3" x14ac:dyDescent="0.3">
      <c r="B17" t="s">
        <v>109</v>
      </c>
      <c r="C17" s="15"/>
    </row>
    <row r="18" spans="1:3" x14ac:dyDescent="0.3">
      <c r="A18" s="3" t="s">
        <v>17</v>
      </c>
      <c r="B18" s="15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E916-F2EA-4C2F-8538-266AAD9ACE41}">
  <sheetPr codeName="Sheet14"/>
  <dimension ref="A1:H26"/>
  <sheetViews>
    <sheetView workbookViewId="0"/>
  </sheetViews>
  <sheetFormatPr defaultColWidth="13" defaultRowHeight="14.4" x14ac:dyDescent="0.3"/>
  <cols>
    <col min="1" max="1" width="19.5546875" bestFit="1" customWidth="1"/>
    <col min="2" max="2" width="14" customWidth="1"/>
    <col min="7" max="7" width="14.21875" bestFit="1" customWidth="1"/>
    <col min="8" max="8" width="17.5546875" bestFit="1" customWidth="1"/>
  </cols>
  <sheetData>
    <row r="1" spans="1:8" x14ac:dyDescent="0.3">
      <c r="A1" s="32"/>
      <c r="B1" s="33" t="s">
        <v>110</v>
      </c>
      <c r="C1" s="33" t="s">
        <v>111</v>
      </c>
      <c r="D1" s="33" t="s">
        <v>2</v>
      </c>
      <c r="E1" s="33" t="s">
        <v>3</v>
      </c>
      <c r="F1" s="33" t="s">
        <v>4</v>
      </c>
    </row>
    <row r="2" spans="1:8" x14ac:dyDescent="0.3">
      <c r="A2" s="35" t="s">
        <v>112</v>
      </c>
      <c r="B2" s="39">
        <v>0</v>
      </c>
      <c r="C2" s="39">
        <v>164</v>
      </c>
      <c r="D2" s="39">
        <v>423</v>
      </c>
      <c r="E2" s="39">
        <v>0</v>
      </c>
      <c r="F2" s="39">
        <v>0</v>
      </c>
    </row>
    <row r="3" spans="1:8" x14ac:dyDescent="0.3">
      <c r="A3" s="35"/>
      <c r="B3" s="34"/>
      <c r="C3" s="34"/>
      <c r="D3" s="34"/>
      <c r="E3" s="34"/>
      <c r="F3" s="34"/>
    </row>
    <row r="4" spans="1:8" ht="15" thickBot="1" x14ac:dyDescent="0.35">
      <c r="A4" s="35" t="s">
        <v>113</v>
      </c>
      <c r="B4" s="36">
        <v>510</v>
      </c>
      <c r="C4" s="36">
        <v>300</v>
      </c>
      <c r="D4" s="36">
        <v>510</v>
      </c>
      <c r="E4" s="36">
        <v>270</v>
      </c>
      <c r="F4" s="36">
        <v>810</v>
      </c>
      <c r="H4" s="33" t="s">
        <v>114</v>
      </c>
    </row>
    <row r="5" spans="1:8" ht="15.6" thickTop="1" thickBot="1" x14ac:dyDescent="0.35">
      <c r="A5" s="35" t="s">
        <v>115</v>
      </c>
      <c r="B5" s="36">
        <v>2000</v>
      </c>
      <c r="C5" s="36">
        <v>4000</v>
      </c>
      <c r="D5" s="36">
        <v>8000</v>
      </c>
      <c r="E5" s="36">
        <v>16000</v>
      </c>
      <c r="F5" s="36">
        <v>1000</v>
      </c>
      <c r="H5" s="71">
        <f>SUMPRODUCT($B$2:$F$2,$B$4:$F$4)-SUMPRODUCT($B$5:$F$5,$B$15:$F$15)</f>
        <v>252930</v>
      </c>
    </row>
    <row r="6" spans="1:8" ht="15" thickTop="1" x14ac:dyDescent="0.3">
      <c r="A6" s="35"/>
      <c r="B6" s="34"/>
      <c r="C6" s="34"/>
      <c r="D6" s="34"/>
      <c r="E6" s="34"/>
      <c r="F6" s="34"/>
    </row>
    <row r="7" spans="1:8" x14ac:dyDescent="0.3">
      <c r="A7" s="35"/>
      <c r="B7" s="37"/>
      <c r="C7" s="38"/>
      <c r="D7" s="38"/>
      <c r="G7" s="33" t="s">
        <v>82</v>
      </c>
      <c r="H7" s="33" t="s">
        <v>83</v>
      </c>
    </row>
    <row r="8" spans="1:8" x14ac:dyDescent="0.3">
      <c r="A8" s="35" t="s">
        <v>6</v>
      </c>
      <c r="B8">
        <v>2</v>
      </c>
      <c r="C8">
        <v>10</v>
      </c>
      <c r="D8">
        <v>2</v>
      </c>
      <c r="E8">
        <v>3</v>
      </c>
      <c r="F8">
        <v>6</v>
      </c>
      <c r="G8" s="70">
        <f>SUMPRODUCT($B$2:$F$2,B8:F8)</f>
        <v>2486</v>
      </c>
      <c r="H8" s="33">
        <v>2487</v>
      </c>
    </row>
    <row r="9" spans="1:8" x14ac:dyDescent="0.3">
      <c r="A9" s="35" t="s">
        <v>7</v>
      </c>
      <c r="B9">
        <v>6</v>
      </c>
      <c r="C9">
        <v>3</v>
      </c>
      <c r="D9">
        <v>6</v>
      </c>
      <c r="E9">
        <v>3</v>
      </c>
      <c r="F9">
        <v>10</v>
      </c>
      <c r="G9" s="70">
        <f t="shared" ref="G9:G13" si="0">SUMPRODUCT($B$2:$F$2,B9:F9)</f>
        <v>3030</v>
      </c>
      <c r="H9" s="33">
        <v>3030</v>
      </c>
    </row>
    <row r="10" spans="1:8" x14ac:dyDescent="0.3">
      <c r="A10" s="35" t="s">
        <v>8</v>
      </c>
      <c r="B10">
        <v>2</v>
      </c>
      <c r="C10">
        <v>3</v>
      </c>
      <c r="D10">
        <v>10</v>
      </c>
      <c r="E10">
        <v>6</v>
      </c>
      <c r="F10">
        <v>2</v>
      </c>
      <c r="G10" s="70">
        <f t="shared" si="0"/>
        <v>4722</v>
      </c>
      <c r="H10" s="33">
        <v>5217</v>
      </c>
    </row>
    <row r="11" spans="1:8" x14ac:dyDescent="0.3">
      <c r="A11" s="35" t="s">
        <v>9</v>
      </c>
      <c r="B11">
        <v>7</v>
      </c>
      <c r="C11">
        <v>6</v>
      </c>
      <c r="D11">
        <v>5</v>
      </c>
      <c r="E11">
        <v>4</v>
      </c>
      <c r="F11">
        <v>3</v>
      </c>
      <c r="G11" s="70">
        <f t="shared" si="0"/>
        <v>3099</v>
      </c>
      <c r="H11" s="21">
        <v>4000</v>
      </c>
    </row>
    <row r="12" spans="1:8" x14ac:dyDescent="0.3">
      <c r="A12" s="35" t="s">
        <v>10</v>
      </c>
      <c r="B12">
        <v>5</v>
      </c>
      <c r="C12">
        <v>6</v>
      </c>
      <c r="D12">
        <v>3</v>
      </c>
      <c r="E12">
        <v>10</v>
      </c>
      <c r="F12">
        <v>2</v>
      </c>
      <c r="G12" s="70">
        <f t="shared" si="0"/>
        <v>2253</v>
      </c>
      <c r="H12" s="21">
        <v>4999</v>
      </c>
    </row>
    <row r="13" spans="1:8" x14ac:dyDescent="0.3">
      <c r="A13" s="35" t="s">
        <v>11</v>
      </c>
      <c r="B13">
        <v>10</v>
      </c>
      <c r="C13">
        <v>3</v>
      </c>
      <c r="D13">
        <v>5</v>
      </c>
      <c r="E13">
        <v>3</v>
      </c>
      <c r="F13">
        <v>4</v>
      </c>
      <c r="G13" s="70">
        <f t="shared" si="0"/>
        <v>2607</v>
      </c>
      <c r="H13" s="21">
        <v>2769</v>
      </c>
    </row>
    <row r="14" spans="1:8" x14ac:dyDescent="0.3">
      <c r="A14" s="32"/>
      <c r="B14" s="34"/>
      <c r="C14" s="34"/>
      <c r="D14" s="34"/>
      <c r="E14" s="34"/>
      <c r="F14" s="34"/>
    </row>
    <row r="15" spans="1:8" x14ac:dyDescent="0.3">
      <c r="A15" s="35" t="s">
        <v>116</v>
      </c>
      <c r="B15" s="39">
        <v>0</v>
      </c>
      <c r="C15" s="39">
        <v>1</v>
      </c>
      <c r="D15" s="39">
        <v>1</v>
      </c>
      <c r="E15" s="39">
        <v>0</v>
      </c>
      <c r="F15" s="39">
        <v>0</v>
      </c>
    </row>
    <row r="16" spans="1:8" x14ac:dyDescent="0.3">
      <c r="A16" s="35" t="s">
        <v>117</v>
      </c>
      <c r="B16" s="70">
        <f>B2-MIN($H$8/B8,$H$9/B9,$H$10/B10,$H$11/B11,$H$12/B12,$H$13/B13)*B15</f>
        <v>0</v>
      </c>
      <c r="C16" s="70">
        <f t="shared" ref="C16:F16" si="1">C2-MIN($H$8/C8,$H$9/C9,$H$10/C10,$H$11/C11,$H$12/C12,$H$13/C13)*C15</f>
        <v>-84.699999999999989</v>
      </c>
      <c r="D16" s="70">
        <f t="shared" si="1"/>
        <v>-82</v>
      </c>
      <c r="E16" s="70">
        <f t="shared" si="1"/>
        <v>0</v>
      </c>
      <c r="F16" s="70">
        <f t="shared" si="1"/>
        <v>0</v>
      </c>
    </row>
    <row r="19" spans="1:4" x14ac:dyDescent="0.3">
      <c r="A19" s="25"/>
    </row>
    <row r="20" spans="1:4" x14ac:dyDescent="0.3">
      <c r="A20" s="3" t="s">
        <v>14</v>
      </c>
      <c r="B20" s="15" t="s">
        <v>174</v>
      </c>
      <c r="C20" s="15"/>
    </row>
    <row r="21" spans="1:4" x14ac:dyDescent="0.3">
      <c r="B21" t="s">
        <v>161</v>
      </c>
    </row>
    <row r="22" spans="1:4" x14ac:dyDescent="0.3">
      <c r="A22" s="3" t="s">
        <v>16</v>
      </c>
      <c r="B22" s="15" t="s">
        <v>169</v>
      </c>
    </row>
    <row r="23" spans="1:4" x14ac:dyDescent="0.3">
      <c r="B23" s="15" t="s">
        <v>165</v>
      </c>
      <c r="C23" t="s">
        <v>164</v>
      </c>
    </row>
    <row r="24" spans="1:4" x14ac:dyDescent="0.3">
      <c r="B24" s="15" t="s">
        <v>174</v>
      </c>
      <c r="C24" s="15" t="s">
        <v>162</v>
      </c>
      <c r="D24" s="16" t="s">
        <v>19</v>
      </c>
    </row>
    <row r="25" spans="1:4" x14ac:dyDescent="0.3">
      <c r="B25" t="s">
        <v>161</v>
      </c>
      <c r="C25" t="s">
        <v>163</v>
      </c>
    </row>
    <row r="26" spans="1:4" x14ac:dyDescent="0.3">
      <c r="A26" s="3" t="s">
        <v>17</v>
      </c>
      <c r="B26" s="15" t="s">
        <v>166</v>
      </c>
      <c r="C26" t="s">
        <v>167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A090-E19B-4D93-9CDD-697A5AACA712}">
  <sheetPr codeName="Sheet15"/>
  <dimension ref="A1:H33"/>
  <sheetViews>
    <sheetView workbookViewId="0"/>
  </sheetViews>
  <sheetFormatPr defaultColWidth="13" defaultRowHeight="14.4" x14ac:dyDescent="0.3"/>
  <cols>
    <col min="1" max="1" width="19.5546875" bestFit="1" customWidth="1"/>
    <col min="7" max="7" width="14.21875" bestFit="1" customWidth="1"/>
    <col min="8" max="8" width="17.5546875" bestFit="1" customWidth="1"/>
  </cols>
  <sheetData>
    <row r="1" spans="1:8" x14ac:dyDescent="0.3">
      <c r="A1" s="32"/>
      <c r="B1" s="33" t="s">
        <v>110</v>
      </c>
      <c r="C1" s="33" t="s">
        <v>111</v>
      </c>
      <c r="D1" s="33" t="s">
        <v>2</v>
      </c>
      <c r="E1" s="33" t="s">
        <v>3</v>
      </c>
      <c r="F1" s="33" t="s">
        <v>4</v>
      </c>
    </row>
    <row r="2" spans="1:8" x14ac:dyDescent="0.3">
      <c r="A2" s="35" t="s">
        <v>112</v>
      </c>
      <c r="B2" s="57">
        <v>177</v>
      </c>
      <c r="C2" s="57">
        <v>116</v>
      </c>
      <c r="D2" s="57">
        <v>0</v>
      </c>
      <c r="E2" s="57">
        <v>0</v>
      </c>
      <c r="F2" s="57">
        <v>161</v>
      </c>
    </row>
    <row r="3" spans="1:8" x14ac:dyDescent="0.3">
      <c r="A3" s="35"/>
      <c r="B3" s="34"/>
      <c r="C3" s="34"/>
      <c r="D3" s="34"/>
      <c r="E3" s="34"/>
      <c r="F3" s="34"/>
    </row>
    <row r="4" spans="1:8" ht="15" thickBot="1" x14ac:dyDescent="0.35">
      <c r="A4" s="35" t="s">
        <v>113</v>
      </c>
      <c r="B4" s="36">
        <v>510</v>
      </c>
      <c r="C4" s="36">
        <v>300</v>
      </c>
      <c r="D4" s="36">
        <v>510</v>
      </c>
      <c r="E4" s="36">
        <v>270</v>
      </c>
      <c r="F4" s="36">
        <v>810</v>
      </c>
      <c r="H4" s="33" t="s">
        <v>114</v>
      </c>
    </row>
    <row r="5" spans="1:8" ht="15.6" thickTop="1" thickBot="1" x14ac:dyDescent="0.35">
      <c r="A5" s="35" t="s">
        <v>115</v>
      </c>
      <c r="B5" s="36">
        <v>2000</v>
      </c>
      <c r="C5" s="36">
        <v>4000</v>
      </c>
      <c r="D5" s="36">
        <v>8000</v>
      </c>
      <c r="E5" s="36">
        <v>16000</v>
      </c>
      <c r="F5" s="36">
        <v>1000</v>
      </c>
      <c r="H5" s="71">
        <f>SUMPRODUCT($B$2:$F$2,$B$4:$F$4)-SUMPRODUCT($B$5:$F$5,$B$15:$F$15)</f>
        <v>248480</v>
      </c>
    </row>
    <row r="6" spans="1:8" ht="15" thickTop="1" x14ac:dyDescent="0.3">
      <c r="A6" s="35"/>
      <c r="B6" s="34"/>
      <c r="C6" s="34"/>
      <c r="D6" s="34"/>
      <c r="E6" s="34"/>
      <c r="F6" s="34"/>
    </row>
    <row r="7" spans="1:8" x14ac:dyDescent="0.3">
      <c r="A7" s="35"/>
      <c r="B7" s="37"/>
      <c r="C7" s="38"/>
      <c r="D7" s="38"/>
      <c r="G7" s="33" t="s">
        <v>82</v>
      </c>
      <c r="H7" s="33" t="s">
        <v>83</v>
      </c>
    </row>
    <row r="8" spans="1:8" x14ac:dyDescent="0.3">
      <c r="A8" s="35" t="s">
        <v>6</v>
      </c>
      <c r="B8">
        <v>2</v>
      </c>
      <c r="C8">
        <v>10</v>
      </c>
      <c r="D8">
        <v>2</v>
      </c>
      <c r="E8">
        <v>3</v>
      </c>
      <c r="F8">
        <v>6</v>
      </c>
      <c r="G8" s="70">
        <f>SUMPRODUCT($B$2:$F$2,B8:F8)</f>
        <v>2480</v>
      </c>
      <c r="H8" s="33">
        <v>2487</v>
      </c>
    </row>
    <row r="9" spans="1:8" x14ac:dyDescent="0.3">
      <c r="A9" s="35" t="s">
        <v>7</v>
      </c>
      <c r="B9">
        <v>6</v>
      </c>
      <c r="C9">
        <v>3</v>
      </c>
      <c r="D9">
        <v>6</v>
      </c>
      <c r="E9">
        <v>3</v>
      </c>
      <c r="F9">
        <v>10</v>
      </c>
      <c r="G9" s="70">
        <f t="shared" ref="G9:G13" si="0">SUMPRODUCT($B$2:$F$2,B9:F9)</f>
        <v>3020</v>
      </c>
      <c r="H9" s="33">
        <v>3030</v>
      </c>
    </row>
    <row r="10" spans="1:8" x14ac:dyDescent="0.3">
      <c r="A10" s="35" t="s">
        <v>8</v>
      </c>
      <c r="B10">
        <v>2</v>
      </c>
      <c r="C10">
        <v>3</v>
      </c>
      <c r="D10">
        <v>10</v>
      </c>
      <c r="E10">
        <v>6</v>
      </c>
      <c r="F10">
        <v>2</v>
      </c>
      <c r="G10" s="70">
        <f t="shared" si="0"/>
        <v>1024</v>
      </c>
      <c r="H10" s="33">
        <v>5217</v>
      </c>
    </row>
    <row r="11" spans="1:8" x14ac:dyDescent="0.3">
      <c r="A11" s="35" t="s">
        <v>9</v>
      </c>
      <c r="B11">
        <v>7</v>
      </c>
      <c r="C11">
        <v>6</v>
      </c>
      <c r="D11">
        <v>5</v>
      </c>
      <c r="E11">
        <v>4</v>
      </c>
      <c r="F11">
        <v>3</v>
      </c>
      <c r="G11" s="70">
        <f t="shared" si="0"/>
        <v>2418</v>
      </c>
      <c r="H11" s="21">
        <v>4000</v>
      </c>
    </row>
    <row r="12" spans="1:8" x14ac:dyDescent="0.3">
      <c r="A12" s="35" t="s">
        <v>10</v>
      </c>
      <c r="B12">
        <v>5</v>
      </c>
      <c r="C12">
        <v>6</v>
      </c>
      <c r="D12">
        <v>3</v>
      </c>
      <c r="E12">
        <v>10</v>
      </c>
      <c r="F12">
        <v>2</v>
      </c>
      <c r="G12" s="70">
        <f t="shared" si="0"/>
        <v>1903</v>
      </c>
      <c r="H12" s="21">
        <v>4999</v>
      </c>
    </row>
    <row r="13" spans="1:8" x14ac:dyDescent="0.3">
      <c r="A13" s="35" t="s">
        <v>11</v>
      </c>
      <c r="B13">
        <v>10</v>
      </c>
      <c r="C13">
        <v>3</v>
      </c>
      <c r="D13">
        <v>5</v>
      </c>
      <c r="E13">
        <v>3</v>
      </c>
      <c r="F13">
        <v>4</v>
      </c>
      <c r="G13" s="70">
        <f t="shared" si="0"/>
        <v>2762</v>
      </c>
      <c r="H13" s="21">
        <v>2769</v>
      </c>
    </row>
    <row r="14" spans="1:8" x14ac:dyDescent="0.3">
      <c r="A14" s="32"/>
      <c r="B14" s="34"/>
      <c r="C14" s="34"/>
      <c r="D14" s="34"/>
      <c r="E14" s="34"/>
      <c r="F14" s="34"/>
    </row>
    <row r="15" spans="1:8" x14ac:dyDescent="0.3">
      <c r="A15" s="35" t="s">
        <v>116</v>
      </c>
      <c r="B15" s="39">
        <v>1</v>
      </c>
      <c r="C15" s="39">
        <v>1</v>
      </c>
      <c r="D15" s="39">
        <v>0</v>
      </c>
      <c r="E15" s="39">
        <v>0</v>
      </c>
      <c r="F15" s="39">
        <v>1</v>
      </c>
    </row>
    <row r="16" spans="1:8" x14ac:dyDescent="0.3">
      <c r="A16" s="35" t="s">
        <v>117</v>
      </c>
      <c r="B16" s="70">
        <f>B2-MIN($H$8/B8,$H$9/B9,$H$10/B10,$H$11/B11,$H$12/B12,$H$13/B13)*B15</f>
        <v>-99.899999999999977</v>
      </c>
      <c r="C16" s="70">
        <f t="shared" ref="C16:F16" si="1">C2-MIN($H$8/C8,$H$9/C9,$H$10/C10,$H$11/C11,$H$12/C12,$H$13/C13)*C15</f>
        <v>-132.69999999999999</v>
      </c>
      <c r="D16" s="70">
        <v>0</v>
      </c>
      <c r="E16" s="70">
        <f t="shared" si="1"/>
        <v>0</v>
      </c>
      <c r="F16" s="70">
        <f t="shared" si="1"/>
        <v>-142</v>
      </c>
    </row>
    <row r="17" spans="1:7" x14ac:dyDescent="0.3">
      <c r="A17" s="72" t="s">
        <v>168</v>
      </c>
    </row>
    <row r="18" spans="1:7" x14ac:dyDescent="0.3">
      <c r="A18" s="35" t="s">
        <v>118</v>
      </c>
      <c r="B18" s="34"/>
      <c r="C18" s="34"/>
      <c r="D18" s="70">
        <f>D2-(D15*D19)</f>
        <v>0</v>
      </c>
      <c r="E18" s="40"/>
      <c r="F18" s="34"/>
      <c r="G18" s="32"/>
    </row>
    <row r="19" spans="1:7" x14ac:dyDescent="0.3">
      <c r="A19" s="35" t="s">
        <v>119</v>
      </c>
      <c r="B19" s="34"/>
      <c r="C19" s="34"/>
      <c r="D19" s="41">
        <v>225</v>
      </c>
      <c r="E19" s="34"/>
      <c r="F19" s="34"/>
      <c r="G19" s="32"/>
    </row>
    <row r="20" spans="1:7" x14ac:dyDescent="0.3">
      <c r="A20" s="35" t="s">
        <v>120</v>
      </c>
      <c r="B20" s="34"/>
      <c r="C20" s="34"/>
      <c r="D20" s="70">
        <f>D2-(D15*D21)</f>
        <v>0</v>
      </c>
      <c r="E20" s="40"/>
      <c r="F20" s="34"/>
      <c r="G20" s="32"/>
    </row>
    <row r="21" spans="1:7" x14ac:dyDescent="0.3">
      <c r="A21" s="35" t="s">
        <v>121</v>
      </c>
      <c r="B21" s="34"/>
      <c r="C21" s="34"/>
      <c r="D21" s="41">
        <v>325</v>
      </c>
      <c r="E21" s="34"/>
      <c r="F21" s="34"/>
      <c r="G21" s="32"/>
    </row>
    <row r="25" spans="1:7" x14ac:dyDescent="0.3">
      <c r="A25" s="3" t="s">
        <v>14</v>
      </c>
      <c r="B25" s="15" t="s">
        <v>174</v>
      </c>
      <c r="C25" s="15"/>
    </row>
    <row r="26" spans="1:7" x14ac:dyDescent="0.3">
      <c r="B26" t="s">
        <v>161</v>
      </c>
    </row>
    <row r="27" spans="1:7" x14ac:dyDescent="0.3">
      <c r="A27" s="3" t="s">
        <v>16</v>
      </c>
      <c r="B27" s="15" t="s">
        <v>169</v>
      </c>
    </row>
    <row r="28" spans="1:7" x14ac:dyDescent="0.3">
      <c r="B28" s="15" t="s">
        <v>165</v>
      </c>
      <c r="C28" t="s">
        <v>164</v>
      </c>
    </row>
    <row r="29" spans="1:7" x14ac:dyDescent="0.3">
      <c r="B29" s="15" t="s">
        <v>174</v>
      </c>
      <c r="C29" s="15" t="s">
        <v>162</v>
      </c>
      <c r="D29" s="16" t="s">
        <v>19</v>
      </c>
    </row>
    <row r="30" spans="1:7" x14ac:dyDescent="0.3">
      <c r="B30" t="s">
        <v>161</v>
      </c>
      <c r="C30" t="s">
        <v>163</v>
      </c>
    </row>
    <row r="31" spans="1:7" x14ac:dyDescent="0.3">
      <c r="B31" t="s">
        <v>170</v>
      </c>
      <c r="C31" t="s">
        <v>172</v>
      </c>
    </row>
    <row r="32" spans="1:7" x14ac:dyDescent="0.3">
      <c r="B32" t="s">
        <v>171</v>
      </c>
      <c r="C32" t="s">
        <v>173</v>
      </c>
    </row>
    <row r="33" spans="1:3" x14ac:dyDescent="0.3">
      <c r="A33" s="3" t="s">
        <v>17</v>
      </c>
      <c r="B33" s="15" t="s">
        <v>166</v>
      </c>
      <c r="C33" t="s">
        <v>167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29CE-4556-4262-B534-5132D9DA06CF}">
  <dimension ref="A1:H34"/>
  <sheetViews>
    <sheetView workbookViewId="0"/>
  </sheetViews>
  <sheetFormatPr defaultColWidth="13" defaultRowHeight="14.4" x14ac:dyDescent="0.3"/>
  <cols>
    <col min="1" max="1" width="22.21875" bestFit="1" customWidth="1"/>
    <col min="2" max="2" width="14" customWidth="1"/>
    <col min="7" max="7" width="14.21875" bestFit="1" customWidth="1"/>
    <col min="8" max="8" width="17.5546875" bestFit="1" customWidth="1"/>
  </cols>
  <sheetData>
    <row r="1" spans="1:8" x14ac:dyDescent="0.3">
      <c r="A1" s="32"/>
      <c r="B1" s="33" t="s">
        <v>110</v>
      </c>
      <c r="C1" s="33" t="s">
        <v>111</v>
      </c>
      <c r="D1" s="33" t="s">
        <v>2</v>
      </c>
      <c r="E1" s="33" t="s">
        <v>3</v>
      </c>
      <c r="F1" s="33" t="s">
        <v>4</v>
      </c>
    </row>
    <row r="2" spans="1:8" x14ac:dyDescent="0.3">
      <c r="A2" s="35" t="s">
        <v>112</v>
      </c>
      <c r="B2" s="57">
        <v>177</v>
      </c>
      <c r="C2" s="57">
        <v>116</v>
      </c>
      <c r="D2" s="57">
        <v>0</v>
      </c>
      <c r="E2" s="57">
        <v>0</v>
      </c>
      <c r="F2" s="57">
        <v>162</v>
      </c>
    </row>
    <row r="3" spans="1:8" x14ac:dyDescent="0.3">
      <c r="A3" s="35"/>
      <c r="B3" s="34"/>
      <c r="C3" s="34"/>
      <c r="D3" s="34"/>
      <c r="E3" s="34"/>
      <c r="F3" s="34"/>
    </row>
    <row r="4" spans="1:8" ht="15" thickBot="1" x14ac:dyDescent="0.35">
      <c r="A4" s="35" t="s">
        <v>113</v>
      </c>
      <c r="B4" s="36">
        <v>510</v>
      </c>
      <c r="C4" s="36">
        <v>300</v>
      </c>
      <c r="D4" s="36">
        <v>510</v>
      </c>
      <c r="E4" s="36">
        <v>270</v>
      </c>
      <c r="F4" s="36">
        <v>810</v>
      </c>
      <c r="H4" s="33" t="s">
        <v>114</v>
      </c>
    </row>
    <row r="5" spans="1:8" ht="15.6" thickTop="1" thickBot="1" x14ac:dyDescent="0.35">
      <c r="A5" s="35" t="s">
        <v>115</v>
      </c>
      <c r="B5" s="36">
        <v>2000</v>
      </c>
      <c r="C5" s="36">
        <v>4000</v>
      </c>
      <c r="D5" s="36">
        <v>8000</v>
      </c>
      <c r="E5" s="36">
        <v>16000</v>
      </c>
      <c r="F5" s="36">
        <v>1000</v>
      </c>
      <c r="H5" s="71">
        <f>SUMPRODUCT($B$2:$F$2,$B$4:$F$4)-SUMPRODUCT($B$5:$F$5,$B$15:$F$15)-($D$5*B19)-($D$5*C19)-($D$5*D19)-($D$5*E19)-($D$5*F19)</f>
        <v>249290</v>
      </c>
    </row>
    <row r="6" spans="1:8" ht="15" thickTop="1" x14ac:dyDescent="0.3">
      <c r="A6" s="35"/>
      <c r="B6" s="34"/>
      <c r="C6" s="34"/>
      <c r="D6" s="34"/>
      <c r="E6" s="34"/>
      <c r="F6" s="34"/>
    </row>
    <row r="7" spans="1:8" x14ac:dyDescent="0.3">
      <c r="A7" s="35"/>
      <c r="B7" s="37"/>
      <c r="C7" s="38"/>
      <c r="D7" s="38"/>
      <c r="G7" s="33" t="s">
        <v>82</v>
      </c>
      <c r="H7" s="33" t="s">
        <v>83</v>
      </c>
    </row>
    <row r="8" spans="1:8" x14ac:dyDescent="0.3">
      <c r="A8" s="35" t="s">
        <v>6</v>
      </c>
      <c r="B8">
        <v>2</v>
      </c>
      <c r="C8">
        <v>10</v>
      </c>
      <c r="D8">
        <v>2</v>
      </c>
      <c r="E8">
        <v>3</v>
      </c>
      <c r="F8">
        <v>6</v>
      </c>
      <c r="G8" s="70">
        <f>SUMPRODUCT($B$2:$F$2,B8:F8)</f>
        <v>2486</v>
      </c>
      <c r="H8" s="33">
        <v>2487</v>
      </c>
    </row>
    <row r="9" spans="1:8" x14ac:dyDescent="0.3">
      <c r="A9" s="35" t="s">
        <v>7</v>
      </c>
      <c r="B9">
        <v>6</v>
      </c>
      <c r="C9">
        <v>3</v>
      </c>
      <c r="D9">
        <v>6</v>
      </c>
      <c r="E9">
        <v>3</v>
      </c>
      <c r="F9">
        <v>10</v>
      </c>
      <c r="G9" s="70">
        <f t="shared" ref="G9:G13" si="0">SUMPRODUCT($B$2:$F$2,B9:F9)</f>
        <v>3030</v>
      </c>
      <c r="H9" s="33">
        <v>3030</v>
      </c>
    </row>
    <row r="10" spans="1:8" x14ac:dyDescent="0.3">
      <c r="A10" s="35" t="s">
        <v>8</v>
      </c>
      <c r="B10">
        <v>2</v>
      </c>
      <c r="C10">
        <v>3</v>
      </c>
      <c r="D10">
        <v>10</v>
      </c>
      <c r="E10">
        <v>6</v>
      </c>
      <c r="F10">
        <v>2</v>
      </c>
      <c r="G10" s="70">
        <f t="shared" si="0"/>
        <v>1026</v>
      </c>
      <c r="H10" s="33">
        <v>5217</v>
      </c>
    </row>
    <row r="11" spans="1:8" x14ac:dyDescent="0.3">
      <c r="A11" s="35" t="s">
        <v>9</v>
      </c>
      <c r="B11">
        <v>7</v>
      </c>
      <c r="C11">
        <v>6</v>
      </c>
      <c r="D11">
        <v>5</v>
      </c>
      <c r="E11">
        <v>4</v>
      </c>
      <c r="F11">
        <v>3</v>
      </c>
      <c r="G11" s="70">
        <f t="shared" si="0"/>
        <v>2421</v>
      </c>
      <c r="H11" s="21">
        <v>4000</v>
      </c>
    </row>
    <row r="12" spans="1:8" x14ac:dyDescent="0.3">
      <c r="A12" s="35" t="s">
        <v>10</v>
      </c>
      <c r="B12">
        <v>5</v>
      </c>
      <c r="C12">
        <v>6</v>
      </c>
      <c r="D12">
        <v>3</v>
      </c>
      <c r="E12">
        <v>10</v>
      </c>
      <c r="F12">
        <v>2</v>
      </c>
      <c r="G12" s="70">
        <f t="shared" si="0"/>
        <v>1905</v>
      </c>
      <c r="H12" s="21">
        <v>4999</v>
      </c>
    </row>
    <row r="13" spans="1:8" x14ac:dyDescent="0.3">
      <c r="A13" s="35" t="s">
        <v>11</v>
      </c>
      <c r="B13">
        <v>10</v>
      </c>
      <c r="C13">
        <v>3</v>
      </c>
      <c r="D13">
        <v>5</v>
      </c>
      <c r="E13">
        <v>3</v>
      </c>
      <c r="F13">
        <v>4</v>
      </c>
      <c r="G13" s="70">
        <f t="shared" si="0"/>
        <v>2766</v>
      </c>
      <c r="H13" s="21">
        <v>2769</v>
      </c>
    </row>
    <row r="14" spans="1:8" x14ac:dyDescent="0.3">
      <c r="A14" s="32"/>
      <c r="B14" s="34"/>
      <c r="C14" s="34"/>
      <c r="D14" s="34"/>
      <c r="E14" s="34"/>
      <c r="F14" s="34"/>
    </row>
    <row r="15" spans="1:8" x14ac:dyDescent="0.3">
      <c r="A15" s="35" t="s">
        <v>116</v>
      </c>
      <c r="B15" s="39">
        <v>1</v>
      </c>
      <c r="C15" s="39">
        <v>1</v>
      </c>
      <c r="D15" s="39">
        <v>0</v>
      </c>
      <c r="E15" s="39">
        <v>0</v>
      </c>
      <c r="F15" s="39">
        <v>1</v>
      </c>
    </row>
    <row r="16" spans="1:8" x14ac:dyDescent="0.3">
      <c r="A16" s="35" t="s">
        <v>117</v>
      </c>
      <c r="B16" s="70">
        <f>B2-MIN($H$8/B8,$H$9/B9,$H$10/B10,$H$11/B11,$H$12/B12,$H$13/B13)*B15</f>
        <v>-99.899999999999977</v>
      </c>
      <c r="C16" s="70">
        <f t="shared" ref="C16:F16" si="1">C2-MIN($H$8/C8,$H$9/C9,$H$10/C10,$H$11/C11,$H$12/C12,$H$13/C13)*C15</f>
        <v>-132.69999999999999</v>
      </c>
      <c r="D16" s="70">
        <v>0</v>
      </c>
      <c r="E16" s="70">
        <f t="shared" si="1"/>
        <v>0</v>
      </c>
      <c r="F16" s="70">
        <f t="shared" si="1"/>
        <v>-141</v>
      </c>
      <c r="G16" s="3" t="s">
        <v>184</v>
      </c>
    </row>
    <row r="17" spans="1:8" x14ac:dyDescent="0.3">
      <c r="D17" s="34"/>
      <c r="H17" s="43"/>
    </row>
    <row r="18" spans="1:8" x14ac:dyDescent="0.3">
      <c r="A18" s="35" t="s">
        <v>122</v>
      </c>
      <c r="B18" s="21">
        <v>300</v>
      </c>
      <c r="C18" s="21">
        <v>350</v>
      </c>
      <c r="D18" s="21">
        <v>400</v>
      </c>
      <c r="E18" s="21">
        <v>450</v>
      </c>
      <c r="F18" s="21">
        <v>0</v>
      </c>
    </row>
    <row r="19" spans="1:8" x14ac:dyDescent="0.3">
      <c r="A19" s="35" t="s">
        <v>116</v>
      </c>
      <c r="B19" s="39">
        <v>0</v>
      </c>
      <c r="C19" s="39">
        <v>0</v>
      </c>
      <c r="D19" s="39">
        <v>0</v>
      </c>
      <c r="E19" s="39">
        <v>0</v>
      </c>
      <c r="F19" s="39">
        <v>0</v>
      </c>
    </row>
    <row r="20" spans="1:8" x14ac:dyDescent="0.3">
      <c r="A20" s="35" t="s">
        <v>117</v>
      </c>
      <c r="B20" s="70">
        <f>$D$2-(B$19*B$18)</f>
        <v>0</v>
      </c>
      <c r="C20" s="70">
        <f t="shared" ref="C20:F20" si="2">$D$2-(C$19*C$18)</f>
        <v>0</v>
      </c>
      <c r="D20" s="70">
        <f t="shared" si="2"/>
        <v>0</v>
      </c>
      <c r="E20" s="70">
        <f t="shared" si="2"/>
        <v>0</v>
      </c>
      <c r="F20" s="70">
        <f t="shared" si="2"/>
        <v>0</v>
      </c>
      <c r="G20" s="3" t="s">
        <v>123</v>
      </c>
      <c r="H20" s="44"/>
    </row>
    <row r="21" spans="1:8" x14ac:dyDescent="0.3">
      <c r="A21" s="35" t="s">
        <v>124</v>
      </c>
      <c r="B21" s="73">
        <f>SUM(B19:F19)</f>
        <v>0</v>
      </c>
      <c r="C21" s="35" t="s">
        <v>125</v>
      </c>
    </row>
    <row r="24" spans="1:8" x14ac:dyDescent="0.3">
      <c r="A24" s="3" t="s">
        <v>14</v>
      </c>
      <c r="B24" s="15" t="s">
        <v>174</v>
      </c>
      <c r="C24" s="15"/>
    </row>
    <row r="25" spans="1:8" x14ac:dyDescent="0.3">
      <c r="B25" t="s">
        <v>161</v>
      </c>
    </row>
    <row r="26" spans="1:8" x14ac:dyDescent="0.3">
      <c r="B26" t="s">
        <v>180</v>
      </c>
    </row>
    <row r="27" spans="1:8" x14ac:dyDescent="0.3">
      <c r="A27" s="3" t="s">
        <v>16</v>
      </c>
      <c r="B27" s="15" t="s">
        <v>169</v>
      </c>
    </row>
    <row r="28" spans="1:8" x14ac:dyDescent="0.3">
      <c r="B28" s="15" t="s">
        <v>175</v>
      </c>
      <c r="C28" t="s">
        <v>176</v>
      </c>
    </row>
    <row r="29" spans="1:8" x14ac:dyDescent="0.3">
      <c r="B29" s="15" t="s">
        <v>181</v>
      </c>
      <c r="C29" t="s">
        <v>177</v>
      </c>
    </row>
    <row r="30" spans="1:8" x14ac:dyDescent="0.3">
      <c r="B30" s="15" t="s">
        <v>182</v>
      </c>
      <c r="C30" t="s">
        <v>178</v>
      </c>
    </row>
    <row r="31" spans="1:8" x14ac:dyDescent="0.3">
      <c r="B31" s="15" t="s">
        <v>174</v>
      </c>
      <c r="C31" s="15" t="s">
        <v>162</v>
      </c>
      <c r="D31" s="16" t="s">
        <v>19</v>
      </c>
    </row>
    <row r="32" spans="1:8" x14ac:dyDescent="0.3">
      <c r="B32" t="s">
        <v>183</v>
      </c>
      <c r="C32" t="s">
        <v>163</v>
      </c>
    </row>
    <row r="33" spans="1:3" x14ac:dyDescent="0.3">
      <c r="B33" t="s">
        <v>194</v>
      </c>
    </row>
    <row r="34" spans="1:3" x14ac:dyDescent="0.3">
      <c r="A34" s="3" t="s">
        <v>17</v>
      </c>
      <c r="B34" s="15" t="s">
        <v>166</v>
      </c>
      <c r="C34" t="s">
        <v>167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4299-5DC9-4A90-8606-41033821E8C6}">
  <dimension ref="A1:H44"/>
  <sheetViews>
    <sheetView workbookViewId="0"/>
  </sheetViews>
  <sheetFormatPr defaultColWidth="13" defaultRowHeight="14.4" x14ac:dyDescent="0.3"/>
  <cols>
    <col min="1" max="1" width="22.21875" bestFit="1" customWidth="1"/>
    <col min="2" max="2" width="22.44140625" customWidth="1"/>
    <col min="7" max="7" width="14.21875" bestFit="1" customWidth="1"/>
    <col min="8" max="8" width="17.5546875" bestFit="1" customWidth="1"/>
  </cols>
  <sheetData>
    <row r="1" spans="1:8" x14ac:dyDescent="0.3">
      <c r="A1" s="32"/>
      <c r="B1" s="33" t="s">
        <v>110</v>
      </c>
      <c r="C1" s="33" t="s">
        <v>111</v>
      </c>
      <c r="D1" s="33" t="s">
        <v>2</v>
      </c>
      <c r="E1" s="33" t="s">
        <v>3</v>
      </c>
      <c r="F1" s="33" t="s">
        <v>4</v>
      </c>
    </row>
    <row r="2" spans="1:8" x14ac:dyDescent="0.3">
      <c r="A2" s="35" t="s">
        <v>112</v>
      </c>
      <c r="B2" s="57">
        <v>0</v>
      </c>
      <c r="C2" s="57">
        <v>0</v>
      </c>
      <c r="D2" s="57">
        <v>505</v>
      </c>
      <c r="E2" s="57">
        <v>0</v>
      </c>
      <c r="F2" s="57">
        <v>0</v>
      </c>
    </row>
    <row r="3" spans="1:8" x14ac:dyDescent="0.3">
      <c r="A3" s="35"/>
      <c r="B3" s="34"/>
      <c r="C3" s="34"/>
      <c r="D3" s="34"/>
      <c r="E3" s="34"/>
      <c r="F3" s="34"/>
    </row>
    <row r="4" spans="1:8" ht="15" thickBot="1" x14ac:dyDescent="0.35">
      <c r="A4" s="35" t="s">
        <v>113</v>
      </c>
      <c r="B4" s="36">
        <v>510</v>
      </c>
      <c r="C4" s="36">
        <v>300</v>
      </c>
      <c r="D4" s="36">
        <v>510</v>
      </c>
      <c r="E4" s="36">
        <v>270</v>
      </c>
      <c r="F4" s="36">
        <v>810</v>
      </c>
      <c r="H4" s="33" t="s">
        <v>114</v>
      </c>
    </row>
    <row r="5" spans="1:8" ht="15.6" thickTop="1" thickBot="1" x14ac:dyDescent="0.35">
      <c r="A5" s="35" t="s">
        <v>115</v>
      </c>
      <c r="B5" s="36">
        <v>2000</v>
      </c>
      <c r="C5" s="36">
        <v>4000</v>
      </c>
      <c r="D5" s="36">
        <v>8000</v>
      </c>
      <c r="E5" s="36">
        <v>16000</v>
      </c>
      <c r="F5" s="36">
        <v>1000</v>
      </c>
      <c r="H5" s="71">
        <f>SUMPRODUCT($B$2:$F$2,$B$4:$F$4)-SUMPRODUCT($B$5:$F$5,$B$15:$F$15)-($C$5*B19)-($C$5*C19)-($C$5*D19)-($C$5*E19)-($C$5*F19)-($E$5*B24)-($E$5*C24)-($E$5*D24)-($E$5*E24)-($E$5*F24)</f>
        <v>249550</v>
      </c>
    </row>
    <row r="6" spans="1:8" ht="15" thickTop="1" x14ac:dyDescent="0.3">
      <c r="A6" s="35"/>
      <c r="B6" s="34"/>
      <c r="C6" s="34"/>
      <c r="D6" s="34"/>
      <c r="E6" s="34"/>
      <c r="F6" s="34"/>
    </row>
    <row r="7" spans="1:8" x14ac:dyDescent="0.3">
      <c r="A7" s="35"/>
      <c r="B7" s="37"/>
      <c r="C7" s="38"/>
      <c r="D7" s="38"/>
      <c r="G7" s="33" t="s">
        <v>82</v>
      </c>
      <c r="H7" s="33" t="s">
        <v>83</v>
      </c>
    </row>
    <row r="8" spans="1:8" x14ac:dyDescent="0.3">
      <c r="A8" s="35" t="s">
        <v>6</v>
      </c>
      <c r="B8">
        <v>2</v>
      </c>
      <c r="C8">
        <v>10</v>
      </c>
      <c r="D8">
        <v>2</v>
      </c>
      <c r="E8">
        <v>3</v>
      </c>
      <c r="F8">
        <v>6</v>
      </c>
      <c r="G8" s="70">
        <f>SUMPRODUCT($B$2:$F$2,B8:F8)</f>
        <v>1010</v>
      </c>
      <c r="H8" s="33">
        <v>2487</v>
      </c>
    </row>
    <row r="9" spans="1:8" x14ac:dyDescent="0.3">
      <c r="A9" s="35" t="s">
        <v>7</v>
      </c>
      <c r="B9">
        <v>6</v>
      </c>
      <c r="C9">
        <v>3</v>
      </c>
      <c r="D9">
        <v>6</v>
      </c>
      <c r="E9">
        <v>3</v>
      </c>
      <c r="F9">
        <v>10</v>
      </c>
      <c r="G9" s="70">
        <f t="shared" ref="G9:G13" si="0">SUMPRODUCT($B$2:$F$2,B9:F9)</f>
        <v>3030</v>
      </c>
      <c r="H9" s="33">
        <v>3030</v>
      </c>
    </row>
    <row r="10" spans="1:8" x14ac:dyDescent="0.3">
      <c r="A10" s="35" t="s">
        <v>8</v>
      </c>
      <c r="B10">
        <v>2</v>
      </c>
      <c r="C10">
        <v>3</v>
      </c>
      <c r="D10">
        <v>10</v>
      </c>
      <c r="E10">
        <v>6</v>
      </c>
      <c r="F10">
        <v>2</v>
      </c>
      <c r="G10" s="70">
        <f t="shared" si="0"/>
        <v>5050</v>
      </c>
      <c r="H10" s="33">
        <v>5217</v>
      </c>
    </row>
    <row r="11" spans="1:8" x14ac:dyDescent="0.3">
      <c r="A11" s="35" t="s">
        <v>9</v>
      </c>
      <c r="B11">
        <v>7</v>
      </c>
      <c r="C11">
        <v>6</v>
      </c>
      <c r="D11">
        <v>5</v>
      </c>
      <c r="E11">
        <v>4</v>
      </c>
      <c r="F11">
        <v>3</v>
      </c>
      <c r="G11" s="70">
        <f t="shared" si="0"/>
        <v>2525</v>
      </c>
      <c r="H11" s="21">
        <v>4000</v>
      </c>
    </row>
    <row r="12" spans="1:8" x14ac:dyDescent="0.3">
      <c r="A12" s="35" t="s">
        <v>10</v>
      </c>
      <c r="B12">
        <v>5</v>
      </c>
      <c r="C12">
        <v>6</v>
      </c>
      <c r="D12">
        <v>3</v>
      </c>
      <c r="E12">
        <v>10</v>
      </c>
      <c r="F12">
        <v>2</v>
      </c>
      <c r="G12" s="70">
        <f t="shared" si="0"/>
        <v>1515</v>
      </c>
      <c r="H12" s="21">
        <v>4999</v>
      </c>
    </row>
    <row r="13" spans="1:8" x14ac:dyDescent="0.3">
      <c r="A13" s="35" t="s">
        <v>11</v>
      </c>
      <c r="B13">
        <v>10</v>
      </c>
      <c r="C13">
        <v>3</v>
      </c>
      <c r="D13">
        <v>5</v>
      </c>
      <c r="E13">
        <v>3</v>
      </c>
      <c r="F13">
        <v>4</v>
      </c>
      <c r="G13" s="70">
        <f t="shared" si="0"/>
        <v>2525</v>
      </c>
      <c r="H13" s="21">
        <v>2769</v>
      </c>
    </row>
    <row r="14" spans="1:8" x14ac:dyDescent="0.3">
      <c r="A14" s="32"/>
      <c r="B14" s="34"/>
      <c r="C14" s="34"/>
      <c r="D14" s="34"/>
      <c r="E14" s="34"/>
      <c r="F14" s="34"/>
    </row>
    <row r="15" spans="1:8" x14ac:dyDescent="0.3">
      <c r="A15" s="35" t="s">
        <v>116</v>
      </c>
      <c r="B15" s="39">
        <v>0</v>
      </c>
      <c r="C15" s="39">
        <v>0</v>
      </c>
      <c r="D15" s="39">
        <v>1</v>
      </c>
      <c r="E15" s="39">
        <v>0</v>
      </c>
      <c r="F15" s="39">
        <v>0</v>
      </c>
    </row>
    <row r="16" spans="1:8" x14ac:dyDescent="0.3">
      <c r="A16" s="35" t="s">
        <v>117</v>
      </c>
      <c r="B16" s="70">
        <f>B2-MIN($H$8/B8,$H$9/B9,$H$10/B10,$H$11/B11,$H$12/B12,$H$13/B13)*B15</f>
        <v>0</v>
      </c>
      <c r="C16" s="70">
        <v>0</v>
      </c>
      <c r="D16" s="70">
        <f t="shared" ref="D16:F16" si="1">D2-MIN($H$8/D8,$H$9/D9,$H$10/D10,$H$11/D11,$H$12/D12,$H$13/D13)*D15</f>
        <v>0</v>
      </c>
      <c r="E16" s="70">
        <v>0</v>
      </c>
      <c r="F16" s="70">
        <f t="shared" si="1"/>
        <v>0</v>
      </c>
      <c r="G16" s="3" t="s">
        <v>184</v>
      </c>
    </row>
    <row r="17" spans="1:8" x14ac:dyDescent="0.3">
      <c r="D17" s="34"/>
      <c r="H17" s="43"/>
    </row>
    <row r="18" spans="1:8" x14ac:dyDescent="0.3">
      <c r="A18" s="35" t="s">
        <v>126</v>
      </c>
      <c r="B18" s="21">
        <v>102</v>
      </c>
      <c r="C18" s="21">
        <v>103</v>
      </c>
      <c r="D18" s="21">
        <v>105</v>
      </c>
      <c r="E18" s="21">
        <v>107</v>
      </c>
      <c r="F18" s="21">
        <v>111</v>
      </c>
    </row>
    <row r="19" spans="1:8" x14ac:dyDescent="0.3">
      <c r="A19" s="35" t="s">
        <v>116</v>
      </c>
      <c r="B19" s="39">
        <v>0</v>
      </c>
      <c r="C19" s="39">
        <v>0</v>
      </c>
      <c r="D19" s="39">
        <v>0</v>
      </c>
      <c r="E19" s="39">
        <v>0</v>
      </c>
      <c r="F19" s="39">
        <v>0</v>
      </c>
    </row>
    <row r="20" spans="1:8" x14ac:dyDescent="0.3">
      <c r="A20" s="35" t="s">
        <v>117</v>
      </c>
      <c r="B20" s="70">
        <f>$C$2-(B$19*B$18)</f>
        <v>0</v>
      </c>
      <c r="C20" s="70">
        <f>$C$2-(C$19*C$18)</f>
        <v>0</v>
      </c>
      <c r="D20" s="70">
        <f>$C$2-(D$19*D$18)</f>
        <v>0</v>
      </c>
      <c r="E20" s="70">
        <f>$C$2-(E$19*E$18)</f>
        <v>0</v>
      </c>
      <c r="F20" s="70">
        <f>$C$2-(F$19*F$18)</f>
        <v>0</v>
      </c>
      <c r="G20" s="44" t="s">
        <v>123</v>
      </c>
    </row>
    <row r="21" spans="1:8" x14ac:dyDescent="0.3">
      <c r="A21" s="35" t="s">
        <v>124</v>
      </c>
      <c r="B21" s="73">
        <f>SUM(B19:F19)</f>
        <v>0</v>
      </c>
      <c r="C21" s="35" t="s">
        <v>125</v>
      </c>
    </row>
    <row r="23" spans="1:8" x14ac:dyDescent="0.3">
      <c r="A23" s="35" t="s">
        <v>127</v>
      </c>
      <c r="B23" s="21">
        <v>320</v>
      </c>
      <c r="C23" s="21">
        <v>330</v>
      </c>
      <c r="D23" s="21">
        <v>350</v>
      </c>
      <c r="E23" s="21">
        <v>370</v>
      </c>
      <c r="F23" s="21">
        <v>410</v>
      </c>
    </row>
    <row r="24" spans="1:8" x14ac:dyDescent="0.3">
      <c r="A24" s="35" t="s">
        <v>116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</row>
    <row r="25" spans="1:8" x14ac:dyDescent="0.3">
      <c r="A25" s="35" t="s">
        <v>117</v>
      </c>
      <c r="B25" s="70">
        <f>$E$2-(B$23*B$24)</f>
        <v>0</v>
      </c>
      <c r="C25" s="70">
        <f t="shared" ref="C25:G25" si="2">$E$2-(C$23*C$24)</f>
        <v>0</v>
      </c>
      <c r="D25" s="70">
        <f t="shared" si="2"/>
        <v>0</v>
      </c>
      <c r="E25" s="70">
        <f t="shared" si="2"/>
        <v>0</v>
      </c>
      <c r="F25" s="70">
        <f t="shared" si="2"/>
        <v>0</v>
      </c>
      <c r="G25" s="44" t="s">
        <v>123</v>
      </c>
    </row>
    <row r="26" spans="1:8" x14ac:dyDescent="0.3">
      <c r="A26" s="35" t="s">
        <v>124</v>
      </c>
      <c r="B26" s="73">
        <f>SUM(B24:F24)</f>
        <v>0</v>
      </c>
      <c r="C26" s="35" t="s">
        <v>125</v>
      </c>
    </row>
    <row r="30" spans="1:8" x14ac:dyDescent="0.3">
      <c r="A30" s="3" t="s">
        <v>14</v>
      </c>
      <c r="B30" s="15" t="s">
        <v>174</v>
      </c>
      <c r="C30" s="15"/>
    </row>
    <row r="31" spans="1:8" x14ac:dyDescent="0.3">
      <c r="B31" t="s">
        <v>185</v>
      </c>
    </row>
    <row r="32" spans="1:8" x14ac:dyDescent="0.3">
      <c r="B32" t="s">
        <v>180</v>
      </c>
    </row>
    <row r="33" spans="1:4" x14ac:dyDescent="0.3">
      <c r="B33" t="s">
        <v>186</v>
      </c>
    </row>
    <row r="34" spans="1:4" x14ac:dyDescent="0.3">
      <c r="A34" s="3" t="s">
        <v>16</v>
      </c>
      <c r="B34" s="15" t="s">
        <v>169</v>
      </c>
    </row>
    <row r="35" spans="1:4" x14ac:dyDescent="0.3">
      <c r="B35" s="15" t="s">
        <v>187</v>
      </c>
      <c r="C35" t="s">
        <v>188</v>
      </c>
    </row>
    <row r="36" spans="1:4" x14ac:dyDescent="0.3">
      <c r="B36" s="15" t="s">
        <v>189</v>
      </c>
      <c r="C36" t="s">
        <v>178</v>
      </c>
    </row>
    <row r="37" spans="1:4" x14ac:dyDescent="0.3">
      <c r="B37" s="15" t="s">
        <v>191</v>
      </c>
      <c r="C37" t="s">
        <v>190</v>
      </c>
    </row>
    <row r="38" spans="1:4" x14ac:dyDescent="0.3">
      <c r="B38" s="15" t="s">
        <v>182</v>
      </c>
      <c r="C38" t="s">
        <v>192</v>
      </c>
    </row>
    <row r="39" spans="1:4" x14ac:dyDescent="0.3">
      <c r="B39" s="15" t="s">
        <v>196</v>
      </c>
      <c r="C39" t="s">
        <v>193</v>
      </c>
    </row>
    <row r="40" spans="1:4" x14ac:dyDescent="0.3">
      <c r="B40" s="15" t="s">
        <v>174</v>
      </c>
      <c r="C40" s="15" t="s">
        <v>162</v>
      </c>
      <c r="D40" s="16" t="s">
        <v>19</v>
      </c>
    </row>
    <row r="41" spans="1:4" x14ac:dyDescent="0.3">
      <c r="B41" t="s">
        <v>197</v>
      </c>
      <c r="C41" t="s">
        <v>163</v>
      </c>
    </row>
    <row r="42" spans="1:4" x14ac:dyDescent="0.3">
      <c r="B42" t="s">
        <v>194</v>
      </c>
    </row>
    <row r="43" spans="1:4" x14ac:dyDescent="0.3">
      <c r="B43" t="s">
        <v>195</v>
      </c>
    </row>
    <row r="44" spans="1:4" x14ac:dyDescent="0.3">
      <c r="A44" s="3" t="s">
        <v>17</v>
      </c>
      <c r="B44" s="15" t="s">
        <v>166</v>
      </c>
      <c r="C44" t="s">
        <v>167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206C-8762-47CA-8C4A-9645DE67D270}">
  <dimension ref="A1:H38"/>
  <sheetViews>
    <sheetView workbookViewId="0"/>
  </sheetViews>
  <sheetFormatPr defaultColWidth="13" defaultRowHeight="14.4" x14ac:dyDescent="0.3"/>
  <cols>
    <col min="1" max="1" width="19.5546875" bestFit="1" customWidth="1"/>
    <col min="2" max="2" width="14" customWidth="1"/>
    <col min="7" max="7" width="14.21875" bestFit="1" customWidth="1"/>
    <col min="8" max="8" width="17.5546875" bestFit="1" customWidth="1"/>
  </cols>
  <sheetData>
    <row r="1" spans="1:8" x14ac:dyDescent="0.3">
      <c r="A1" s="32"/>
      <c r="B1" s="33" t="s">
        <v>110</v>
      </c>
      <c r="C1" s="33" t="s">
        <v>111</v>
      </c>
      <c r="D1" s="33" t="s">
        <v>2</v>
      </c>
      <c r="E1" s="33" t="s">
        <v>3</v>
      </c>
      <c r="F1" s="33" t="s">
        <v>4</v>
      </c>
    </row>
    <row r="2" spans="1:8" x14ac:dyDescent="0.3">
      <c r="A2" s="35" t="s">
        <v>112</v>
      </c>
      <c r="B2" s="39">
        <v>0</v>
      </c>
      <c r="C2" s="39">
        <v>0</v>
      </c>
      <c r="D2" s="39">
        <v>479</v>
      </c>
      <c r="E2" s="39">
        <v>12</v>
      </c>
      <c r="F2" s="39">
        <v>12</v>
      </c>
    </row>
    <row r="3" spans="1:8" x14ac:dyDescent="0.3">
      <c r="A3" s="35"/>
      <c r="B3" s="34"/>
      <c r="C3" s="34"/>
      <c r="D3" s="34"/>
      <c r="E3" s="34"/>
      <c r="F3" s="34"/>
    </row>
    <row r="4" spans="1:8" ht="15" thickBot="1" x14ac:dyDescent="0.35">
      <c r="A4" s="35" t="s">
        <v>113</v>
      </c>
      <c r="B4" s="36">
        <v>510</v>
      </c>
      <c r="C4" s="36">
        <v>300</v>
      </c>
      <c r="D4" s="36">
        <v>510</v>
      </c>
      <c r="E4" s="36">
        <v>270</v>
      </c>
      <c r="F4" s="36">
        <v>810</v>
      </c>
      <c r="H4" s="33" t="s">
        <v>114</v>
      </c>
    </row>
    <row r="5" spans="1:8" ht="15.6" thickTop="1" thickBot="1" x14ac:dyDescent="0.35">
      <c r="A5" s="35" t="s">
        <v>115</v>
      </c>
      <c r="B5" s="36">
        <v>2000</v>
      </c>
      <c r="C5" s="36">
        <v>4000</v>
      </c>
      <c r="D5" s="36">
        <v>8000</v>
      </c>
      <c r="E5" s="36">
        <v>16000</v>
      </c>
      <c r="F5" s="36">
        <v>1000</v>
      </c>
      <c r="H5" s="71">
        <f>SUMPRODUCT($B$2:$F$2,$B$4:$F$4)-SUMPRODUCT($B$5:$F$5,$B$15:$F$15)</f>
        <v>232250</v>
      </c>
    </row>
    <row r="6" spans="1:8" ht="15" thickTop="1" x14ac:dyDescent="0.3">
      <c r="A6" s="35"/>
      <c r="B6" s="34"/>
      <c r="C6" s="34"/>
      <c r="D6" s="34"/>
      <c r="E6" s="34"/>
      <c r="F6" s="34"/>
    </row>
    <row r="7" spans="1:8" x14ac:dyDescent="0.3">
      <c r="A7" s="35"/>
      <c r="B7" s="37"/>
      <c r="C7" s="38"/>
      <c r="D7" s="38"/>
      <c r="G7" s="33" t="s">
        <v>82</v>
      </c>
      <c r="H7" s="33" t="s">
        <v>83</v>
      </c>
    </row>
    <row r="8" spans="1:8" x14ac:dyDescent="0.3">
      <c r="A8" s="35" t="s">
        <v>6</v>
      </c>
      <c r="B8">
        <v>2</v>
      </c>
      <c r="C8">
        <v>10</v>
      </c>
      <c r="D8">
        <v>2</v>
      </c>
      <c r="E8">
        <v>3</v>
      </c>
      <c r="F8">
        <v>6</v>
      </c>
      <c r="G8" s="70">
        <f>SUMPRODUCT($B$2:$F$2,B8:F8)</f>
        <v>1066</v>
      </c>
      <c r="H8" s="33">
        <v>2487</v>
      </c>
    </row>
    <row r="9" spans="1:8" x14ac:dyDescent="0.3">
      <c r="A9" s="35" t="s">
        <v>7</v>
      </c>
      <c r="B9">
        <v>6</v>
      </c>
      <c r="C9">
        <v>3</v>
      </c>
      <c r="D9">
        <v>6</v>
      </c>
      <c r="E9">
        <v>3</v>
      </c>
      <c r="F9">
        <v>10</v>
      </c>
      <c r="G9" s="70">
        <f t="shared" ref="G9:G13" si="0">SUMPRODUCT($B$2:$F$2,B9:F9)</f>
        <v>3030</v>
      </c>
      <c r="H9" s="33">
        <v>3030</v>
      </c>
    </row>
    <row r="10" spans="1:8" x14ac:dyDescent="0.3">
      <c r="A10" s="35" t="s">
        <v>8</v>
      </c>
      <c r="B10">
        <v>2</v>
      </c>
      <c r="C10">
        <v>3</v>
      </c>
      <c r="D10">
        <v>10</v>
      </c>
      <c r="E10">
        <v>6</v>
      </c>
      <c r="F10">
        <v>2</v>
      </c>
      <c r="G10" s="70">
        <f t="shared" si="0"/>
        <v>4886</v>
      </c>
      <c r="H10" s="33">
        <v>5217</v>
      </c>
    </row>
    <row r="11" spans="1:8" x14ac:dyDescent="0.3">
      <c r="A11" s="35" t="s">
        <v>9</v>
      </c>
      <c r="B11">
        <v>7</v>
      </c>
      <c r="C11">
        <v>6</v>
      </c>
      <c r="D11">
        <v>5</v>
      </c>
      <c r="E11">
        <v>4</v>
      </c>
      <c r="F11">
        <v>3</v>
      </c>
      <c r="G11" s="70">
        <f t="shared" si="0"/>
        <v>2479</v>
      </c>
      <c r="H11" s="21">
        <v>4000</v>
      </c>
    </row>
    <row r="12" spans="1:8" x14ac:dyDescent="0.3">
      <c r="A12" s="35" t="s">
        <v>10</v>
      </c>
      <c r="B12">
        <v>5</v>
      </c>
      <c r="C12">
        <v>6</v>
      </c>
      <c r="D12">
        <v>3</v>
      </c>
      <c r="E12">
        <v>10</v>
      </c>
      <c r="F12">
        <v>2</v>
      </c>
      <c r="G12" s="70">
        <f t="shared" si="0"/>
        <v>1581</v>
      </c>
      <c r="H12" s="21">
        <v>4999</v>
      </c>
    </row>
    <row r="13" spans="1:8" x14ac:dyDescent="0.3">
      <c r="A13" s="35" t="s">
        <v>11</v>
      </c>
      <c r="B13">
        <v>10</v>
      </c>
      <c r="C13">
        <v>3</v>
      </c>
      <c r="D13">
        <v>5</v>
      </c>
      <c r="E13">
        <v>3</v>
      </c>
      <c r="F13">
        <v>4</v>
      </c>
      <c r="G13" s="70">
        <f t="shared" si="0"/>
        <v>2479</v>
      </c>
      <c r="H13" s="21">
        <v>2769</v>
      </c>
    </row>
    <row r="14" spans="1:8" x14ac:dyDescent="0.3">
      <c r="A14" s="32"/>
      <c r="B14" s="34"/>
      <c r="C14" s="34"/>
      <c r="D14" s="34"/>
      <c r="E14" s="34"/>
      <c r="F14" s="34"/>
    </row>
    <row r="15" spans="1:8" x14ac:dyDescent="0.3">
      <c r="A15" s="35" t="s">
        <v>116</v>
      </c>
      <c r="B15" s="39">
        <v>0</v>
      </c>
      <c r="C15" s="39">
        <v>0</v>
      </c>
      <c r="D15" s="39">
        <v>1</v>
      </c>
      <c r="E15" s="39">
        <v>1</v>
      </c>
      <c r="F15" s="39">
        <v>1</v>
      </c>
    </row>
    <row r="16" spans="1:8" x14ac:dyDescent="0.3">
      <c r="A16" s="35" t="s">
        <v>117</v>
      </c>
      <c r="B16" s="70">
        <f>B2-MIN($H$8/B8,$H$9/B9,$H$10/B10,$H$11/B11,$H$12/B12,$H$13/B13)*B15</f>
        <v>0</v>
      </c>
      <c r="C16" s="70">
        <f t="shared" ref="C16:F16" si="1">C2-MIN($H$8/C8,$H$9/C9,$H$10/C10,$H$11/C11,$H$12/C12,$H$13/C13)*C15</f>
        <v>0</v>
      </c>
      <c r="D16" s="70">
        <f t="shared" si="1"/>
        <v>-26</v>
      </c>
      <c r="E16" s="70">
        <f t="shared" si="1"/>
        <v>-487.9</v>
      </c>
      <c r="F16" s="70">
        <f t="shared" si="1"/>
        <v>-291</v>
      </c>
      <c r="G16" s="3" t="s">
        <v>184</v>
      </c>
    </row>
    <row r="18" spans="1:4" x14ac:dyDescent="0.3">
      <c r="A18" s="45" t="s">
        <v>202</v>
      </c>
      <c r="B18" s="70">
        <f>D15+B15</f>
        <v>1</v>
      </c>
      <c r="C18" s="3" t="s">
        <v>125</v>
      </c>
    </row>
    <row r="19" spans="1:4" x14ac:dyDescent="0.3">
      <c r="A19" s="45" t="s">
        <v>203</v>
      </c>
      <c r="B19" s="70">
        <f>D15+C15</f>
        <v>1</v>
      </c>
      <c r="C19" s="3" t="s">
        <v>125</v>
      </c>
    </row>
    <row r="20" spans="1:4" x14ac:dyDescent="0.3">
      <c r="A20" s="45" t="s">
        <v>200</v>
      </c>
      <c r="B20" s="70">
        <f>D15-F15</f>
        <v>0</v>
      </c>
      <c r="C20" s="3" t="s">
        <v>184</v>
      </c>
    </row>
    <row r="21" spans="1:4" x14ac:dyDescent="0.3">
      <c r="A21" s="26" t="s">
        <v>198</v>
      </c>
      <c r="B21" s="70">
        <f>F2-(10*F15)</f>
        <v>2</v>
      </c>
      <c r="C21" s="3" t="s">
        <v>201</v>
      </c>
    </row>
    <row r="22" spans="1:4" x14ac:dyDescent="0.3">
      <c r="A22" s="26" t="s">
        <v>199</v>
      </c>
      <c r="B22" s="70">
        <f>F2-(100*F15)</f>
        <v>-88</v>
      </c>
      <c r="C22" s="3" t="s">
        <v>184</v>
      </c>
    </row>
    <row r="25" spans="1:4" x14ac:dyDescent="0.3">
      <c r="A25" s="3" t="s">
        <v>14</v>
      </c>
      <c r="B25" s="15" t="s">
        <v>174</v>
      </c>
      <c r="C25" s="15"/>
    </row>
    <row r="26" spans="1:4" x14ac:dyDescent="0.3">
      <c r="B26" t="s">
        <v>161</v>
      </c>
    </row>
    <row r="27" spans="1:4" x14ac:dyDescent="0.3">
      <c r="A27" s="3" t="s">
        <v>16</v>
      </c>
      <c r="B27" s="15" t="s">
        <v>169</v>
      </c>
    </row>
    <row r="28" spans="1:4" x14ac:dyDescent="0.3">
      <c r="B28" s="15" t="s">
        <v>165</v>
      </c>
      <c r="C28" t="s">
        <v>164</v>
      </c>
    </row>
    <row r="29" spans="1:4" x14ac:dyDescent="0.3">
      <c r="B29" s="15" t="s">
        <v>174</v>
      </c>
      <c r="C29" s="15" t="s">
        <v>162</v>
      </c>
      <c r="D29" s="16" t="s">
        <v>19</v>
      </c>
    </row>
    <row r="30" spans="1:4" x14ac:dyDescent="0.3">
      <c r="B30" t="s">
        <v>161</v>
      </c>
      <c r="C30" t="s">
        <v>163</v>
      </c>
    </row>
    <row r="31" spans="1:4" x14ac:dyDescent="0.3">
      <c r="B31" t="s">
        <v>179</v>
      </c>
      <c r="C31" t="s">
        <v>208</v>
      </c>
    </row>
    <row r="32" spans="1:4" x14ac:dyDescent="0.3">
      <c r="B32" t="s">
        <v>204</v>
      </c>
      <c r="C32" t="s">
        <v>209</v>
      </c>
    </row>
    <row r="33" spans="1:3" x14ac:dyDescent="0.3">
      <c r="B33" t="s">
        <v>205</v>
      </c>
      <c r="C33" t="s">
        <v>210</v>
      </c>
    </row>
    <row r="34" spans="1:3" x14ac:dyDescent="0.3">
      <c r="B34" t="s">
        <v>206</v>
      </c>
      <c r="C34" t="s">
        <v>211</v>
      </c>
    </row>
    <row r="35" spans="1:3" x14ac:dyDescent="0.3">
      <c r="B35" t="s">
        <v>207</v>
      </c>
      <c r="C35" t="s">
        <v>212</v>
      </c>
    </row>
    <row r="36" spans="1:3" x14ac:dyDescent="0.3">
      <c r="B36" t="s">
        <v>213</v>
      </c>
      <c r="C36" t="s">
        <v>215</v>
      </c>
    </row>
    <row r="37" spans="1:3" x14ac:dyDescent="0.3">
      <c r="B37" t="s">
        <v>214</v>
      </c>
      <c r="C37" t="s">
        <v>216</v>
      </c>
    </row>
    <row r="38" spans="1:3" x14ac:dyDescent="0.3">
      <c r="A38" s="3" t="s">
        <v>17</v>
      </c>
      <c r="B38" s="15" t="s">
        <v>166</v>
      </c>
      <c r="C38" t="s">
        <v>167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6F2C-44E8-40D3-B436-E890A97EFFCB}">
  <dimension ref="A2:I20"/>
  <sheetViews>
    <sheetView workbookViewId="0"/>
  </sheetViews>
  <sheetFormatPr defaultRowHeight="14.4" x14ac:dyDescent="0.3"/>
  <cols>
    <col min="1" max="1" width="5.21875" bestFit="1" customWidth="1"/>
    <col min="2" max="2" width="6.44140625" customWidth="1"/>
    <col min="3" max="3" width="13.6640625" customWidth="1"/>
    <col min="4" max="4" width="13.21875" customWidth="1"/>
    <col min="9" max="9" width="14.44140625" bestFit="1" customWidth="1"/>
  </cols>
  <sheetData>
    <row r="2" spans="1:9" x14ac:dyDescent="0.3">
      <c r="A2" s="42" t="s">
        <v>131</v>
      </c>
      <c r="B2" s="42" t="s">
        <v>128</v>
      </c>
      <c r="C2" s="42" t="s">
        <v>129</v>
      </c>
      <c r="D2" s="42" t="s">
        <v>130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75</v>
      </c>
      <c r="B3" s="24">
        <v>1</v>
      </c>
      <c r="C3" s="24">
        <v>3</v>
      </c>
      <c r="D3" s="24">
        <v>50</v>
      </c>
      <c r="G3" s="27">
        <v>1</v>
      </c>
      <c r="H3" s="61">
        <f>SUMIF($C$3:$C$14,$G3,$A$3:$A$14)-SUMIF($B$3:$B$14,$G3,$A$3:$A$14)</f>
        <v>-75</v>
      </c>
      <c r="I3" s="61">
        <v>-75</v>
      </c>
    </row>
    <row r="4" spans="1:9" x14ac:dyDescent="0.3">
      <c r="A4" s="46">
        <v>0</v>
      </c>
      <c r="B4" s="24">
        <v>1</v>
      </c>
      <c r="C4" s="24">
        <v>4</v>
      </c>
      <c r="D4" s="24">
        <v>80</v>
      </c>
      <c r="G4" s="27">
        <v>2</v>
      </c>
      <c r="H4" s="61">
        <f t="shared" ref="H4:H10" si="0">SUMIF($C$3:$C$14,$G4,$A$3:$A$14)-SUMIF($B$3:$B$14,$G4,$A$3:$A$14)</f>
        <v>-75</v>
      </c>
      <c r="I4" s="61">
        <v>-75</v>
      </c>
    </row>
    <row r="5" spans="1:9" x14ac:dyDescent="0.3">
      <c r="A5" s="46">
        <v>0</v>
      </c>
      <c r="B5" s="24">
        <v>2</v>
      </c>
      <c r="C5" s="24">
        <v>3</v>
      </c>
      <c r="D5" s="24">
        <v>70</v>
      </c>
      <c r="G5" s="27">
        <v>3</v>
      </c>
      <c r="H5" s="61">
        <f t="shared" si="0"/>
        <v>0</v>
      </c>
      <c r="I5" s="61">
        <v>0</v>
      </c>
    </row>
    <row r="6" spans="1:9" x14ac:dyDescent="0.3">
      <c r="A6" s="46">
        <v>75</v>
      </c>
      <c r="B6" s="24">
        <v>2</v>
      </c>
      <c r="C6" s="24">
        <v>4</v>
      </c>
      <c r="D6" s="24">
        <v>40</v>
      </c>
      <c r="G6" s="27">
        <v>4</v>
      </c>
      <c r="H6" s="61">
        <f t="shared" si="0"/>
        <v>0</v>
      </c>
      <c r="I6" s="61">
        <v>0</v>
      </c>
    </row>
    <row r="7" spans="1:9" x14ac:dyDescent="0.3">
      <c r="A7" s="46">
        <v>0</v>
      </c>
      <c r="B7" s="24">
        <v>3</v>
      </c>
      <c r="C7" s="24">
        <v>5</v>
      </c>
      <c r="D7" s="24">
        <v>70</v>
      </c>
      <c r="G7" s="27">
        <v>5</v>
      </c>
      <c r="H7" s="61">
        <f t="shared" si="0"/>
        <v>0</v>
      </c>
      <c r="I7" s="61">
        <v>0</v>
      </c>
    </row>
    <row r="8" spans="1:9" x14ac:dyDescent="0.3">
      <c r="A8" s="46">
        <v>75</v>
      </c>
      <c r="B8" s="24">
        <v>3</v>
      </c>
      <c r="C8" s="24">
        <v>6</v>
      </c>
      <c r="D8" s="24">
        <v>50</v>
      </c>
      <c r="G8" s="27">
        <v>6</v>
      </c>
      <c r="H8" s="61">
        <f t="shared" si="0"/>
        <v>0</v>
      </c>
      <c r="I8" s="61">
        <v>0</v>
      </c>
    </row>
    <row r="9" spans="1:9" x14ac:dyDescent="0.3">
      <c r="A9" s="46">
        <v>75</v>
      </c>
      <c r="B9" s="24">
        <v>4</v>
      </c>
      <c r="C9" s="24">
        <v>5</v>
      </c>
      <c r="D9" s="24">
        <v>40</v>
      </c>
      <c r="G9" s="27">
        <v>7</v>
      </c>
      <c r="H9" s="61">
        <f t="shared" si="0"/>
        <v>80</v>
      </c>
      <c r="I9" s="61">
        <v>80</v>
      </c>
    </row>
    <row r="10" spans="1:9" x14ac:dyDescent="0.3">
      <c r="A10" s="46">
        <v>0</v>
      </c>
      <c r="B10" s="24">
        <v>4</v>
      </c>
      <c r="C10" s="24">
        <v>6</v>
      </c>
      <c r="D10" s="24">
        <v>80</v>
      </c>
      <c r="G10" s="27">
        <v>8</v>
      </c>
      <c r="H10" s="61">
        <f t="shared" si="0"/>
        <v>70</v>
      </c>
      <c r="I10" s="61">
        <v>70</v>
      </c>
    </row>
    <row r="11" spans="1:9" x14ac:dyDescent="0.3">
      <c r="A11" s="46">
        <v>5</v>
      </c>
      <c r="B11" s="24">
        <v>5</v>
      </c>
      <c r="C11" s="24">
        <v>7</v>
      </c>
      <c r="D11" s="24">
        <v>80</v>
      </c>
    </row>
    <row r="12" spans="1:9" x14ac:dyDescent="0.3">
      <c r="A12" s="46">
        <v>70</v>
      </c>
      <c r="B12" s="24">
        <v>5</v>
      </c>
      <c r="C12" s="24">
        <v>8</v>
      </c>
      <c r="D12" s="24">
        <v>40</v>
      </c>
    </row>
    <row r="13" spans="1:9" x14ac:dyDescent="0.3">
      <c r="A13" s="46">
        <v>75</v>
      </c>
      <c r="B13" s="24">
        <v>6</v>
      </c>
      <c r="C13" s="24">
        <v>7</v>
      </c>
      <c r="D13" s="24">
        <v>60</v>
      </c>
    </row>
    <row r="14" spans="1:9" x14ac:dyDescent="0.3">
      <c r="A14" s="46">
        <v>0</v>
      </c>
      <c r="B14" s="24">
        <v>6</v>
      </c>
      <c r="C14" s="24">
        <v>8</v>
      </c>
      <c r="D14" s="24">
        <v>70</v>
      </c>
    </row>
    <row r="17" spans="3:4" ht="43.2" x14ac:dyDescent="0.3">
      <c r="C17" s="76" t="s">
        <v>135</v>
      </c>
      <c r="D17" s="75">
        <f>SUMPRODUCT($A$3:$A$14,$D$3:$D$14)</f>
        <v>21200</v>
      </c>
    </row>
    <row r="20" spans="3:4" ht="28.8" x14ac:dyDescent="0.3">
      <c r="C20" s="76" t="s">
        <v>217</v>
      </c>
      <c r="D20" s="74">
        <f>COUNTIF(A3:A14,"&gt;0")</f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0276-9498-4855-A6DA-66AAAB551872}">
  <dimension ref="A2:I21"/>
  <sheetViews>
    <sheetView workbookViewId="0"/>
  </sheetViews>
  <sheetFormatPr defaultRowHeight="14.4" x14ac:dyDescent="0.3"/>
  <cols>
    <col min="1" max="1" width="5.21875" bestFit="1" customWidth="1"/>
    <col min="2" max="2" width="6.44140625" customWidth="1"/>
    <col min="3" max="3" width="13.6640625" customWidth="1"/>
    <col min="4" max="4" width="13.21875" customWidth="1"/>
    <col min="5" max="5" width="10.33203125" bestFit="1" customWidth="1"/>
    <col min="9" max="9" width="14.44140625" bestFit="1" customWidth="1"/>
  </cols>
  <sheetData>
    <row r="2" spans="1:9" x14ac:dyDescent="0.3">
      <c r="A2" s="58" t="s">
        <v>131</v>
      </c>
      <c r="B2" s="58" t="s">
        <v>128</v>
      </c>
      <c r="C2" s="58" t="s">
        <v>129</v>
      </c>
      <c r="D2" s="58" t="s">
        <v>130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75</v>
      </c>
      <c r="B3" s="24">
        <v>1</v>
      </c>
      <c r="C3" s="24">
        <v>3</v>
      </c>
      <c r="D3" s="24">
        <v>50</v>
      </c>
      <c r="G3" s="27">
        <v>1</v>
      </c>
      <c r="H3" s="61">
        <f>SUMIF($C$3:$C$15,$G3,$A$3:$A$15)-SUMIF($B$3:$B$15,$G3,$A$3:$A$15)</f>
        <v>-75</v>
      </c>
      <c r="I3" s="61">
        <v>-75</v>
      </c>
    </row>
    <row r="4" spans="1:9" x14ac:dyDescent="0.3">
      <c r="A4" s="46">
        <v>0</v>
      </c>
      <c r="B4" s="24">
        <v>1</v>
      </c>
      <c r="C4" s="24">
        <v>4</v>
      </c>
      <c r="D4" s="24">
        <v>80</v>
      </c>
      <c r="G4" s="27">
        <v>2</v>
      </c>
      <c r="H4" s="61">
        <f>SUMIF($C$3:$C$15,$G4,$A$3:$A$15)-SUMIF($B$3:$B$15,$G4,$A$3:$A$15)</f>
        <v>-75</v>
      </c>
      <c r="I4" s="61">
        <v>-75</v>
      </c>
    </row>
    <row r="5" spans="1:9" x14ac:dyDescent="0.3">
      <c r="A5" s="46">
        <v>0</v>
      </c>
      <c r="B5" s="24">
        <v>2</v>
      </c>
      <c r="C5" s="24">
        <v>3</v>
      </c>
      <c r="D5" s="24">
        <v>70</v>
      </c>
      <c r="G5" s="27">
        <v>3</v>
      </c>
      <c r="H5" s="61">
        <f>SUMIF($C$3:$C$15,$G5,$A$3:$A$15)-SUMIF($B$3:$B$15,$G5,$A$3:$A$15)</f>
        <v>0</v>
      </c>
      <c r="I5" s="61">
        <v>0</v>
      </c>
    </row>
    <row r="6" spans="1:9" x14ac:dyDescent="0.3">
      <c r="A6" s="46">
        <v>75</v>
      </c>
      <c r="B6" s="24">
        <v>2</v>
      </c>
      <c r="C6" s="24">
        <v>4</v>
      </c>
      <c r="D6" s="24">
        <v>40</v>
      </c>
      <c r="G6" s="27">
        <v>4</v>
      </c>
      <c r="H6" s="61">
        <f>SUMIF($C$3:$C$15,$G6,$A$3:$A$15)-SUMIF($B$3:$B$15,$G6,$A$3:$A$15)</f>
        <v>0</v>
      </c>
      <c r="I6" s="61">
        <v>0</v>
      </c>
    </row>
    <row r="7" spans="1:9" x14ac:dyDescent="0.3">
      <c r="A7" s="46">
        <v>0</v>
      </c>
      <c r="B7" s="24">
        <v>3</v>
      </c>
      <c r="C7" s="24">
        <v>5</v>
      </c>
      <c r="D7" s="24">
        <v>70</v>
      </c>
      <c r="G7" s="27">
        <v>5</v>
      </c>
      <c r="H7" s="61">
        <f>SUMIF($C$3:$C$15,$G7,$A$3:$A$15)-SUMIF($B$3:$B$15,$G7,$A$3:$A$15)</f>
        <v>0</v>
      </c>
      <c r="I7" s="61">
        <v>0</v>
      </c>
    </row>
    <row r="8" spans="1:9" x14ac:dyDescent="0.3">
      <c r="A8" s="46">
        <v>75</v>
      </c>
      <c r="B8" s="24">
        <v>3</v>
      </c>
      <c r="C8" s="24">
        <v>6</v>
      </c>
      <c r="D8" s="24">
        <v>50</v>
      </c>
      <c r="G8" s="27">
        <v>6</v>
      </c>
      <c r="H8" s="61">
        <f>SUMIF($C$3:$C$15,$G8,$A$3:$A$15)-SUMIF($B$3:$B$15,$G8,$A$3:$A$15)</f>
        <v>0</v>
      </c>
      <c r="I8" s="61">
        <v>0</v>
      </c>
    </row>
    <row r="9" spans="1:9" x14ac:dyDescent="0.3">
      <c r="A9" s="46">
        <v>30</v>
      </c>
      <c r="B9" s="24">
        <v>4</v>
      </c>
      <c r="C9" s="24">
        <v>5</v>
      </c>
      <c r="D9" s="24">
        <v>40</v>
      </c>
      <c r="E9" t="s">
        <v>220</v>
      </c>
      <c r="G9" s="27">
        <v>7</v>
      </c>
      <c r="H9" s="61">
        <f>SUMIF($C$3:$C$15,$G9,$A$3:$A$15)-SUMIF($B$3:$B$15,$G9,$A$3:$A$15)</f>
        <v>80</v>
      </c>
      <c r="I9" s="61">
        <v>80</v>
      </c>
    </row>
    <row r="10" spans="1:9" x14ac:dyDescent="0.3">
      <c r="A10" s="46">
        <v>40</v>
      </c>
      <c r="B10" s="77">
        <v>4</v>
      </c>
      <c r="C10" s="77">
        <v>5</v>
      </c>
      <c r="D10" s="77">
        <v>60</v>
      </c>
      <c r="E10" t="s">
        <v>218</v>
      </c>
      <c r="G10" s="27">
        <v>8</v>
      </c>
      <c r="H10" s="61">
        <f>SUMIF($C$3:$C$15,$G10,$A$3:$A$15)-SUMIF($B$3:$B$15,$G10,$A$3:$A$15)</f>
        <v>70</v>
      </c>
      <c r="I10" s="61">
        <v>70</v>
      </c>
    </row>
    <row r="11" spans="1:9" x14ac:dyDescent="0.3">
      <c r="A11" s="46">
        <v>5</v>
      </c>
      <c r="B11" s="24">
        <v>4</v>
      </c>
      <c r="C11" s="24">
        <v>6</v>
      </c>
      <c r="D11" s="24">
        <v>80</v>
      </c>
    </row>
    <row r="12" spans="1:9" x14ac:dyDescent="0.3">
      <c r="A12" s="46">
        <v>0</v>
      </c>
      <c r="B12" s="24">
        <v>5</v>
      </c>
      <c r="C12" s="24">
        <v>7</v>
      </c>
      <c r="D12" s="24">
        <v>80</v>
      </c>
    </row>
    <row r="13" spans="1:9" x14ac:dyDescent="0.3">
      <c r="A13" s="46">
        <v>70</v>
      </c>
      <c r="B13" s="24">
        <v>5</v>
      </c>
      <c r="C13" s="24">
        <v>8</v>
      </c>
      <c r="D13" s="24">
        <v>40</v>
      </c>
    </row>
    <row r="14" spans="1:9" x14ac:dyDescent="0.3">
      <c r="A14" s="46">
        <v>80</v>
      </c>
      <c r="B14" s="24">
        <v>6</v>
      </c>
      <c r="C14" s="24">
        <v>7</v>
      </c>
      <c r="D14" s="24">
        <v>60</v>
      </c>
    </row>
    <row r="15" spans="1:9" x14ac:dyDescent="0.3">
      <c r="A15" s="46">
        <v>0</v>
      </c>
      <c r="B15" s="24">
        <v>6</v>
      </c>
      <c r="C15" s="24">
        <v>8</v>
      </c>
      <c r="D15" s="24">
        <v>70</v>
      </c>
    </row>
    <row r="18" spans="3:4" ht="43.2" x14ac:dyDescent="0.3">
      <c r="C18" s="76" t="s">
        <v>135</v>
      </c>
      <c r="D18" s="75">
        <f>SUMPRODUCT($A$3:$A$15,$D$3:$D$15)</f>
        <v>22100</v>
      </c>
    </row>
    <row r="21" spans="3:4" ht="28.8" x14ac:dyDescent="0.3">
      <c r="C21" s="76" t="s">
        <v>217</v>
      </c>
      <c r="D21" s="74">
        <f>COUNTIF(A3:A15,"&gt;0")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8858-B431-4FD7-B29A-D7B7C677C308}">
  <sheetPr codeName="Sheet2"/>
  <dimension ref="A1:K23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664062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11" x14ac:dyDescent="0.3">
      <c r="A1" s="3" t="s">
        <v>20</v>
      </c>
    </row>
    <row r="2" spans="1:11" x14ac:dyDescent="0.3">
      <c r="A2" s="3" t="s">
        <v>21</v>
      </c>
    </row>
    <row r="3" spans="1:11" x14ac:dyDescent="0.3">
      <c r="A3" s="3" t="s">
        <v>84</v>
      </c>
    </row>
    <row r="6" spans="1:11" ht="15" thickBot="1" x14ac:dyDescent="0.35">
      <c r="A6" t="s">
        <v>22</v>
      </c>
    </row>
    <row r="7" spans="1:11" x14ac:dyDescent="0.3">
      <c r="B7" s="6"/>
      <c r="C7" s="6"/>
      <c r="D7" s="6" t="s">
        <v>25</v>
      </c>
      <c r="E7" s="6" t="s">
        <v>27</v>
      </c>
      <c r="F7" s="6" t="s">
        <v>29</v>
      </c>
      <c r="G7" s="6" t="s">
        <v>31</v>
      </c>
      <c r="H7" s="6" t="s">
        <v>31</v>
      </c>
    </row>
    <row r="8" spans="1:11" ht="15" thickBot="1" x14ac:dyDescent="0.35">
      <c r="B8" s="7" t="s">
        <v>23</v>
      </c>
      <c r="C8" s="7" t="s">
        <v>24</v>
      </c>
      <c r="D8" s="7" t="s">
        <v>26</v>
      </c>
      <c r="E8" s="7" t="s">
        <v>28</v>
      </c>
      <c r="F8" s="7" t="s">
        <v>30</v>
      </c>
      <c r="G8" s="7" t="s">
        <v>32</v>
      </c>
      <c r="H8" s="7" t="s">
        <v>33</v>
      </c>
    </row>
    <row r="9" spans="1:11" x14ac:dyDescent="0.3">
      <c r="B9" s="4" t="s">
        <v>38</v>
      </c>
      <c r="C9" s="4" t="s">
        <v>39</v>
      </c>
      <c r="D9" s="4">
        <v>3.9999999999999876</v>
      </c>
      <c r="E9" s="4">
        <v>0</v>
      </c>
      <c r="F9" s="4">
        <v>510</v>
      </c>
      <c r="G9" s="4">
        <v>1.3333333333333279</v>
      </c>
      <c r="H9" s="4">
        <v>27.692307692307704</v>
      </c>
      <c r="J9">
        <f>F9+G9</f>
        <v>511.33333333333331</v>
      </c>
      <c r="K9">
        <f>F9-H9</f>
        <v>482.30769230769232</v>
      </c>
    </row>
    <row r="10" spans="1:11" x14ac:dyDescent="0.3">
      <c r="B10" s="4" t="s">
        <v>40</v>
      </c>
      <c r="C10" s="4" t="s">
        <v>41</v>
      </c>
      <c r="D10" s="4">
        <v>83.000000000000028</v>
      </c>
      <c r="E10" s="4">
        <v>0</v>
      </c>
      <c r="F10" s="4">
        <v>300</v>
      </c>
      <c r="G10" s="4">
        <v>22.499999999999918</v>
      </c>
      <c r="H10" s="4">
        <v>38.142857142857139</v>
      </c>
      <c r="J10">
        <f t="shared" ref="J10:J13" si="0">F10+G10</f>
        <v>322.49999999999994</v>
      </c>
      <c r="K10">
        <f t="shared" ref="K10:K13" si="1">F10-H10</f>
        <v>261.85714285714289</v>
      </c>
    </row>
    <row r="11" spans="1:11" x14ac:dyDescent="0.3">
      <c r="B11" s="4" t="s">
        <v>42</v>
      </c>
      <c r="C11" s="4" t="s">
        <v>43</v>
      </c>
      <c r="D11" s="4">
        <v>276.99999999999989</v>
      </c>
      <c r="E11" s="4">
        <v>0</v>
      </c>
      <c r="F11" s="4">
        <v>510</v>
      </c>
      <c r="G11" s="4">
        <v>8.7804878048780495</v>
      </c>
      <c r="H11" s="4">
        <v>1.4876033057851179</v>
      </c>
      <c r="J11">
        <f t="shared" si="0"/>
        <v>518.78048780487802</v>
      </c>
      <c r="K11">
        <f t="shared" si="1"/>
        <v>508.51239669421489</v>
      </c>
    </row>
    <row r="12" spans="1:11" x14ac:dyDescent="0.3">
      <c r="B12" s="4" t="s">
        <v>44</v>
      </c>
      <c r="C12" s="4" t="s">
        <v>45</v>
      </c>
      <c r="D12" s="4">
        <v>365.00000000000006</v>
      </c>
      <c r="E12" s="4">
        <v>0</v>
      </c>
      <c r="F12" s="4">
        <v>270</v>
      </c>
      <c r="G12" s="4">
        <v>48.396226415094269</v>
      </c>
      <c r="H12" s="4">
        <v>4.9999999999999822</v>
      </c>
      <c r="J12">
        <f t="shared" si="0"/>
        <v>318.39622641509425</v>
      </c>
      <c r="K12">
        <f t="shared" si="1"/>
        <v>265</v>
      </c>
    </row>
    <row r="13" spans="1:11" ht="15" thickBot="1" x14ac:dyDescent="0.35">
      <c r="B13" s="5" t="s">
        <v>46</v>
      </c>
      <c r="C13" s="5" t="s">
        <v>47</v>
      </c>
      <c r="D13" s="5">
        <v>0</v>
      </c>
      <c r="E13" s="5">
        <v>-48.339222614840899</v>
      </c>
      <c r="F13" s="5">
        <v>810</v>
      </c>
      <c r="G13" s="5">
        <v>48.339222614840899</v>
      </c>
      <c r="H13" s="5">
        <v>1E+30</v>
      </c>
      <c r="J13">
        <f t="shared" si="0"/>
        <v>858.33922261484088</v>
      </c>
      <c r="K13">
        <f t="shared" si="1"/>
        <v>-1E+30</v>
      </c>
    </row>
    <row r="15" spans="1:11" ht="15" thickBot="1" x14ac:dyDescent="0.35">
      <c r="A15" t="s">
        <v>16</v>
      </c>
    </row>
    <row r="16" spans="1:11" x14ac:dyDescent="0.3">
      <c r="B16" s="6"/>
      <c r="C16" s="6"/>
      <c r="D16" s="6" t="s">
        <v>25</v>
      </c>
      <c r="E16" s="6" t="s">
        <v>34</v>
      </c>
      <c r="F16" s="6" t="s">
        <v>36</v>
      </c>
      <c r="G16" s="6" t="s">
        <v>31</v>
      </c>
      <c r="H16" s="6" t="s">
        <v>31</v>
      </c>
    </row>
    <row r="17" spans="2:11" ht="15" thickBot="1" x14ac:dyDescent="0.35">
      <c r="B17" s="7" t="s">
        <v>23</v>
      </c>
      <c r="C17" s="7" t="s">
        <v>24</v>
      </c>
      <c r="D17" s="7" t="s">
        <v>26</v>
      </c>
      <c r="E17" s="7" t="s">
        <v>35</v>
      </c>
      <c r="F17" s="7" t="s">
        <v>37</v>
      </c>
      <c r="G17" s="7" t="s">
        <v>32</v>
      </c>
      <c r="H17" s="7" t="s">
        <v>33</v>
      </c>
    </row>
    <row r="18" spans="2:11" x14ac:dyDescent="0.3">
      <c r="B18" s="4" t="s">
        <v>48</v>
      </c>
      <c r="C18" s="4" t="s">
        <v>85</v>
      </c>
      <c r="D18" s="4">
        <v>2487</v>
      </c>
      <c r="E18" s="4">
        <v>4.7173144876325086</v>
      </c>
      <c r="F18" s="4">
        <v>2487</v>
      </c>
      <c r="G18" s="4">
        <v>105.30232558139501</v>
      </c>
      <c r="H18" s="4">
        <v>3.3964745642480529E-12</v>
      </c>
      <c r="J18">
        <f>F18+G18</f>
        <v>2592.3023255813951</v>
      </c>
      <c r="K18">
        <f>F18-H18</f>
        <v>2486.9999999999968</v>
      </c>
    </row>
    <row r="19" spans="2:11" x14ac:dyDescent="0.3">
      <c r="B19" s="4" t="s">
        <v>49</v>
      </c>
      <c r="C19" s="4" t="s">
        <v>86</v>
      </c>
      <c r="D19" s="4">
        <v>3029.9999999999995</v>
      </c>
      <c r="E19" s="4">
        <v>82.844522968197865</v>
      </c>
      <c r="F19" s="4">
        <v>3030</v>
      </c>
      <c r="G19" s="4">
        <v>2.9894380799199679E-13</v>
      </c>
      <c r="H19" s="4">
        <v>20.005891016200238</v>
      </c>
      <c r="J19">
        <f t="shared" ref="J19:J23" si="2">F19+G19</f>
        <v>3030.0000000000005</v>
      </c>
      <c r="K19">
        <f t="shared" ref="K19:K23" si="3">F19-H19</f>
        <v>3009.9941089837998</v>
      </c>
    </row>
    <row r="20" spans="2:11" x14ac:dyDescent="0.3">
      <c r="B20" s="4" t="s">
        <v>50</v>
      </c>
      <c r="C20" s="4" t="s">
        <v>87</v>
      </c>
      <c r="D20" s="4">
        <v>5217</v>
      </c>
      <c r="E20" s="4">
        <v>0.15901060070671311</v>
      </c>
      <c r="F20" s="4">
        <v>5217</v>
      </c>
      <c r="G20" s="4">
        <v>33.540740740740645</v>
      </c>
      <c r="H20" s="4">
        <v>9.0949470177292824E-13</v>
      </c>
      <c r="J20">
        <f t="shared" si="2"/>
        <v>5250.5407407407411</v>
      </c>
      <c r="K20">
        <f t="shared" si="3"/>
        <v>5216.9999999999991</v>
      </c>
    </row>
    <row r="21" spans="2:11" x14ac:dyDescent="0.3">
      <c r="B21" s="4" t="s">
        <v>51</v>
      </c>
      <c r="C21" s="4" t="s">
        <v>88</v>
      </c>
      <c r="D21" s="4">
        <v>3371</v>
      </c>
      <c r="E21" s="4">
        <v>0</v>
      </c>
      <c r="F21" s="4">
        <v>4000</v>
      </c>
      <c r="G21" s="4">
        <v>1E+30</v>
      </c>
      <c r="H21" s="4">
        <v>629.00000000000068</v>
      </c>
      <c r="J21">
        <f t="shared" si="2"/>
        <v>1E+30</v>
      </c>
      <c r="K21">
        <f t="shared" si="3"/>
        <v>3370.9999999999991</v>
      </c>
    </row>
    <row r="22" spans="2:11" x14ac:dyDescent="0.3">
      <c r="B22" s="4" t="s">
        <v>52</v>
      </c>
      <c r="C22" s="4" t="s">
        <v>89</v>
      </c>
      <c r="D22" s="4">
        <v>4999</v>
      </c>
      <c r="E22" s="4">
        <v>0.63604240282685509</v>
      </c>
      <c r="F22" s="4">
        <v>4999</v>
      </c>
      <c r="G22" s="4">
        <v>3.2321290208166974E-12</v>
      </c>
      <c r="H22" s="4">
        <v>174.15384615384568</v>
      </c>
      <c r="J22">
        <f t="shared" si="2"/>
        <v>4999.0000000000036</v>
      </c>
      <c r="K22">
        <f t="shared" si="3"/>
        <v>4824.8461538461543</v>
      </c>
    </row>
    <row r="23" spans="2:11" ht="15" thickBot="1" x14ac:dyDescent="0.35">
      <c r="B23" s="5" t="s">
        <v>53</v>
      </c>
      <c r="C23" s="5" t="s">
        <v>90</v>
      </c>
      <c r="D23" s="5">
        <v>2769</v>
      </c>
      <c r="E23" s="5">
        <v>0</v>
      </c>
      <c r="F23" s="5">
        <v>2769</v>
      </c>
      <c r="G23" s="5">
        <v>1E+30</v>
      </c>
      <c r="H23" s="5">
        <v>5.3107420306705432E-13</v>
      </c>
      <c r="J23">
        <f t="shared" si="2"/>
        <v>1E+30</v>
      </c>
      <c r="K23">
        <f t="shared" si="3"/>
        <v>2768.9999999999995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5F53-655C-4191-BEA9-C361B9B6F786}">
  <dimension ref="A2:I22"/>
  <sheetViews>
    <sheetView workbookViewId="0"/>
  </sheetViews>
  <sheetFormatPr defaultRowHeight="14.4" x14ac:dyDescent="0.3"/>
  <cols>
    <col min="1" max="1" width="5.21875" bestFit="1" customWidth="1"/>
    <col min="2" max="2" width="6.44140625" customWidth="1"/>
    <col min="3" max="3" width="13.6640625" customWidth="1"/>
    <col min="4" max="4" width="13.21875" customWidth="1"/>
    <col min="5" max="5" width="10.33203125" bestFit="1" customWidth="1"/>
    <col min="9" max="9" width="14.44140625" bestFit="1" customWidth="1"/>
  </cols>
  <sheetData>
    <row r="2" spans="1:9" x14ac:dyDescent="0.3">
      <c r="A2" s="58" t="s">
        <v>131</v>
      </c>
      <c r="B2" s="58" t="s">
        <v>128</v>
      </c>
      <c r="C2" s="58" t="s">
        <v>129</v>
      </c>
      <c r="D2" s="58" t="s">
        <v>130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75</v>
      </c>
      <c r="B3" s="24">
        <v>1</v>
      </c>
      <c r="C3" s="24">
        <v>3</v>
      </c>
      <c r="D3" s="24">
        <v>50</v>
      </c>
      <c r="G3" s="27">
        <v>1</v>
      </c>
      <c r="H3" s="61">
        <f>SUMIF($C$3:$C$16,$G3,$A$3:$A$16)-SUMIF($B$3:$B$16,$G3,$A$3:$A$16)</f>
        <v>-75</v>
      </c>
      <c r="I3" s="61">
        <v>-75</v>
      </c>
    </row>
    <row r="4" spans="1:9" x14ac:dyDescent="0.3">
      <c r="A4" s="46">
        <v>0</v>
      </c>
      <c r="B4" s="24">
        <v>1</v>
      </c>
      <c r="C4" s="24">
        <v>4</v>
      </c>
      <c r="D4" s="24">
        <v>80</v>
      </c>
      <c r="G4" s="27">
        <v>2</v>
      </c>
      <c r="H4" s="61">
        <f>SUMIF($C$3:$C$16,$G4,$A$3:$A$16)-SUMIF($B$3:$B$16,$G4,$A$3:$A$16)</f>
        <v>-75</v>
      </c>
      <c r="I4" s="61">
        <v>-75</v>
      </c>
    </row>
    <row r="5" spans="1:9" x14ac:dyDescent="0.3">
      <c r="A5" s="46">
        <v>0</v>
      </c>
      <c r="B5" s="24">
        <v>2</v>
      </c>
      <c r="C5" s="24">
        <v>3</v>
      </c>
      <c r="D5" s="24">
        <v>70</v>
      </c>
      <c r="G5" s="27">
        <v>3</v>
      </c>
      <c r="H5" s="61">
        <f>SUMIF($C$3:$C$16,$G5,$A$3:$A$16)-SUMIF($B$3:$B$16,$G5,$A$3:$A$16)</f>
        <v>0</v>
      </c>
      <c r="I5" s="61">
        <v>0</v>
      </c>
    </row>
    <row r="6" spans="1:9" x14ac:dyDescent="0.3">
      <c r="A6" s="46">
        <v>75</v>
      </c>
      <c r="B6" s="24">
        <v>2</v>
      </c>
      <c r="C6" s="24">
        <v>4</v>
      </c>
      <c r="D6" s="24">
        <v>40</v>
      </c>
      <c r="G6" s="27">
        <v>4</v>
      </c>
      <c r="H6" s="61">
        <f>SUMIF($C$3:$C$16,$G6,$A$3:$A$16)-SUMIF($B$3:$B$16,$G6,$A$3:$A$16)</f>
        <v>0</v>
      </c>
      <c r="I6" s="61">
        <v>0</v>
      </c>
    </row>
    <row r="7" spans="1:9" x14ac:dyDescent="0.3">
      <c r="A7" s="46">
        <v>15</v>
      </c>
      <c r="B7" s="24">
        <v>3</v>
      </c>
      <c r="C7" s="24">
        <v>5</v>
      </c>
      <c r="D7" s="24">
        <v>70</v>
      </c>
      <c r="G7" s="27">
        <v>5</v>
      </c>
      <c r="H7" s="61">
        <f>SUMIF($C$3:$C$16,$G7,$A$3:$A$16)-SUMIF($B$3:$B$16,$G7,$A$3:$A$16)</f>
        <v>0</v>
      </c>
      <c r="I7" s="61">
        <v>0</v>
      </c>
    </row>
    <row r="8" spans="1:9" x14ac:dyDescent="0.3">
      <c r="A8" s="46">
        <v>60</v>
      </c>
      <c r="B8" s="24">
        <v>3</v>
      </c>
      <c r="C8" s="24">
        <v>6</v>
      </c>
      <c r="D8" s="24">
        <v>50</v>
      </c>
      <c r="G8" s="27">
        <v>6</v>
      </c>
      <c r="H8" s="61">
        <f>SUMIF($C$3:$C$16,$G8,$A$3:$A$16)-SUMIF($B$3:$B$16,$G8,$A$3:$A$16)</f>
        <v>0</v>
      </c>
      <c r="I8" s="61">
        <v>0</v>
      </c>
    </row>
    <row r="9" spans="1:9" x14ac:dyDescent="0.3">
      <c r="A9" s="46">
        <v>30</v>
      </c>
      <c r="B9" s="24">
        <v>4</v>
      </c>
      <c r="C9" s="24">
        <v>5</v>
      </c>
      <c r="D9" s="24">
        <v>40</v>
      </c>
      <c r="E9" t="s">
        <v>220</v>
      </c>
      <c r="G9" s="27">
        <v>7</v>
      </c>
      <c r="H9" s="61">
        <f>SUMIF($C$3:$C$16,$G9,$A$3:$A$16)-SUMIF($B$3:$B$16,$G9,$A$3:$A$16)</f>
        <v>80</v>
      </c>
      <c r="I9" s="61">
        <v>80</v>
      </c>
    </row>
    <row r="10" spans="1:9" x14ac:dyDescent="0.3">
      <c r="A10" s="46">
        <v>25</v>
      </c>
      <c r="B10" s="27">
        <v>4</v>
      </c>
      <c r="C10" s="27">
        <v>5</v>
      </c>
      <c r="D10" s="27">
        <v>60</v>
      </c>
      <c r="E10" t="s">
        <v>219</v>
      </c>
      <c r="G10" s="27">
        <v>8</v>
      </c>
      <c r="H10" s="61">
        <f>SUMIF($C$3:$C$16,$G10,$A$3:$A$16)-SUMIF($B$3:$B$16,$G10,$A$3:$A$16)</f>
        <v>70</v>
      </c>
      <c r="I10" s="61">
        <v>70</v>
      </c>
    </row>
    <row r="11" spans="1:9" x14ac:dyDescent="0.3">
      <c r="A11" s="46">
        <v>0</v>
      </c>
      <c r="B11" s="27">
        <v>4</v>
      </c>
      <c r="C11" s="27">
        <v>5</v>
      </c>
      <c r="D11" s="27">
        <v>110</v>
      </c>
      <c r="E11" t="s">
        <v>221</v>
      </c>
    </row>
    <row r="12" spans="1:9" x14ac:dyDescent="0.3">
      <c r="A12" s="46">
        <v>20</v>
      </c>
      <c r="B12" s="24">
        <v>4</v>
      </c>
      <c r="C12" s="24">
        <v>6</v>
      </c>
      <c r="D12" s="24">
        <v>80</v>
      </c>
    </row>
    <row r="13" spans="1:9" x14ac:dyDescent="0.3">
      <c r="A13" s="46">
        <v>0</v>
      </c>
      <c r="B13" s="24">
        <v>5</v>
      </c>
      <c r="C13" s="24">
        <v>7</v>
      </c>
      <c r="D13" s="24">
        <v>80</v>
      </c>
    </row>
    <row r="14" spans="1:9" x14ac:dyDescent="0.3">
      <c r="A14" s="46">
        <v>70</v>
      </c>
      <c r="B14" s="24">
        <v>5</v>
      </c>
      <c r="C14" s="24">
        <v>8</v>
      </c>
      <c r="D14" s="24">
        <v>40</v>
      </c>
    </row>
    <row r="15" spans="1:9" x14ac:dyDescent="0.3">
      <c r="A15" s="46">
        <v>80</v>
      </c>
      <c r="B15" s="24">
        <v>6</v>
      </c>
      <c r="C15" s="24">
        <v>7</v>
      </c>
      <c r="D15" s="24">
        <v>60</v>
      </c>
    </row>
    <row r="16" spans="1:9" x14ac:dyDescent="0.3">
      <c r="A16" s="46">
        <v>0</v>
      </c>
      <c r="B16" s="24">
        <v>6</v>
      </c>
      <c r="C16" s="24">
        <v>8</v>
      </c>
      <c r="D16" s="24">
        <v>70</v>
      </c>
    </row>
    <row r="19" spans="3:4" ht="43.2" x14ac:dyDescent="0.3">
      <c r="C19" s="76" t="s">
        <v>135</v>
      </c>
      <c r="D19" s="75">
        <f>SUMPRODUCT($A$3:$A$16,$D$3:$D$16)</f>
        <v>22700</v>
      </c>
    </row>
    <row r="22" spans="3:4" ht="28.8" x14ac:dyDescent="0.3">
      <c r="C22" s="76" t="s">
        <v>217</v>
      </c>
      <c r="D22" s="74">
        <f>COUNTIF(A3:A16,"&gt;0")</f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850-3AAE-4EA5-B76A-42BD0EFD4250}">
  <dimension ref="A2:I15"/>
  <sheetViews>
    <sheetView workbookViewId="0"/>
  </sheetViews>
  <sheetFormatPr defaultRowHeight="14.4" x14ac:dyDescent="0.3"/>
  <cols>
    <col min="1" max="1" width="8.6640625" bestFit="1" customWidth="1"/>
    <col min="2" max="2" width="6.44140625" customWidth="1"/>
    <col min="3" max="3" width="13.6640625" customWidth="1"/>
    <col min="4" max="4" width="13.21875" customWidth="1"/>
    <col min="9" max="9" width="14.44140625" bestFit="1" customWidth="1"/>
  </cols>
  <sheetData>
    <row r="2" spans="1:9" x14ac:dyDescent="0.3">
      <c r="A2" s="58" t="s">
        <v>226</v>
      </c>
      <c r="B2" s="58" t="s">
        <v>128</v>
      </c>
      <c r="C2" s="58" t="s">
        <v>129</v>
      </c>
      <c r="D2" s="58" t="s">
        <v>222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0</v>
      </c>
      <c r="B3" s="24">
        <v>2</v>
      </c>
      <c r="C3" s="24">
        <v>3</v>
      </c>
      <c r="D3" s="24">
        <v>70</v>
      </c>
      <c r="G3" s="27">
        <v>2</v>
      </c>
      <c r="H3" s="61">
        <f>SUMIF($C$3:$C$10,$G3,$A$3:$A$10)-SUMIF($B$3:$B$10,$G3,$A$3:$A$10)</f>
        <v>-1</v>
      </c>
      <c r="I3" s="61">
        <v>-1</v>
      </c>
    </row>
    <row r="4" spans="1:9" x14ac:dyDescent="0.3">
      <c r="A4" s="46">
        <v>1</v>
      </c>
      <c r="B4" s="24">
        <v>2</v>
      </c>
      <c r="C4" s="24">
        <v>4</v>
      </c>
      <c r="D4" s="24">
        <v>40</v>
      </c>
      <c r="G4" s="27">
        <v>3</v>
      </c>
      <c r="H4" s="61">
        <f>SUMIF($C$3:$C$10,$G4,$A$3:$A$10)-SUMIF($B$3:$B$10,$G4,$A$3:$A$10)</f>
        <v>0</v>
      </c>
      <c r="I4" s="61">
        <v>0</v>
      </c>
    </row>
    <row r="5" spans="1:9" x14ac:dyDescent="0.3">
      <c r="A5" s="46">
        <v>0</v>
      </c>
      <c r="B5" s="24">
        <v>3</v>
      </c>
      <c r="C5" s="24">
        <v>5</v>
      </c>
      <c r="D5" s="24">
        <v>70</v>
      </c>
      <c r="G5" s="27">
        <v>4</v>
      </c>
      <c r="H5" s="61">
        <f>SUMIF($C$3:$C$10,$G5,$A$3:$A$10)-SUMIF($B$3:$B$10,$G5,$A$3:$A$10)</f>
        <v>0</v>
      </c>
      <c r="I5" s="61">
        <v>0</v>
      </c>
    </row>
    <row r="6" spans="1:9" x14ac:dyDescent="0.3">
      <c r="A6" s="46">
        <v>0</v>
      </c>
      <c r="B6" s="24">
        <v>3</v>
      </c>
      <c r="C6" s="24">
        <v>6</v>
      </c>
      <c r="D6" s="24">
        <v>50</v>
      </c>
      <c r="G6" s="27">
        <v>5</v>
      </c>
      <c r="H6" s="61">
        <f>SUMIF($C$3:$C$10,$G6,$A$3:$A$10)-SUMIF($B$3:$B$10,$G6,$A$3:$A$10)</f>
        <v>0</v>
      </c>
      <c r="I6" s="61">
        <v>0</v>
      </c>
    </row>
    <row r="7" spans="1:9" x14ac:dyDescent="0.3">
      <c r="A7" s="46">
        <v>1</v>
      </c>
      <c r="B7" s="24">
        <v>4</v>
      </c>
      <c r="C7" s="24">
        <v>5</v>
      </c>
      <c r="D7" s="24">
        <v>40</v>
      </c>
      <c r="G7" s="27">
        <v>6</v>
      </c>
      <c r="H7" s="61">
        <f>SUMIF($C$3:$C$10,$G7,$A$3:$A$10)-SUMIF($B$3:$B$10,$G7,$A$3:$A$10)</f>
        <v>0</v>
      </c>
      <c r="I7" s="61">
        <v>0</v>
      </c>
    </row>
    <row r="8" spans="1:9" x14ac:dyDescent="0.3">
      <c r="A8" s="46">
        <v>0</v>
      </c>
      <c r="B8" s="24">
        <v>4</v>
      </c>
      <c r="C8" s="24">
        <v>6</v>
      </c>
      <c r="D8" s="24">
        <v>80</v>
      </c>
      <c r="G8" s="27">
        <v>8</v>
      </c>
      <c r="H8" s="61">
        <f>SUMIF($C$3:$C$10,$G8,$A$3:$A$10)-SUMIF($B$3:$B$10,$G8,$A$3:$A$10)</f>
        <v>1</v>
      </c>
      <c r="I8" s="61">
        <v>1</v>
      </c>
    </row>
    <row r="9" spans="1:9" x14ac:dyDescent="0.3">
      <c r="A9" s="46">
        <v>1</v>
      </c>
      <c r="B9" s="24">
        <v>5</v>
      </c>
      <c r="C9" s="24">
        <v>8</v>
      </c>
      <c r="D9" s="24">
        <v>40</v>
      </c>
    </row>
    <row r="10" spans="1:9" x14ac:dyDescent="0.3">
      <c r="A10" s="46">
        <v>0</v>
      </c>
      <c r="B10" s="24">
        <v>6</v>
      </c>
      <c r="C10" s="24">
        <v>8</v>
      </c>
      <c r="D10" s="24">
        <v>70</v>
      </c>
    </row>
    <row r="12" spans="1:9" x14ac:dyDescent="0.3">
      <c r="C12" s="76" t="s">
        <v>223</v>
      </c>
      <c r="D12" s="78">
        <f>SUMPRODUCT($A$3:$A$10,$D$3:$D$10)</f>
        <v>120</v>
      </c>
    </row>
    <row r="15" spans="1:9" ht="28.8" x14ac:dyDescent="0.3">
      <c r="C15" s="76" t="s">
        <v>217</v>
      </c>
      <c r="D15" s="74">
        <f>COUNTIF(A3:A10,"&gt;0")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B72B-0076-45BD-A3D0-8DC0968CFB6B}">
  <dimension ref="A2:I15"/>
  <sheetViews>
    <sheetView workbookViewId="0"/>
  </sheetViews>
  <sheetFormatPr defaultRowHeight="14.4" x14ac:dyDescent="0.3"/>
  <cols>
    <col min="1" max="1" width="8.6640625" bestFit="1" customWidth="1"/>
    <col min="2" max="2" width="6.44140625" customWidth="1"/>
    <col min="3" max="3" width="13.6640625" customWidth="1"/>
    <col min="4" max="4" width="13.21875" customWidth="1"/>
    <col min="9" max="9" width="14.44140625" bestFit="1" customWidth="1"/>
  </cols>
  <sheetData>
    <row r="2" spans="1:9" x14ac:dyDescent="0.3">
      <c r="A2" s="58" t="s">
        <v>226</v>
      </c>
      <c r="B2" s="58" t="s">
        <v>128</v>
      </c>
      <c r="C2" s="58" t="s">
        <v>129</v>
      </c>
      <c r="D2" s="58" t="s">
        <v>222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0</v>
      </c>
      <c r="B3" s="24">
        <v>2</v>
      </c>
      <c r="C3" s="24">
        <v>3</v>
      </c>
      <c r="D3" s="24">
        <v>70</v>
      </c>
      <c r="G3" s="27">
        <v>2</v>
      </c>
      <c r="H3" s="61">
        <f>SUMIF($C$3:$C$10,$G3,$A$3:$A$10)-SUMIF($B$3:$B$10,$G3,$A$3:$A$10)</f>
        <v>-1</v>
      </c>
      <c r="I3" s="61">
        <v>-1</v>
      </c>
    </row>
    <row r="4" spans="1:9" x14ac:dyDescent="0.3">
      <c r="A4" s="46">
        <v>1</v>
      </c>
      <c r="B4" s="24">
        <v>2</v>
      </c>
      <c r="C4" s="24">
        <v>4</v>
      </c>
      <c r="D4" s="24">
        <v>40</v>
      </c>
      <c r="G4" s="27">
        <v>3</v>
      </c>
      <c r="H4" s="61">
        <f>SUMIF($C$3:$C$10,$G4,$A$3:$A$10)-SUMIF($B$3:$B$10,$G4,$A$3:$A$10)</f>
        <v>0</v>
      </c>
      <c r="I4" s="61">
        <v>0</v>
      </c>
    </row>
    <row r="5" spans="1:9" x14ac:dyDescent="0.3">
      <c r="A5" s="46">
        <v>0</v>
      </c>
      <c r="B5" s="24">
        <v>3</v>
      </c>
      <c r="C5" s="24">
        <v>5</v>
      </c>
      <c r="D5" s="24">
        <v>70</v>
      </c>
      <c r="G5" s="27">
        <v>4</v>
      </c>
      <c r="H5" s="61">
        <f>SUMIF($C$3:$C$10,$G5,$A$3:$A$10)-SUMIF($B$3:$B$10,$G5,$A$3:$A$10)</f>
        <v>0</v>
      </c>
      <c r="I5" s="61">
        <v>0</v>
      </c>
    </row>
    <row r="6" spans="1:9" x14ac:dyDescent="0.3">
      <c r="A6" s="46">
        <v>0</v>
      </c>
      <c r="B6" s="24">
        <v>3</v>
      </c>
      <c r="C6" s="24">
        <v>6</v>
      </c>
      <c r="D6" s="24">
        <v>50</v>
      </c>
      <c r="G6" s="27">
        <v>5</v>
      </c>
      <c r="H6" s="61">
        <f>SUMIF($C$3:$C$10,$G6,$A$3:$A$10)-SUMIF($B$3:$B$10,$G6,$A$3:$A$10)</f>
        <v>0</v>
      </c>
      <c r="I6" s="61">
        <v>0</v>
      </c>
    </row>
    <row r="7" spans="1:9" x14ac:dyDescent="0.3">
      <c r="A7" s="46">
        <v>1</v>
      </c>
      <c r="B7" s="24">
        <v>4</v>
      </c>
      <c r="C7" s="24">
        <v>5</v>
      </c>
      <c r="D7" s="24">
        <v>40</v>
      </c>
      <c r="G7" s="27">
        <v>6</v>
      </c>
      <c r="H7" s="61">
        <f>SUMIF($C$3:$C$10,$G7,$A$3:$A$10)-SUMIF($B$3:$B$10,$G7,$A$3:$A$10)</f>
        <v>0</v>
      </c>
      <c r="I7" s="61">
        <v>0</v>
      </c>
    </row>
    <row r="8" spans="1:9" x14ac:dyDescent="0.3">
      <c r="A8" s="46">
        <v>0</v>
      </c>
      <c r="B8" s="24">
        <v>4</v>
      </c>
      <c r="C8" s="24">
        <v>6</v>
      </c>
      <c r="D8" s="24">
        <v>80</v>
      </c>
      <c r="G8" s="27">
        <v>8</v>
      </c>
      <c r="H8" s="61">
        <f>SUMIF($C$3:$C$10,$G8,$A$3:$A$10)-SUMIF($B$3:$B$10,$G8,$A$3:$A$10)</f>
        <v>1</v>
      </c>
      <c r="I8" s="61">
        <v>1</v>
      </c>
    </row>
    <row r="9" spans="1:9" x14ac:dyDescent="0.3">
      <c r="A9" s="46">
        <v>1</v>
      </c>
      <c r="B9" s="24">
        <v>5</v>
      </c>
      <c r="C9" s="24">
        <v>8</v>
      </c>
      <c r="D9" s="24">
        <v>40</v>
      </c>
    </row>
    <row r="10" spans="1:9" x14ac:dyDescent="0.3">
      <c r="A10" s="46">
        <v>0</v>
      </c>
      <c r="B10" s="24">
        <v>6</v>
      </c>
      <c r="C10" s="24">
        <v>8</v>
      </c>
      <c r="D10" s="24">
        <v>70</v>
      </c>
    </row>
    <row r="12" spans="1:9" x14ac:dyDescent="0.3">
      <c r="C12" s="76" t="s">
        <v>223</v>
      </c>
      <c r="D12" s="78">
        <f>SUMPRODUCT($A$3:$A$10,$D$3:$D$10)</f>
        <v>120</v>
      </c>
    </row>
    <row r="15" spans="1:9" ht="43.2" x14ac:dyDescent="0.3">
      <c r="C15" s="76" t="s">
        <v>224</v>
      </c>
      <c r="D15" s="74">
        <f>A5+A7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646B-1B05-4A93-B8A2-FF238FA2A5E4}">
  <dimension ref="A2:I15"/>
  <sheetViews>
    <sheetView workbookViewId="0"/>
  </sheetViews>
  <sheetFormatPr defaultRowHeight="14.4" x14ac:dyDescent="0.3"/>
  <cols>
    <col min="1" max="1" width="8.6640625" bestFit="1" customWidth="1"/>
    <col min="2" max="2" width="6.44140625" customWidth="1"/>
    <col min="3" max="3" width="13.6640625" customWidth="1"/>
    <col min="4" max="4" width="13.21875" customWidth="1"/>
    <col min="9" max="9" width="14.44140625" bestFit="1" customWidth="1"/>
  </cols>
  <sheetData>
    <row r="2" spans="1:9" x14ac:dyDescent="0.3">
      <c r="A2" s="58" t="s">
        <v>226</v>
      </c>
      <c r="B2" s="58" t="s">
        <v>128</v>
      </c>
      <c r="C2" s="58" t="s">
        <v>129</v>
      </c>
      <c r="D2" s="58" t="s">
        <v>222</v>
      </c>
      <c r="G2" s="23" t="s">
        <v>132</v>
      </c>
      <c r="H2" s="23" t="s">
        <v>133</v>
      </c>
      <c r="I2" s="23" t="s">
        <v>134</v>
      </c>
    </row>
    <row r="3" spans="1:9" x14ac:dyDescent="0.3">
      <c r="A3" s="46">
        <v>1</v>
      </c>
      <c r="B3" s="24">
        <v>2</v>
      </c>
      <c r="C3" s="24">
        <v>3</v>
      </c>
      <c r="D3" s="24">
        <v>70</v>
      </c>
      <c r="G3" s="27">
        <v>2</v>
      </c>
      <c r="H3" s="61">
        <f>SUMIF($C$3:$C$10,$G3,$A$3:$A$10)-SUMIF($B$3:$B$10,$G3,$A$3:$A$10)</f>
        <v>-1</v>
      </c>
      <c r="I3" s="61">
        <v>-1</v>
      </c>
    </row>
    <row r="4" spans="1:9" x14ac:dyDescent="0.3">
      <c r="A4" s="46">
        <v>0</v>
      </c>
      <c r="B4" s="24">
        <v>2</v>
      </c>
      <c r="C4" s="24">
        <v>4</v>
      </c>
      <c r="D4" s="24">
        <v>40</v>
      </c>
      <c r="G4" s="27">
        <v>3</v>
      </c>
      <c r="H4" s="61">
        <f>SUMIF($C$3:$C$10,$G4,$A$3:$A$10)-SUMIF($B$3:$B$10,$G4,$A$3:$A$10)</f>
        <v>0</v>
      </c>
      <c r="I4" s="61">
        <v>0</v>
      </c>
    </row>
    <row r="5" spans="1:9" x14ac:dyDescent="0.3">
      <c r="A5" s="46">
        <v>0</v>
      </c>
      <c r="B5" s="24">
        <v>3</v>
      </c>
      <c r="C5" s="24">
        <v>5</v>
      </c>
      <c r="D5" s="24">
        <v>70</v>
      </c>
      <c r="G5" s="27">
        <v>4</v>
      </c>
      <c r="H5" s="61">
        <f>SUMIF($C$3:$C$10,$G5,$A$3:$A$10)-SUMIF($B$3:$B$10,$G5,$A$3:$A$10)</f>
        <v>0</v>
      </c>
      <c r="I5" s="61">
        <v>0</v>
      </c>
    </row>
    <row r="6" spans="1:9" x14ac:dyDescent="0.3">
      <c r="A6" s="46">
        <v>1</v>
      </c>
      <c r="B6" s="24">
        <v>3</v>
      </c>
      <c r="C6" s="24">
        <v>6</v>
      </c>
      <c r="D6" s="24">
        <v>50</v>
      </c>
      <c r="G6" s="27">
        <v>5</v>
      </c>
      <c r="H6" s="61">
        <f>SUMIF($C$3:$C$10,$G6,$A$3:$A$10)-SUMIF($B$3:$B$10,$G6,$A$3:$A$10)</f>
        <v>0</v>
      </c>
      <c r="I6" s="61">
        <v>0</v>
      </c>
    </row>
    <row r="7" spans="1:9" x14ac:dyDescent="0.3">
      <c r="A7" s="46">
        <v>0</v>
      </c>
      <c r="B7" s="24">
        <v>4</v>
      </c>
      <c r="C7" s="24">
        <v>5</v>
      </c>
      <c r="D7" s="24">
        <v>40</v>
      </c>
      <c r="G7" s="27">
        <v>6</v>
      </c>
      <c r="H7" s="61">
        <f>SUMIF($C$3:$C$10,$G7,$A$3:$A$10)-SUMIF($B$3:$B$10,$G7,$A$3:$A$10)</f>
        <v>0</v>
      </c>
      <c r="I7" s="61">
        <v>0</v>
      </c>
    </row>
    <row r="8" spans="1:9" x14ac:dyDescent="0.3">
      <c r="A8" s="46">
        <v>0</v>
      </c>
      <c r="B8" s="24">
        <v>4</v>
      </c>
      <c r="C8" s="24">
        <v>6</v>
      </c>
      <c r="D8" s="24">
        <v>80</v>
      </c>
      <c r="G8" s="27">
        <v>8</v>
      </c>
      <c r="H8" s="61">
        <f>SUMIF($C$3:$C$10,$G8,$A$3:$A$10)-SUMIF($B$3:$B$10,$G8,$A$3:$A$10)</f>
        <v>1</v>
      </c>
      <c r="I8" s="61">
        <v>1</v>
      </c>
    </row>
    <row r="9" spans="1:9" x14ac:dyDescent="0.3">
      <c r="A9" s="46">
        <v>0</v>
      </c>
      <c r="B9" s="24">
        <v>5</v>
      </c>
      <c r="C9" s="24">
        <v>8</v>
      </c>
      <c r="D9" s="24">
        <v>40</v>
      </c>
    </row>
    <row r="10" spans="1:9" x14ac:dyDescent="0.3">
      <c r="A10" s="46">
        <v>1</v>
      </c>
      <c r="B10" s="24">
        <v>6</v>
      </c>
      <c r="C10" s="24">
        <v>8</v>
      </c>
      <c r="D10" s="24">
        <v>70</v>
      </c>
    </row>
    <row r="12" spans="1:9" x14ac:dyDescent="0.3">
      <c r="C12" s="76" t="s">
        <v>223</v>
      </c>
      <c r="D12" s="78">
        <f>SUMPRODUCT($A$3:$A$10,$D$3:$D$10)</f>
        <v>190</v>
      </c>
    </row>
    <row r="15" spans="1:9" ht="43.2" x14ac:dyDescent="0.3">
      <c r="C15" s="76" t="s">
        <v>225</v>
      </c>
      <c r="D15" s="74">
        <f>A6+A8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BA12-3286-4FA0-B9BF-DCE283151C56}">
  <dimension ref="A2:E20"/>
  <sheetViews>
    <sheetView workbookViewId="0"/>
  </sheetViews>
  <sheetFormatPr defaultRowHeight="14.4" x14ac:dyDescent="0.3"/>
  <cols>
    <col min="1" max="1" width="29.109375" bestFit="1" customWidth="1"/>
    <col min="2" max="2" width="12.77734375" bestFit="1" customWidth="1"/>
    <col min="3" max="5" width="11.77734375" bestFit="1" customWidth="1"/>
  </cols>
  <sheetData>
    <row r="2" spans="1:5" x14ac:dyDescent="0.3">
      <c r="A2" s="35" t="s">
        <v>138</v>
      </c>
      <c r="B2" s="52">
        <v>1000</v>
      </c>
      <c r="C2" s="52">
        <v>1000</v>
      </c>
      <c r="D2" s="52">
        <v>1000</v>
      </c>
      <c r="E2" s="52">
        <v>1000</v>
      </c>
    </row>
    <row r="3" spans="1:5" x14ac:dyDescent="0.3">
      <c r="A3" s="35" t="s">
        <v>139</v>
      </c>
      <c r="B3" s="53">
        <v>4</v>
      </c>
      <c r="C3" s="53">
        <v>3.8</v>
      </c>
      <c r="D3" s="53">
        <v>3.68</v>
      </c>
      <c r="E3" s="53">
        <v>3.4</v>
      </c>
    </row>
    <row r="4" spans="1:5" x14ac:dyDescent="0.3">
      <c r="A4" s="47" t="s">
        <v>136</v>
      </c>
      <c r="B4" s="54">
        <v>1</v>
      </c>
      <c r="C4" s="54">
        <v>795</v>
      </c>
      <c r="D4" s="54">
        <v>1100</v>
      </c>
      <c r="E4" s="54">
        <v>1860</v>
      </c>
    </row>
    <row r="5" spans="1:5" x14ac:dyDescent="0.3">
      <c r="A5" s="47" t="s">
        <v>137</v>
      </c>
      <c r="B5" s="54">
        <v>794</v>
      </c>
      <c r="C5" s="54">
        <v>1099</v>
      </c>
      <c r="D5" s="54">
        <v>1859</v>
      </c>
      <c r="E5" s="55">
        <v>1E+30</v>
      </c>
    </row>
    <row r="6" spans="1:5" x14ac:dyDescent="0.3">
      <c r="A6" s="35" t="s">
        <v>140</v>
      </c>
      <c r="B6" s="49">
        <v>21</v>
      </c>
      <c r="C6" s="49">
        <v>21</v>
      </c>
      <c r="D6" s="49">
        <v>21</v>
      </c>
      <c r="E6" s="49">
        <v>21</v>
      </c>
    </row>
    <row r="7" spans="1:5" x14ac:dyDescent="0.3">
      <c r="A7" s="35" t="s">
        <v>141</v>
      </c>
      <c r="B7" s="56">
        <v>0.25</v>
      </c>
      <c r="C7" s="56">
        <v>0.25</v>
      </c>
      <c r="D7" s="56">
        <v>0.25</v>
      </c>
      <c r="E7" s="56">
        <v>0.25</v>
      </c>
    </row>
    <row r="8" spans="1:5" x14ac:dyDescent="0.3">
      <c r="B8" s="48"/>
      <c r="C8" s="48"/>
      <c r="D8" s="48"/>
    </row>
    <row r="9" spans="1:5" x14ac:dyDescent="0.3">
      <c r="A9" s="35" t="s">
        <v>142</v>
      </c>
      <c r="B9" s="57">
        <v>1</v>
      </c>
      <c r="C9" s="57">
        <v>795</v>
      </c>
      <c r="D9" s="57">
        <v>1100</v>
      </c>
      <c r="E9" s="57">
        <v>1860</v>
      </c>
    </row>
    <row r="10" spans="1:5" x14ac:dyDescent="0.3">
      <c r="A10" s="47"/>
      <c r="B10" s="48"/>
      <c r="C10" s="48"/>
      <c r="D10" s="48"/>
    </row>
    <row r="11" spans="1:5" x14ac:dyDescent="0.3">
      <c r="A11" s="35" t="s">
        <v>143</v>
      </c>
      <c r="B11" s="49">
        <f>B3*B2</f>
        <v>4000</v>
      </c>
      <c r="C11" s="49">
        <f t="shared" ref="C11:E11" si="0">C3*C2</f>
        <v>3800</v>
      </c>
      <c r="D11" s="49">
        <f t="shared" si="0"/>
        <v>3680</v>
      </c>
      <c r="E11" s="49">
        <f t="shared" si="0"/>
        <v>3400</v>
      </c>
    </row>
    <row r="12" spans="1:5" x14ac:dyDescent="0.3">
      <c r="A12" s="35" t="s">
        <v>144</v>
      </c>
      <c r="B12" s="49">
        <f>B2/B9*B6</f>
        <v>21000</v>
      </c>
      <c r="C12" s="49">
        <f t="shared" ref="C12:E12" si="1">C2/C9*C6</f>
        <v>26.415094339622641</v>
      </c>
      <c r="D12" s="49">
        <f t="shared" si="1"/>
        <v>19.09090909090909</v>
      </c>
      <c r="E12" s="49">
        <f t="shared" si="1"/>
        <v>11.29032258064516</v>
      </c>
    </row>
    <row r="13" spans="1:5" x14ac:dyDescent="0.3">
      <c r="A13" s="35" t="s">
        <v>145</v>
      </c>
      <c r="B13" s="49">
        <f>B9/2*(B7*B3)</f>
        <v>0.5</v>
      </c>
      <c r="C13" s="49">
        <f t="shared" ref="C13:E13" si="2">C9/2*(C7*C3)</f>
        <v>377.625</v>
      </c>
      <c r="D13" s="49">
        <f t="shared" si="2"/>
        <v>506</v>
      </c>
      <c r="E13" s="49">
        <f t="shared" si="2"/>
        <v>790.5</v>
      </c>
    </row>
    <row r="14" spans="1:5" x14ac:dyDescent="0.3">
      <c r="A14" s="35" t="s">
        <v>146</v>
      </c>
      <c r="B14" s="60">
        <f>SUM(B11:B13)</f>
        <v>25000.5</v>
      </c>
      <c r="C14" s="60">
        <f t="shared" ref="C14:E14" si="3">SUM(C11:C13)</f>
        <v>4204.0400943396226</v>
      </c>
      <c r="D14" s="60">
        <f t="shared" si="3"/>
        <v>4205.090909090909</v>
      </c>
      <c r="E14" s="60">
        <f t="shared" si="3"/>
        <v>4201.7903225806458</v>
      </c>
    </row>
    <row r="15" spans="1:5" ht="15" thickBot="1" x14ac:dyDescent="0.35">
      <c r="B15" s="51"/>
      <c r="C15" s="51"/>
      <c r="D15" s="51"/>
    </row>
    <row r="16" spans="1:5" ht="15.6" thickTop="1" thickBot="1" x14ac:dyDescent="0.35">
      <c r="A16" s="35" t="s">
        <v>147</v>
      </c>
      <c r="B16" s="50">
        <f>MIN(B14:E14)</f>
        <v>4201.7903225806458</v>
      </c>
    </row>
    <row r="17" spans="1:4" ht="15" thickTop="1" x14ac:dyDescent="0.3">
      <c r="B17" s="2"/>
    </row>
    <row r="18" spans="1:4" x14ac:dyDescent="0.3">
      <c r="A18" s="45" t="s">
        <v>148</v>
      </c>
      <c r="B18">
        <f>B2/C9</f>
        <v>1.2578616352201257</v>
      </c>
      <c r="C18" t="s">
        <v>153</v>
      </c>
    </row>
    <row r="19" spans="1:4" x14ac:dyDescent="0.3">
      <c r="A19" s="45" t="s">
        <v>149</v>
      </c>
      <c r="B19">
        <f>1/B18</f>
        <v>0.79500000000000004</v>
      </c>
      <c r="C19">
        <f>B19*12</f>
        <v>9.5400000000000009</v>
      </c>
      <c r="D19">
        <f>C19*365</f>
        <v>3482.1000000000004</v>
      </c>
    </row>
    <row r="20" spans="1:4" x14ac:dyDescent="0.3">
      <c r="B20" t="s">
        <v>152</v>
      </c>
      <c r="C20" t="s">
        <v>151</v>
      </c>
      <c r="D20" t="s">
        <v>150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88EC-F185-432E-87E0-0964908995F3}">
  <sheetPr codeName="Sheet1"/>
  <dimension ref="A1:G3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7773437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3" t="s">
        <v>54</v>
      </c>
    </row>
    <row r="2" spans="1:5" x14ac:dyDescent="0.3">
      <c r="A2" s="3" t="s">
        <v>21</v>
      </c>
    </row>
    <row r="3" spans="1:5" x14ac:dyDescent="0.3">
      <c r="A3" s="3" t="s">
        <v>84</v>
      </c>
    </row>
    <row r="4" spans="1:5" x14ac:dyDescent="0.3">
      <c r="A4" s="3" t="s">
        <v>55</v>
      </c>
    </row>
    <row r="5" spans="1:5" x14ac:dyDescent="0.3">
      <c r="A5" s="3" t="s">
        <v>56</v>
      </c>
    </row>
    <row r="6" spans="1:5" x14ac:dyDescent="0.3">
      <c r="A6" s="3"/>
      <c r="B6" t="s">
        <v>57</v>
      </c>
    </row>
    <row r="7" spans="1:5" x14ac:dyDescent="0.3">
      <c r="A7" s="3"/>
      <c r="B7" t="s">
        <v>58</v>
      </c>
    </row>
    <row r="8" spans="1:5" x14ac:dyDescent="0.3">
      <c r="A8" s="3"/>
      <c r="B8" t="s">
        <v>59</v>
      </c>
    </row>
    <row r="9" spans="1:5" x14ac:dyDescent="0.3">
      <c r="A9" s="3" t="s">
        <v>60</v>
      </c>
    </row>
    <row r="10" spans="1:5" x14ac:dyDescent="0.3">
      <c r="B10" t="s">
        <v>61</v>
      </c>
    </row>
    <row r="11" spans="1:5" x14ac:dyDescent="0.3">
      <c r="B11" t="s">
        <v>62</v>
      </c>
    </row>
    <row r="14" spans="1:5" ht="15" thickBot="1" x14ac:dyDescent="0.35">
      <c r="A14" t="s">
        <v>63</v>
      </c>
    </row>
    <row r="15" spans="1:5" ht="15" thickBot="1" x14ac:dyDescent="0.35">
      <c r="B15" s="17" t="s">
        <v>23</v>
      </c>
      <c r="C15" s="17" t="s">
        <v>24</v>
      </c>
      <c r="D15" s="17" t="s">
        <v>64</v>
      </c>
      <c r="E15" s="17" t="s">
        <v>65</v>
      </c>
    </row>
    <row r="16" spans="1:5" ht="15" thickBot="1" x14ac:dyDescent="0.35">
      <c r="B16" s="5" t="s">
        <v>71</v>
      </c>
      <c r="C16" s="5" t="s">
        <v>72</v>
      </c>
      <c r="D16" s="18">
        <v>266760</v>
      </c>
      <c r="E16" s="18">
        <v>266760</v>
      </c>
    </row>
    <row r="19" spans="1:7" ht="15" thickBot="1" x14ac:dyDescent="0.35">
      <c r="A19" t="s">
        <v>22</v>
      </c>
    </row>
    <row r="20" spans="1:7" ht="15" thickBot="1" x14ac:dyDescent="0.35">
      <c r="B20" s="17" t="s">
        <v>23</v>
      </c>
      <c r="C20" s="17" t="s">
        <v>24</v>
      </c>
      <c r="D20" s="17" t="s">
        <v>64</v>
      </c>
      <c r="E20" s="17" t="s">
        <v>65</v>
      </c>
      <c r="F20" s="17" t="s">
        <v>66</v>
      </c>
    </row>
    <row r="21" spans="1:7" x14ac:dyDescent="0.3">
      <c r="B21" s="4" t="s">
        <v>38</v>
      </c>
      <c r="C21" s="4" t="s">
        <v>39</v>
      </c>
      <c r="D21" s="19">
        <v>3.9999999999999876</v>
      </c>
      <c r="E21" s="19">
        <v>3.9999999999999876</v>
      </c>
      <c r="F21" s="4" t="s">
        <v>73</v>
      </c>
    </row>
    <row r="22" spans="1:7" x14ac:dyDescent="0.3">
      <c r="B22" s="4" t="s">
        <v>40</v>
      </c>
      <c r="C22" s="4" t="s">
        <v>41</v>
      </c>
      <c r="D22" s="19">
        <v>83.000000000000028</v>
      </c>
      <c r="E22" s="19">
        <v>83.000000000000028</v>
      </c>
      <c r="F22" s="4" t="s">
        <v>73</v>
      </c>
    </row>
    <row r="23" spans="1:7" x14ac:dyDescent="0.3">
      <c r="B23" s="4" t="s">
        <v>42</v>
      </c>
      <c r="C23" s="4" t="s">
        <v>43</v>
      </c>
      <c r="D23" s="19">
        <v>276.99999999999989</v>
      </c>
      <c r="E23" s="19">
        <v>276.99999999999989</v>
      </c>
      <c r="F23" s="4" t="s">
        <v>73</v>
      </c>
    </row>
    <row r="24" spans="1:7" x14ac:dyDescent="0.3">
      <c r="B24" s="4" t="s">
        <v>44</v>
      </c>
      <c r="C24" s="4" t="s">
        <v>45</v>
      </c>
      <c r="D24" s="19">
        <v>365.00000000000006</v>
      </c>
      <c r="E24" s="19">
        <v>365.00000000000006</v>
      </c>
      <c r="F24" s="4" t="s">
        <v>73</v>
      </c>
    </row>
    <row r="25" spans="1:7" ht="15" thickBot="1" x14ac:dyDescent="0.35">
      <c r="B25" s="5" t="s">
        <v>46</v>
      </c>
      <c r="C25" s="5" t="s">
        <v>47</v>
      </c>
      <c r="D25" s="20">
        <v>0</v>
      </c>
      <c r="E25" s="20">
        <v>0</v>
      </c>
      <c r="F25" s="5" t="s">
        <v>73</v>
      </c>
    </row>
    <row r="28" spans="1:7" ht="15" thickBot="1" x14ac:dyDescent="0.35">
      <c r="A28" t="s">
        <v>16</v>
      </c>
    </row>
    <row r="29" spans="1:7" ht="15" thickBot="1" x14ac:dyDescent="0.35">
      <c r="B29" s="17" t="s">
        <v>23</v>
      </c>
      <c r="C29" s="17" t="s">
        <v>24</v>
      </c>
      <c r="D29" s="17" t="s">
        <v>67</v>
      </c>
      <c r="E29" s="17" t="s">
        <v>68</v>
      </c>
      <c r="F29" s="17" t="s">
        <v>69</v>
      </c>
      <c r="G29" s="17" t="s">
        <v>70</v>
      </c>
    </row>
    <row r="30" spans="1:7" x14ac:dyDescent="0.3">
      <c r="B30" s="4" t="s">
        <v>48</v>
      </c>
      <c r="C30" s="4" t="s">
        <v>85</v>
      </c>
      <c r="D30" s="19">
        <v>2487</v>
      </c>
      <c r="E30" s="4" t="s">
        <v>74</v>
      </c>
      <c r="F30" s="4" t="s">
        <v>75</v>
      </c>
      <c r="G30" s="4">
        <v>0</v>
      </c>
    </row>
    <row r="31" spans="1:7" x14ac:dyDescent="0.3">
      <c r="B31" s="4" t="s">
        <v>49</v>
      </c>
      <c r="C31" s="4" t="s">
        <v>86</v>
      </c>
      <c r="D31" s="19">
        <v>3029.9999999999995</v>
      </c>
      <c r="E31" s="4" t="s">
        <v>76</v>
      </c>
      <c r="F31" s="4" t="s">
        <v>75</v>
      </c>
      <c r="G31" s="4">
        <v>0</v>
      </c>
    </row>
    <row r="32" spans="1:7" x14ac:dyDescent="0.3">
      <c r="B32" s="4" t="s">
        <v>50</v>
      </c>
      <c r="C32" s="4" t="s">
        <v>87</v>
      </c>
      <c r="D32" s="19">
        <v>5217</v>
      </c>
      <c r="E32" s="4" t="s">
        <v>77</v>
      </c>
      <c r="F32" s="4" t="s">
        <v>75</v>
      </c>
      <c r="G32" s="4">
        <v>0</v>
      </c>
    </row>
    <row r="33" spans="2:7" x14ac:dyDescent="0.3">
      <c r="B33" s="4" t="s">
        <v>51</v>
      </c>
      <c r="C33" s="4" t="s">
        <v>88</v>
      </c>
      <c r="D33" s="19">
        <v>3371</v>
      </c>
      <c r="E33" s="4" t="s">
        <v>78</v>
      </c>
      <c r="F33" s="4" t="s">
        <v>79</v>
      </c>
      <c r="G33" s="4">
        <v>629</v>
      </c>
    </row>
    <row r="34" spans="2:7" x14ac:dyDescent="0.3">
      <c r="B34" s="4" t="s">
        <v>52</v>
      </c>
      <c r="C34" s="4" t="s">
        <v>89</v>
      </c>
      <c r="D34" s="19">
        <v>4999</v>
      </c>
      <c r="E34" s="4" t="s">
        <v>80</v>
      </c>
      <c r="F34" s="4" t="s">
        <v>75</v>
      </c>
      <c r="G34" s="4">
        <v>0</v>
      </c>
    </row>
    <row r="35" spans="2:7" ht="15" thickBot="1" x14ac:dyDescent="0.35">
      <c r="B35" s="5" t="s">
        <v>53</v>
      </c>
      <c r="C35" s="5" t="s">
        <v>90</v>
      </c>
      <c r="D35" s="20">
        <v>2769</v>
      </c>
      <c r="E35" s="5" t="s">
        <v>81</v>
      </c>
      <c r="F35" s="5" t="s">
        <v>75</v>
      </c>
      <c r="G3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EBE3-2B0B-411F-B6F3-388F3E660131}">
  <dimension ref="A1:H20"/>
  <sheetViews>
    <sheetView workbookViewId="0"/>
  </sheetViews>
  <sheetFormatPr defaultColWidth="13" defaultRowHeight="14.4" x14ac:dyDescent="0.3"/>
  <cols>
    <col min="1" max="1" width="19.5546875" bestFit="1" customWidth="1"/>
    <col min="2" max="2" width="14.88671875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</row>
    <row r="3" spans="1:8" x14ac:dyDescent="0.3">
      <c r="A3" s="12" t="s">
        <v>12</v>
      </c>
      <c r="B3" s="25">
        <v>3.8817204301075634</v>
      </c>
      <c r="C3" s="25">
        <v>83.376344086021547</v>
      </c>
      <c r="D3" s="25">
        <v>280.52688172043008</v>
      </c>
      <c r="E3" s="25">
        <v>358.13978494623649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68">
        <f>SUMPRODUCT($B$3:$F$3,$B5:$F5)</f>
        <v>2477</v>
      </c>
      <c r="H5" s="9">
        <v>2477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68">
        <f t="shared" ref="G6:G10" si="0">SUMPRODUCT($B$3:$F$3,$B6:$F6)</f>
        <v>3031</v>
      </c>
      <c r="H6" s="9">
        <v>3031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68">
        <f t="shared" si="0"/>
        <v>5212</v>
      </c>
      <c r="H7" s="9">
        <v>5212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68">
        <f t="shared" si="0"/>
        <v>3362.6236559139788</v>
      </c>
      <c r="H8" s="9">
        <v>4010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68">
        <f t="shared" si="0"/>
        <v>4942.645161290322</v>
      </c>
      <c r="H9" s="9">
        <v>5099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68">
        <f t="shared" si="0"/>
        <v>2766</v>
      </c>
      <c r="H10" s="9">
        <v>2766</v>
      </c>
    </row>
    <row r="12" spans="1:8" x14ac:dyDescent="0.3">
      <c r="A12" s="14" t="s">
        <v>13</v>
      </c>
      <c r="B12" s="62">
        <f>SUMPRODUCT($B$2:$F$2,$B$3:$F$3)</f>
        <v>266759.03225806449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154</v>
      </c>
      <c r="C16" s="16" t="s">
        <v>19</v>
      </c>
    </row>
    <row r="17" spans="1:3" x14ac:dyDescent="0.3">
      <c r="A17" s="3" t="s">
        <v>17</v>
      </c>
      <c r="B17" s="15" t="s">
        <v>18</v>
      </c>
      <c r="C17" s="15"/>
    </row>
    <row r="19" spans="1:3" x14ac:dyDescent="0.3">
      <c r="B19" s="31"/>
    </row>
    <row r="20" spans="1:3" x14ac:dyDescent="0.3">
      <c r="A20" s="3" t="s">
        <v>155</v>
      </c>
      <c r="B20" s="63">
        <f>ABS(B12-'LotsOfProducts 1b'!B12)</f>
        <v>0.96774193545570597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A6AF-05ED-4B42-945B-51691F0BB795}">
  <sheetPr codeName="Sheet7"/>
  <dimension ref="A1:I18"/>
  <sheetViews>
    <sheetView workbookViewId="0"/>
  </sheetViews>
  <sheetFormatPr defaultColWidth="13" defaultRowHeight="14.4" x14ac:dyDescent="0.3"/>
  <cols>
    <col min="1" max="1" width="19.5546875" bestFit="1" customWidth="1"/>
    <col min="2" max="2" width="14" customWidth="1"/>
    <col min="7" max="7" width="14.21875" bestFit="1" customWidth="1"/>
    <col min="8" max="8" width="17.5546875" bestFit="1" customWidth="1"/>
  </cols>
  <sheetData>
    <row r="1" spans="1:9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91</v>
      </c>
    </row>
    <row r="2" spans="1:9" x14ac:dyDescent="0.3">
      <c r="A2" s="11" t="s">
        <v>5</v>
      </c>
      <c r="B2" s="1">
        <v>510</v>
      </c>
      <c r="C2" s="1">
        <v>300</v>
      </c>
      <c r="D2" s="1">
        <v>510</v>
      </c>
      <c r="E2" s="1">
        <v>270</v>
      </c>
      <c r="F2" s="1">
        <v>810</v>
      </c>
      <c r="G2" s="1">
        <v>155</v>
      </c>
    </row>
    <row r="3" spans="1:9" x14ac:dyDescent="0.3">
      <c r="A3" s="12" t="s">
        <v>12</v>
      </c>
      <c r="B3" s="25">
        <v>3.9999999999999876</v>
      </c>
      <c r="C3" s="25">
        <v>83.000000000000028</v>
      </c>
      <c r="D3" s="25">
        <v>276.99999999999989</v>
      </c>
      <c r="E3" s="25">
        <v>365.00000000000006</v>
      </c>
      <c r="F3" s="25">
        <v>0</v>
      </c>
      <c r="G3" s="25">
        <v>0</v>
      </c>
    </row>
    <row r="4" spans="1:9" x14ac:dyDescent="0.3">
      <c r="H4" s="3" t="s">
        <v>82</v>
      </c>
      <c r="I4" s="3" t="s">
        <v>83</v>
      </c>
    </row>
    <row r="5" spans="1:9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>
        <v>0</v>
      </c>
      <c r="H5" s="8">
        <f>SUMPRODUCT($B$3:$G$3,$B5:$G5)</f>
        <v>2487</v>
      </c>
      <c r="I5" s="9">
        <v>2487</v>
      </c>
    </row>
    <row r="6" spans="1:9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>
        <v>2</v>
      </c>
      <c r="H6" s="8">
        <f t="shared" ref="H6:H10" si="0">SUMPRODUCT($B$3:$G$3,$B6:$G6)</f>
        <v>3029.9999999999995</v>
      </c>
      <c r="I6" s="9">
        <v>3030</v>
      </c>
    </row>
    <row r="7" spans="1:9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>
        <v>0</v>
      </c>
      <c r="H7" s="8">
        <f t="shared" si="0"/>
        <v>5217</v>
      </c>
      <c r="I7" s="9">
        <v>5217</v>
      </c>
    </row>
    <row r="8" spans="1:9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>
        <v>4</v>
      </c>
      <c r="H8" s="8">
        <f t="shared" si="0"/>
        <v>3371</v>
      </c>
      <c r="I8" s="9">
        <v>4000</v>
      </c>
    </row>
    <row r="9" spans="1:9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>
        <v>5</v>
      </c>
      <c r="H9" s="8">
        <f t="shared" si="0"/>
        <v>4999</v>
      </c>
      <c r="I9" s="9">
        <v>4999</v>
      </c>
    </row>
    <row r="10" spans="1:9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>
        <v>0</v>
      </c>
      <c r="H10" s="8">
        <f t="shared" si="0"/>
        <v>2769</v>
      </c>
      <c r="I10" s="9">
        <v>2769</v>
      </c>
    </row>
    <row r="12" spans="1:9" x14ac:dyDescent="0.3">
      <c r="A12" s="14" t="s">
        <v>13</v>
      </c>
      <c r="B12" s="62">
        <f>SUMPRODUCT($B$2:$G$2,$B$3:$G$3)</f>
        <v>266759.99999999994</v>
      </c>
    </row>
    <row r="15" spans="1:9" x14ac:dyDescent="0.3">
      <c r="A15" s="3" t="s">
        <v>14</v>
      </c>
      <c r="B15" s="15" t="s">
        <v>156</v>
      </c>
      <c r="C15" s="15"/>
    </row>
    <row r="16" spans="1:9" x14ac:dyDescent="0.3">
      <c r="A16" s="3" t="s">
        <v>16</v>
      </c>
      <c r="B16" s="15" t="s">
        <v>157</v>
      </c>
      <c r="C16" s="16" t="s">
        <v>19</v>
      </c>
    </row>
    <row r="17" spans="1:3" x14ac:dyDescent="0.3">
      <c r="A17" s="3" t="s">
        <v>17</v>
      </c>
      <c r="B17" s="15" t="s">
        <v>18</v>
      </c>
      <c r="C17" s="15"/>
    </row>
    <row r="18" spans="1:3" x14ac:dyDescent="0.3">
      <c r="B18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7040-A078-4E71-9CB6-5E27D1A6597D}">
  <dimension ref="A1:M2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664062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  <col min="13" max="13" width="10.5546875" bestFit="1" customWidth="1"/>
  </cols>
  <sheetData>
    <row r="1" spans="1:13" x14ac:dyDescent="0.3">
      <c r="A1" s="3" t="s">
        <v>20</v>
      </c>
    </row>
    <row r="2" spans="1:13" x14ac:dyDescent="0.3">
      <c r="A2" s="3" t="s">
        <v>158</v>
      </c>
    </row>
    <row r="3" spans="1:13" x14ac:dyDescent="0.3">
      <c r="A3" s="3" t="s">
        <v>159</v>
      </c>
    </row>
    <row r="6" spans="1:13" ht="15" thickBot="1" x14ac:dyDescent="0.35">
      <c r="A6" t="s">
        <v>22</v>
      </c>
    </row>
    <row r="7" spans="1:13" x14ac:dyDescent="0.3">
      <c r="B7" s="64"/>
      <c r="C7" s="64"/>
      <c r="D7" s="64" t="s">
        <v>25</v>
      </c>
      <c r="E7" s="64" t="s">
        <v>27</v>
      </c>
      <c r="F7" s="64" t="s">
        <v>29</v>
      </c>
      <c r="G7" s="64" t="s">
        <v>31</v>
      </c>
      <c r="H7" s="64" t="s">
        <v>31</v>
      </c>
    </row>
    <row r="8" spans="1:13" ht="15" thickBot="1" x14ac:dyDescent="0.35">
      <c r="B8" s="65" t="s">
        <v>23</v>
      </c>
      <c r="C8" s="65" t="s">
        <v>24</v>
      </c>
      <c r="D8" s="65" t="s">
        <v>26</v>
      </c>
      <c r="E8" s="65" t="s">
        <v>28</v>
      </c>
      <c r="F8" s="65" t="s">
        <v>30</v>
      </c>
      <c r="G8" s="65" t="s">
        <v>32</v>
      </c>
      <c r="H8" s="65" t="s">
        <v>33</v>
      </c>
    </row>
    <row r="9" spans="1:13" x14ac:dyDescent="0.3">
      <c r="B9" s="4" t="s">
        <v>38</v>
      </c>
      <c r="C9" s="4" t="s">
        <v>39</v>
      </c>
      <c r="D9" s="4">
        <v>3.9999999999999876</v>
      </c>
      <c r="E9" s="4">
        <v>0</v>
      </c>
      <c r="F9" s="4">
        <v>510</v>
      </c>
      <c r="G9" s="4">
        <v>1.3333333333333279</v>
      </c>
      <c r="H9" s="4">
        <v>26.945080091533157</v>
      </c>
    </row>
    <row r="10" spans="1:13" x14ac:dyDescent="0.3">
      <c r="B10" s="4" t="s">
        <v>40</v>
      </c>
      <c r="C10" s="4" t="s">
        <v>41</v>
      </c>
      <c r="D10" s="4">
        <v>83.000000000000028</v>
      </c>
      <c r="E10" s="4">
        <v>0</v>
      </c>
      <c r="F10" s="4">
        <v>300</v>
      </c>
      <c r="G10" s="4">
        <v>22.499999999999918</v>
      </c>
      <c r="H10" s="4">
        <v>38.142857142857139</v>
      </c>
    </row>
    <row r="11" spans="1:13" x14ac:dyDescent="0.3">
      <c r="B11" s="4" t="s">
        <v>42</v>
      </c>
      <c r="C11" s="4" t="s">
        <v>43</v>
      </c>
      <c r="D11" s="4">
        <v>276.99999999999989</v>
      </c>
      <c r="E11" s="4">
        <v>0</v>
      </c>
      <c r="F11" s="4">
        <v>510</v>
      </c>
      <c r="G11" s="4">
        <v>8.7804878048780495</v>
      </c>
      <c r="H11" s="4">
        <v>1.4876033057851179</v>
      </c>
    </row>
    <row r="12" spans="1:13" x14ac:dyDescent="0.3">
      <c r="B12" s="4" t="s">
        <v>44</v>
      </c>
      <c r="C12" s="4" t="s">
        <v>45</v>
      </c>
      <c r="D12" s="4">
        <v>365.00000000000006</v>
      </c>
      <c r="E12" s="4">
        <v>0</v>
      </c>
      <c r="F12" s="4">
        <v>270</v>
      </c>
      <c r="G12" s="4">
        <v>48.396226415094269</v>
      </c>
      <c r="H12" s="4">
        <v>4.9999999999999822</v>
      </c>
      <c r="M12" s="25"/>
    </row>
    <row r="13" spans="1:13" x14ac:dyDescent="0.3">
      <c r="B13" s="4" t="s">
        <v>46</v>
      </c>
      <c r="C13" s="4" t="s">
        <v>47</v>
      </c>
      <c r="D13" s="4">
        <v>0</v>
      </c>
      <c r="E13" s="4">
        <v>-48.339222614840899</v>
      </c>
      <c r="F13" s="4">
        <v>810</v>
      </c>
      <c r="G13" s="4">
        <v>48.339222614840899</v>
      </c>
      <c r="H13" s="4">
        <v>1E+30</v>
      </c>
    </row>
    <row r="14" spans="1:13" ht="15" thickBot="1" x14ac:dyDescent="0.35">
      <c r="B14" s="5" t="s">
        <v>92</v>
      </c>
      <c r="C14" s="5" t="s">
        <v>93</v>
      </c>
      <c r="D14" s="5">
        <v>0</v>
      </c>
      <c r="E14" s="5">
        <v>-13.869257950530017</v>
      </c>
      <c r="F14" s="5">
        <v>155</v>
      </c>
      <c r="G14" s="5">
        <v>13.869257950530001</v>
      </c>
      <c r="H14" s="5">
        <v>1E+30</v>
      </c>
      <c r="J14" s="25">
        <f>F14+G14</f>
        <v>168.86925795053</v>
      </c>
    </row>
    <row r="16" spans="1:13" ht="15" thickBot="1" x14ac:dyDescent="0.35">
      <c r="A16" t="s">
        <v>16</v>
      </c>
    </row>
    <row r="17" spans="2:8" x14ac:dyDescent="0.3">
      <c r="B17" s="64"/>
      <c r="C17" s="64"/>
      <c r="D17" s="64" t="s">
        <v>25</v>
      </c>
      <c r="E17" s="64" t="s">
        <v>34</v>
      </c>
      <c r="F17" s="64" t="s">
        <v>36</v>
      </c>
      <c r="G17" s="64" t="s">
        <v>31</v>
      </c>
      <c r="H17" s="64" t="s">
        <v>31</v>
      </c>
    </row>
    <row r="18" spans="2:8" ht="15" thickBot="1" x14ac:dyDescent="0.35">
      <c r="B18" s="65" t="s">
        <v>23</v>
      </c>
      <c r="C18" s="65" t="s">
        <v>24</v>
      </c>
      <c r="D18" s="65" t="s">
        <v>26</v>
      </c>
      <c r="E18" s="65" t="s">
        <v>35</v>
      </c>
      <c r="F18" s="65" t="s">
        <v>37</v>
      </c>
      <c r="G18" s="65" t="s">
        <v>32</v>
      </c>
      <c r="H18" s="65" t="s">
        <v>33</v>
      </c>
    </row>
    <row r="19" spans="2:8" x14ac:dyDescent="0.3">
      <c r="B19" s="4" t="s">
        <v>94</v>
      </c>
      <c r="C19" s="4" t="s">
        <v>85</v>
      </c>
      <c r="D19" s="4">
        <v>2487</v>
      </c>
      <c r="E19" s="4">
        <v>4.7173144876325086</v>
      </c>
      <c r="F19" s="4">
        <v>2487</v>
      </c>
      <c r="G19" s="4">
        <v>105.30232558139501</v>
      </c>
      <c r="H19" s="4">
        <v>3.3964745642480529E-12</v>
      </c>
    </row>
    <row r="20" spans="2:8" x14ac:dyDescent="0.3">
      <c r="B20" s="4" t="s">
        <v>95</v>
      </c>
      <c r="C20" s="4" t="s">
        <v>86</v>
      </c>
      <c r="D20" s="4">
        <v>3029.9999999999995</v>
      </c>
      <c r="E20" s="4">
        <v>82.844522968197865</v>
      </c>
      <c r="F20" s="4">
        <v>3030</v>
      </c>
      <c r="G20" s="4">
        <v>2.9894380799199679E-13</v>
      </c>
      <c r="H20" s="4">
        <v>20.005891016200238</v>
      </c>
    </row>
    <row r="21" spans="2:8" x14ac:dyDescent="0.3">
      <c r="B21" s="4" t="s">
        <v>96</v>
      </c>
      <c r="C21" s="4" t="s">
        <v>87</v>
      </c>
      <c r="D21" s="4">
        <v>5217</v>
      </c>
      <c r="E21" s="4">
        <v>0.15901060070671311</v>
      </c>
      <c r="F21" s="4">
        <v>5217</v>
      </c>
      <c r="G21" s="4">
        <v>33.540740740740645</v>
      </c>
      <c r="H21" s="4">
        <v>9.0949470177292824E-13</v>
      </c>
    </row>
    <row r="22" spans="2:8" x14ac:dyDescent="0.3">
      <c r="B22" s="4" t="s">
        <v>97</v>
      </c>
      <c r="C22" s="4" t="s">
        <v>88</v>
      </c>
      <c r="D22" s="4">
        <v>3371</v>
      </c>
      <c r="E22" s="4">
        <v>0</v>
      </c>
      <c r="F22" s="4">
        <v>4000</v>
      </c>
      <c r="G22" s="4">
        <v>1E+30</v>
      </c>
      <c r="H22" s="4">
        <v>629.00000000000068</v>
      </c>
    </row>
    <row r="23" spans="2:8" x14ac:dyDescent="0.3">
      <c r="B23" s="4" t="s">
        <v>98</v>
      </c>
      <c r="C23" s="4" t="s">
        <v>89</v>
      </c>
      <c r="D23" s="4">
        <v>4999</v>
      </c>
      <c r="E23" s="4">
        <v>0.63604240282685509</v>
      </c>
      <c r="F23" s="4">
        <v>4999</v>
      </c>
      <c r="G23" s="4">
        <v>3.2321290208166974E-12</v>
      </c>
      <c r="H23" s="4">
        <v>174.15384615384568</v>
      </c>
    </row>
    <row r="24" spans="2:8" ht="15" thickBot="1" x14ac:dyDescent="0.35">
      <c r="B24" s="5" t="s">
        <v>99</v>
      </c>
      <c r="C24" s="5" t="s">
        <v>90</v>
      </c>
      <c r="D24" s="5">
        <v>2769</v>
      </c>
      <c r="E24" s="5">
        <v>0</v>
      </c>
      <c r="F24" s="5">
        <v>2769</v>
      </c>
      <c r="G24" s="5">
        <v>1E+30</v>
      </c>
      <c r="H24" s="5">
        <v>5.3107420306705432E-13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52F1-3DA2-48B7-B529-73D3E3538332}">
  <sheetPr codeName="Sheet8"/>
  <dimension ref="A1:H29"/>
  <sheetViews>
    <sheetView workbookViewId="0"/>
  </sheetViews>
  <sheetFormatPr defaultColWidth="13" defaultRowHeight="14.4" x14ac:dyDescent="0.3"/>
  <cols>
    <col min="1" max="1" width="19.5546875" bestFit="1" customWidth="1"/>
    <col min="2" max="2" width="17.77734375" bestFit="1" customWidth="1"/>
    <col min="3" max="3" width="19.109375" customWidth="1"/>
    <col min="4" max="5" width="19.77734375" bestFit="1" customWidth="1"/>
    <col min="6" max="6" width="17.77734375" bestFit="1" customWidth="1"/>
    <col min="7" max="7" width="14.21875" bestFit="1" customWidth="1"/>
    <col min="8" max="8" width="17.554687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512</v>
      </c>
      <c r="C2" s="1">
        <v>301</v>
      </c>
      <c r="D2" s="1">
        <v>511</v>
      </c>
      <c r="E2" s="1">
        <v>269</v>
      </c>
      <c r="F2" s="1">
        <v>811</v>
      </c>
    </row>
    <row r="3" spans="1:8" x14ac:dyDescent="0.3">
      <c r="A3" s="12" t="s">
        <v>12</v>
      </c>
      <c r="B3" s="25">
        <v>4.0000000000000959</v>
      </c>
      <c r="C3" s="25">
        <v>83.000000000000028</v>
      </c>
      <c r="D3" s="25">
        <v>276.99999999999977</v>
      </c>
      <c r="E3" s="25">
        <v>365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8">
        <f>SUMPRODUCT($B$3:$F$3,$B5:$F5)</f>
        <v>2487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8">
        <f t="shared" ref="G6:G10" si="0">SUMPRODUCT($B$3:$F$3,$B6:$F6)</f>
        <v>3029.9999999999991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8">
        <f t="shared" si="0"/>
        <v>5216.9999999999982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8">
        <f t="shared" si="0"/>
        <v>3370.9999999999995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8">
        <f t="shared" si="0"/>
        <v>2769</v>
      </c>
      <c r="H10" s="9">
        <v>2769</v>
      </c>
    </row>
    <row r="12" spans="1:8" x14ac:dyDescent="0.3">
      <c r="A12" s="14" t="s">
        <v>13</v>
      </c>
      <c r="B12" s="62">
        <f>SUMPRODUCT($B$2:$F$2,$B$3:$F$3)</f>
        <v>266762.99999999994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154</v>
      </c>
      <c r="C16" s="16" t="s">
        <v>19</v>
      </c>
    </row>
    <row r="17" spans="1:8" x14ac:dyDescent="0.3">
      <c r="A17" s="3" t="s">
        <v>17</v>
      </c>
      <c r="B17" s="15" t="s">
        <v>18</v>
      </c>
      <c r="C17" s="15"/>
    </row>
    <row r="20" spans="1:8" x14ac:dyDescent="0.3">
      <c r="A20" s="22" t="s">
        <v>103</v>
      </c>
      <c r="B20" s="22" t="s">
        <v>100</v>
      </c>
      <c r="C20" s="22" t="s">
        <v>101</v>
      </c>
      <c r="D20" s="22" t="s">
        <v>102</v>
      </c>
      <c r="E20" s="22" t="s">
        <v>105</v>
      </c>
      <c r="F20" s="22" t="s">
        <v>106</v>
      </c>
      <c r="G20" s="22" t="s">
        <v>104</v>
      </c>
    </row>
    <row r="21" spans="1:8" x14ac:dyDescent="0.3">
      <c r="A21" s="28">
        <v>510</v>
      </c>
      <c r="B21" s="28">
        <v>1.3333333333333279</v>
      </c>
      <c r="C21" s="28">
        <v>27.692307692307704</v>
      </c>
      <c r="D21" s="28">
        <v>512</v>
      </c>
      <c r="E21" s="24">
        <f>ABS(A21-D21)</f>
        <v>2</v>
      </c>
      <c r="F21" s="24" t="s">
        <v>32</v>
      </c>
      <c r="G21" s="30">
        <f>E21/B21</f>
        <v>1.500000000000006</v>
      </c>
      <c r="H21" s="66"/>
    </row>
    <row r="22" spans="1:8" x14ac:dyDescent="0.3">
      <c r="A22" s="28">
        <v>300</v>
      </c>
      <c r="B22" s="28">
        <v>22.499999999999918</v>
      </c>
      <c r="C22" s="28">
        <v>38.142857142857139</v>
      </c>
      <c r="D22" s="28">
        <v>301</v>
      </c>
      <c r="E22" s="24">
        <f t="shared" ref="E22:E25" si="1">ABS(A22-D22)</f>
        <v>1</v>
      </c>
      <c r="F22" s="24" t="s">
        <v>32</v>
      </c>
      <c r="G22" s="30">
        <f t="shared" ref="G22:G25" si="2">E22/B22</f>
        <v>4.4444444444444606E-2</v>
      </c>
      <c r="H22" s="66"/>
    </row>
    <row r="23" spans="1:8" x14ac:dyDescent="0.3">
      <c r="A23" s="28">
        <v>510</v>
      </c>
      <c r="B23" s="28">
        <v>8.7804878048780495</v>
      </c>
      <c r="C23" s="28">
        <v>1.4876033057851179</v>
      </c>
      <c r="D23" s="28">
        <v>511</v>
      </c>
      <c r="E23" s="24">
        <f t="shared" si="1"/>
        <v>1</v>
      </c>
      <c r="F23" s="24" t="s">
        <v>32</v>
      </c>
      <c r="G23" s="30">
        <f t="shared" si="2"/>
        <v>0.11388888888888889</v>
      </c>
      <c r="H23" s="66"/>
    </row>
    <row r="24" spans="1:8" x14ac:dyDescent="0.3">
      <c r="A24" s="28">
        <v>270</v>
      </c>
      <c r="B24" s="28">
        <v>48.396226415094269</v>
      </c>
      <c r="C24" s="28">
        <v>4.9999999999999822</v>
      </c>
      <c r="D24" s="28">
        <v>269</v>
      </c>
      <c r="E24" s="24">
        <f t="shared" si="1"/>
        <v>1</v>
      </c>
      <c r="F24" s="24" t="s">
        <v>33</v>
      </c>
      <c r="G24" s="30">
        <f>E24/C24</f>
        <v>0.2000000000000007</v>
      </c>
      <c r="H24" s="66"/>
    </row>
    <row r="25" spans="1:8" x14ac:dyDescent="0.3">
      <c r="A25" s="28">
        <v>810</v>
      </c>
      <c r="B25" s="28">
        <v>48.339222614840899</v>
      </c>
      <c r="C25" s="27">
        <v>1E+30</v>
      </c>
      <c r="D25" s="28">
        <v>811</v>
      </c>
      <c r="E25" s="24">
        <f t="shared" si="1"/>
        <v>1</v>
      </c>
      <c r="F25" s="24" t="s">
        <v>32</v>
      </c>
      <c r="G25" s="30">
        <f t="shared" si="2"/>
        <v>2.0687134502924014E-2</v>
      </c>
      <c r="H25" s="66"/>
    </row>
    <row r="26" spans="1:8" x14ac:dyDescent="0.3">
      <c r="A26" s="59" t="s">
        <v>107</v>
      </c>
      <c r="B26" s="59"/>
      <c r="C26" s="59"/>
      <c r="D26" s="59"/>
      <c r="E26" s="59"/>
      <c r="F26" s="59"/>
      <c r="G26" s="29">
        <f>SUM(G21:G25)</f>
        <v>1.8790204678362641</v>
      </c>
      <c r="H26" s="67"/>
    </row>
    <row r="29" spans="1:8" x14ac:dyDescent="0.3">
      <c r="A29" s="3" t="s">
        <v>155</v>
      </c>
      <c r="B29" s="69">
        <f>ABS(B12-'LotsOfProducts 1b'!B12)</f>
        <v>3</v>
      </c>
    </row>
  </sheetData>
  <mergeCells count="1">
    <mergeCell ref="A26:F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5802-9336-4A47-8FAA-4A1A52E6DB97}">
  <sheetPr codeName="Sheet9"/>
  <dimension ref="A1:H17"/>
  <sheetViews>
    <sheetView workbookViewId="0"/>
  </sheetViews>
  <sheetFormatPr defaultColWidth="13" defaultRowHeight="14.4" x14ac:dyDescent="0.3"/>
  <cols>
    <col min="1" max="1" width="19.5546875" bestFit="1" customWidth="1"/>
    <col min="2" max="2" width="15.109375" bestFit="1" customWidth="1"/>
    <col min="3" max="3" width="9.21875" customWidth="1"/>
    <col min="4" max="6" width="9.109375" bestFit="1" customWidth="1"/>
    <col min="7" max="7" width="7" customWidth="1"/>
    <col min="8" max="8" width="8.6640625" bestFit="1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1020</v>
      </c>
      <c r="C2" s="1">
        <v>600</v>
      </c>
      <c r="D2" s="1">
        <v>1020</v>
      </c>
      <c r="E2" s="1">
        <v>540</v>
      </c>
      <c r="F2" s="1">
        <v>1620</v>
      </c>
    </row>
    <row r="3" spans="1:8" x14ac:dyDescent="0.3">
      <c r="A3" s="12" t="s">
        <v>12</v>
      </c>
      <c r="B3" s="25">
        <v>3.9999999999999876</v>
      </c>
      <c r="C3" s="25">
        <v>83.000000000000028</v>
      </c>
      <c r="D3" s="25">
        <v>276.99999999999989</v>
      </c>
      <c r="E3" s="25">
        <v>365.00000000000006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8">
        <f>SUMPRODUCT($B$3:$F$3,$B5:$F5)</f>
        <v>2487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8">
        <f t="shared" ref="G6:G10" si="0">SUMPRODUCT($B$3:$F$3,$B6:$F6)</f>
        <v>3029.9999999999995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8">
        <f t="shared" si="0"/>
        <v>5217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8">
        <f t="shared" si="0"/>
        <v>3371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8">
        <f t="shared" si="0"/>
        <v>2769</v>
      </c>
      <c r="H10" s="9">
        <v>2769</v>
      </c>
    </row>
    <row r="12" spans="1:8" x14ac:dyDescent="0.3">
      <c r="A12" s="14" t="s">
        <v>13</v>
      </c>
      <c r="B12" s="62">
        <f>SUMPRODUCT($B$2:$F$2,$B$3:$F$3)</f>
        <v>533519.99999999988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154</v>
      </c>
      <c r="C16" s="16" t="s">
        <v>19</v>
      </c>
    </row>
    <row r="17" spans="1:3" x14ac:dyDescent="0.3">
      <c r="A17" s="3" t="s">
        <v>17</v>
      </c>
      <c r="B17" s="15" t="s">
        <v>18</v>
      </c>
      <c r="C17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FD83-2E01-4A40-8BDF-9A89C667670D}">
  <sheetPr codeName="Sheet10"/>
  <dimension ref="A1:H17"/>
  <sheetViews>
    <sheetView workbookViewId="0"/>
  </sheetViews>
  <sheetFormatPr defaultColWidth="13" defaultRowHeight="14.4" x14ac:dyDescent="0.3"/>
  <cols>
    <col min="1" max="1" width="19.5546875" bestFit="1" customWidth="1"/>
    <col min="2" max="2" width="15.21875" customWidth="1"/>
    <col min="3" max="8" width="13" customWidth="1"/>
  </cols>
  <sheetData>
    <row r="1" spans="1: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8" x14ac:dyDescent="0.3">
      <c r="A2" s="11" t="s">
        <v>5</v>
      </c>
      <c r="B2" s="1">
        <v>255</v>
      </c>
      <c r="C2" s="1">
        <v>150</v>
      </c>
      <c r="D2" s="1">
        <v>255</v>
      </c>
      <c r="E2" s="1">
        <v>135</v>
      </c>
      <c r="F2" s="1">
        <v>405</v>
      </c>
    </row>
    <row r="3" spans="1:8" x14ac:dyDescent="0.3">
      <c r="A3" s="12" t="s">
        <v>12</v>
      </c>
      <c r="B3" s="25">
        <v>3.9999999999999876</v>
      </c>
      <c r="C3" s="25">
        <v>83.000000000000028</v>
      </c>
      <c r="D3" s="25">
        <v>276.99999999999989</v>
      </c>
      <c r="E3" s="25">
        <v>365.00000000000006</v>
      </c>
      <c r="F3" s="25">
        <v>0</v>
      </c>
    </row>
    <row r="4" spans="1:8" x14ac:dyDescent="0.3">
      <c r="G4" s="3" t="s">
        <v>82</v>
      </c>
      <c r="H4" s="3" t="s">
        <v>83</v>
      </c>
    </row>
    <row r="5" spans="1:8" x14ac:dyDescent="0.3">
      <c r="A5" s="10" t="s">
        <v>6</v>
      </c>
      <c r="B5">
        <v>2</v>
      </c>
      <c r="C5">
        <v>10</v>
      </c>
      <c r="D5">
        <v>2</v>
      </c>
      <c r="E5">
        <v>3</v>
      </c>
      <c r="F5">
        <v>6</v>
      </c>
      <c r="G5" s="8">
        <f>SUMPRODUCT($B$3:$F$3,$B5:$F5)</f>
        <v>2487</v>
      </c>
      <c r="H5" s="9">
        <v>2487</v>
      </c>
    </row>
    <row r="6" spans="1:8" x14ac:dyDescent="0.3">
      <c r="A6" s="10" t="s">
        <v>7</v>
      </c>
      <c r="B6">
        <v>6</v>
      </c>
      <c r="C6">
        <v>3</v>
      </c>
      <c r="D6">
        <v>6</v>
      </c>
      <c r="E6">
        <v>3</v>
      </c>
      <c r="F6">
        <v>10</v>
      </c>
      <c r="G6" s="8">
        <f t="shared" ref="G6:G10" si="0">SUMPRODUCT($B$3:$F$3,$B6:$F6)</f>
        <v>3029.9999999999995</v>
      </c>
      <c r="H6" s="9">
        <v>3030</v>
      </c>
    </row>
    <row r="7" spans="1:8" x14ac:dyDescent="0.3">
      <c r="A7" s="10" t="s">
        <v>8</v>
      </c>
      <c r="B7">
        <v>2</v>
      </c>
      <c r="C7">
        <v>3</v>
      </c>
      <c r="D7">
        <v>10</v>
      </c>
      <c r="E7">
        <v>6</v>
      </c>
      <c r="F7">
        <v>2</v>
      </c>
      <c r="G7" s="8">
        <f t="shared" si="0"/>
        <v>5217</v>
      </c>
      <c r="H7" s="9">
        <v>5217</v>
      </c>
    </row>
    <row r="8" spans="1:8" x14ac:dyDescent="0.3">
      <c r="A8" s="10" t="s">
        <v>9</v>
      </c>
      <c r="B8">
        <v>7</v>
      </c>
      <c r="C8">
        <v>6</v>
      </c>
      <c r="D8">
        <v>5</v>
      </c>
      <c r="E8">
        <v>4</v>
      </c>
      <c r="F8">
        <v>3</v>
      </c>
      <c r="G8" s="8">
        <f t="shared" si="0"/>
        <v>3371</v>
      </c>
      <c r="H8" s="9">
        <v>4000</v>
      </c>
    </row>
    <row r="9" spans="1:8" x14ac:dyDescent="0.3">
      <c r="A9" s="10" t="s">
        <v>10</v>
      </c>
      <c r="B9">
        <v>5</v>
      </c>
      <c r="C9">
        <v>6</v>
      </c>
      <c r="D9">
        <v>3</v>
      </c>
      <c r="E9">
        <v>10</v>
      </c>
      <c r="F9">
        <v>2</v>
      </c>
      <c r="G9" s="8">
        <f t="shared" si="0"/>
        <v>4999</v>
      </c>
      <c r="H9" s="9">
        <v>4999</v>
      </c>
    </row>
    <row r="10" spans="1:8" x14ac:dyDescent="0.3">
      <c r="A10" s="10" t="s">
        <v>11</v>
      </c>
      <c r="B10">
        <v>10</v>
      </c>
      <c r="C10">
        <v>3</v>
      </c>
      <c r="D10">
        <v>5</v>
      </c>
      <c r="E10">
        <v>3</v>
      </c>
      <c r="F10">
        <v>4</v>
      </c>
      <c r="G10" s="8">
        <f t="shared" si="0"/>
        <v>2769</v>
      </c>
      <c r="H10" s="9">
        <v>2769</v>
      </c>
    </row>
    <row r="12" spans="1:8" x14ac:dyDescent="0.3">
      <c r="A12" s="14" t="s">
        <v>13</v>
      </c>
      <c r="B12" s="62">
        <f>SUMPRODUCT($B$2:$F$2,$B$3:$F$3)</f>
        <v>133379.99999999997</v>
      </c>
    </row>
    <row r="15" spans="1:8" x14ac:dyDescent="0.3">
      <c r="A15" s="3" t="s">
        <v>14</v>
      </c>
      <c r="B15" s="15" t="s">
        <v>15</v>
      </c>
      <c r="C15" s="15"/>
    </row>
    <row r="16" spans="1:8" x14ac:dyDescent="0.3">
      <c r="A16" s="3" t="s">
        <v>16</v>
      </c>
      <c r="B16" s="15" t="s">
        <v>154</v>
      </c>
      <c r="C16" s="16" t="s">
        <v>19</v>
      </c>
    </row>
    <row r="17" spans="1:3" x14ac:dyDescent="0.3">
      <c r="A17" s="3" t="s">
        <v>17</v>
      </c>
      <c r="B17" s="15" t="s">
        <v>18</v>
      </c>
      <c r="C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LotsOfProducts 1b</vt:lpstr>
      <vt:lpstr>Qu1c Sensitivity Rep</vt:lpstr>
      <vt:lpstr>Qu1e Answer Rep</vt:lpstr>
      <vt:lpstr>LotsOfProducts 1f</vt:lpstr>
      <vt:lpstr>LotsOfProducts 1g</vt:lpstr>
      <vt:lpstr>Qu1g Sensitivity Rep</vt:lpstr>
      <vt:lpstr>LotsOfProducts 1h</vt:lpstr>
      <vt:lpstr>LotsOfProducts 1i</vt:lpstr>
      <vt:lpstr>LotsOfProducts 1j</vt:lpstr>
      <vt:lpstr>LotsOfProducts 1k</vt:lpstr>
      <vt:lpstr>LotsOfProducts 1l</vt:lpstr>
      <vt:lpstr>LotsOfProducts 1m</vt:lpstr>
      <vt:lpstr>LotsOfProducts 1n</vt:lpstr>
      <vt:lpstr>LotsOfProducts 1o</vt:lpstr>
      <vt:lpstr>LotsOfProducts 1p</vt:lpstr>
      <vt:lpstr>LotsOfProducts 1q</vt:lpstr>
      <vt:lpstr>LotsOfProducts 1r</vt:lpstr>
      <vt:lpstr>T&amp;N 2c</vt:lpstr>
      <vt:lpstr>T&amp;N 2f</vt:lpstr>
      <vt:lpstr>T&amp;N 2g</vt:lpstr>
      <vt:lpstr>T&amp;N 2h</vt:lpstr>
      <vt:lpstr>T&amp;N 2i part 1</vt:lpstr>
      <vt:lpstr>T&amp;N 2i part 2</vt:lpstr>
      <vt:lpstr>EOQ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Veruva</dc:creator>
  <cp:lastModifiedBy>veruv</cp:lastModifiedBy>
  <dcterms:created xsi:type="dcterms:W3CDTF">2015-06-05T18:17:20Z</dcterms:created>
  <dcterms:modified xsi:type="dcterms:W3CDTF">2020-10-16T11:48:51Z</dcterms:modified>
</cp:coreProperties>
</file>