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hanbala/Desktop/ShanSBalaRésumé/NewResNan/Using/"/>
    </mc:Choice>
  </mc:AlternateContent>
  <xr:revisionPtr revIDLastSave="0" documentId="8_{246EDE8C-E767-8941-B51B-E8E54205725A}" xr6:coauthVersionLast="47" xr6:coauthVersionMax="47" xr10:uidLastSave="{00000000-0000-0000-0000-000000000000}"/>
  <bookViews>
    <workbookView xWindow="600" yWindow="460" windowWidth="25600" windowHeight="14720" tabRatio="971" xr2:uid="{00000000-000D-0000-FFFF-FFFF00000000}"/>
  </bookViews>
  <sheets>
    <sheet name="Index" sheetId="23" r:id="rId1"/>
    <sheet name="Dashboard" sheetId="1" r:id="rId2"/>
    <sheet name="COE" sheetId="4" r:id="rId3"/>
    <sheet name="Revenue Assumptions" sheetId="14" r:id="rId4"/>
    <sheet name="Expense Assumptions" sheetId="7" r:id="rId5"/>
    <sheet name="Depreciation Schedule" sheetId="21" r:id="rId6"/>
    <sheet name="Year1-Test-IncomeStatement" sheetId="10" r:id="rId7"/>
    <sheet name="Year2-Test-IncomeStatement" sheetId="12" r:id="rId8"/>
    <sheet name="ScaleUp-Initial- Year3 - Income" sheetId="19" r:id="rId9"/>
    <sheet name="ScaleUp-Growth - Year4 - Income" sheetId="18" r:id="rId10"/>
    <sheet name="ScaleUp-Mature - Year5" sheetId="13" r:id="rId11"/>
    <sheet name="Source-Use" sheetId="28" r:id="rId12"/>
    <sheet name="Diagram" sheetId="3" state="hidden" r:id="rId13"/>
    <sheet name="Sheet5" sheetId="5" state="hidden" r:id="rId14"/>
    <sheet name="Sheet6" sheetId="6" state="hidden" r:id="rId15"/>
    <sheet name="Sheet9" sheetId="9" state="hidden" r:id="rId16"/>
    <sheet name="Sheet8" sheetId="8" state="hidden" r:id="rId17"/>
    <sheet name="Sheet15" sheetId="29" state="hidden" r:id="rId18"/>
    <sheet name="Sheet1" sheetId="30" state="hidden" r:id="rId19"/>
    <sheet name="Sheet2" sheetId="32" r:id="rId20"/>
  </sheets>
  <externalReferences>
    <externalReference r:id="rId21"/>
  </externalReferenc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8" l="1"/>
  <c r="D19" i="28"/>
  <c r="E16" i="28"/>
  <c r="E19" i="28"/>
  <c r="F16" i="28"/>
  <c r="F19" i="28" s="1"/>
  <c r="F17" i="28"/>
  <c r="G19" i="28"/>
  <c r="H19" i="28"/>
  <c r="C19" i="28"/>
  <c r="C21" i="28"/>
  <c r="C7" i="14"/>
  <c r="O30" i="6"/>
  <c r="O29" i="6"/>
  <c r="S17" i="6"/>
  <c r="T17" i="6" s="1"/>
  <c r="S16" i="6"/>
  <c r="T16" i="6" s="1"/>
  <c r="G23" i="6"/>
  <c r="H23" i="6" s="1"/>
  <c r="I23" i="6" s="1"/>
  <c r="C12" i="12"/>
  <c r="C13" i="12" s="1"/>
  <c r="D12" i="12"/>
  <c r="D13" i="12" s="1"/>
  <c r="E12" i="12"/>
  <c r="E13" i="12" s="1"/>
  <c r="F12" i="12"/>
  <c r="F13" i="12" s="1"/>
  <c r="G12" i="12"/>
  <c r="G13" i="12" s="1"/>
  <c r="H12" i="12"/>
  <c r="H13" i="12" s="1"/>
  <c r="I12" i="12"/>
  <c r="I13" i="12" s="1"/>
  <c r="J12" i="12"/>
  <c r="J13" i="12" s="1"/>
  <c r="K12" i="12"/>
  <c r="K13" i="12" s="1"/>
  <c r="L12" i="12"/>
  <c r="L13" i="12" s="1"/>
  <c r="M12" i="12"/>
  <c r="M13" i="12" s="1"/>
  <c r="N12" i="12"/>
  <c r="N13" i="12" s="1"/>
  <c r="C12" i="13"/>
  <c r="C13" i="13" s="1"/>
  <c r="D12" i="13"/>
  <c r="D13" i="13"/>
  <c r="E12" i="13"/>
  <c r="E13" i="13" s="1"/>
  <c r="F12" i="13"/>
  <c r="F13" i="13"/>
  <c r="G12" i="13"/>
  <c r="G13" i="13" s="1"/>
  <c r="H12" i="13"/>
  <c r="H13" i="13"/>
  <c r="I12" i="13"/>
  <c r="I13" i="13" s="1"/>
  <c r="J12" i="13"/>
  <c r="J13" i="13"/>
  <c r="K12" i="13"/>
  <c r="K13" i="13" s="1"/>
  <c r="L12" i="13"/>
  <c r="L13" i="13"/>
  <c r="M12" i="13"/>
  <c r="M13" i="13" s="1"/>
  <c r="N12" i="13"/>
  <c r="N13" i="13"/>
  <c r="C12" i="18"/>
  <c r="C13" i="18"/>
  <c r="D12" i="18"/>
  <c r="D13" i="18" s="1"/>
  <c r="E12" i="18"/>
  <c r="E13" i="18"/>
  <c r="F12" i="18"/>
  <c r="F13" i="18" s="1"/>
  <c r="G12" i="18"/>
  <c r="G13" i="18"/>
  <c r="H12" i="18"/>
  <c r="H13" i="18" s="1"/>
  <c r="I12" i="18"/>
  <c r="I13" i="18"/>
  <c r="J12" i="18"/>
  <c r="J13" i="18" s="1"/>
  <c r="K12" i="18"/>
  <c r="K13" i="18"/>
  <c r="L12" i="18"/>
  <c r="L13" i="18" s="1"/>
  <c r="M12" i="18"/>
  <c r="M13" i="18"/>
  <c r="N12" i="18"/>
  <c r="N13" i="18" s="1"/>
  <c r="C12" i="19"/>
  <c r="C13" i="19"/>
  <c r="D12" i="19"/>
  <c r="D13" i="19"/>
  <c r="E12" i="19"/>
  <c r="E13" i="19"/>
  <c r="F12" i="19"/>
  <c r="F13" i="19"/>
  <c r="G12" i="19"/>
  <c r="G13" i="19"/>
  <c r="H12" i="19"/>
  <c r="H13" i="19"/>
  <c r="I12" i="19"/>
  <c r="I13" i="19"/>
  <c r="J12" i="19"/>
  <c r="J13" i="19"/>
  <c r="K12" i="19"/>
  <c r="K13" i="19"/>
  <c r="L12" i="19"/>
  <c r="L13" i="19"/>
  <c r="M12" i="19"/>
  <c r="M13" i="19"/>
  <c r="N12" i="19"/>
  <c r="N13" i="19"/>
  <c r="M27" i="14"/>
  <c r="M11" i="14"/>
  <c r="M14" i="14" s="1"/>
  <c r="L23" i="7"/>
  <c r="L25" i="7" s="1"/>
  <c r="G8" i="14"/>
  <c r="C8" i="14" s="1"/>
  <c r="F12" i="14"/>
  <c r="F13" i="14" s="1"/>
  <c r="G11" i="14"/>
  <c r="P10" i="9"/>
  <c r="P11" i="9"/>
  <c r="P13" i="9"/>
  <c r="P15" i="9"/>
  <c r="L8" i="7" s="1"/>
  <c r="E16" i="13"/>
  <c r="I16" i="13"/>
  <c r="M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C23" i="13"/>
  <c r="C24" i="13"/>
  <c r="C26" i="13"/>
  <c r="C27" i="13"/>
  <c r="D23" i="13"/>
  <c r="D24" i="13"/>
  <c r="D26" i="13"/>
  <c r="D27" i="13"/>
  <c r="E23" i="13"/>
  <c r="E24" i="13"/>
  <c r="E26" i="13"/>
  <c r="E27" i="13"/>
  <c r="F23" i="13"/>
  <c r="F24" i="13"/>
  <c r="F26" i="13"/>
  <c r="F27" i="13"/>
  <c r="G23" i="13"/>
  <c r="G24" i="13"/>
  <c r="G26" i="13"/>
  <c r="G27" i="13"/>
  <c r="H23" i="13"/>
  <c r="H24" i="13"/>
  <c r="H26" i="13"/>
  <c r="H27" i="13"/>
  <c r="I23" i="13"/>
  <c r="I24" i="13"/>
  <c r="I26" i="13"/>
  <c r="I27" i="13"/>
  <c r="J23" i="13"/>
  <c r="J24" i="13"/>
  <c r="J26" i="13"/>
  <c r="J27" i="13"/>
  <c r="K23" i="13"/>
  <c r="K24" i="13"/>
  <c r="K26" i="13"/>
  <c r="K27" i="13"/>
  <c r="L23" i="13"/>
  <c r="L24" i="13"/>
  <c r="L26" i="13"/>
  <c r="L27" i="13"/>
  <c r="M23" i="13"/>
  <c r="M24" i="13"/>
  <c r="M26" i="13"/>
  <c r="M27" i="13"/>
  <c r="N23" i="13"/>
  <c r="N24" i="13"/>
  <c r="N26" i="13"/>
  <c r="N27" i="13"/>
  <c r="D16" i="18"/>
  <c r="H16" i="18"/>
  <c r="L16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C23" i="18"/>
  <c r="C24" i="18"/>
  <c r="C26" i="18"/>
  <c r="C27" i="18"/>
  <c r="D23" i="18"/>
  <c r="D24" i="18"/>
  <c r="D26" i="18"/>
  <c r="D27" i="18"/>
  <c r="E23" i="18"/>
  <c r="E24" i="18"/>
  <c r="E26" i="18"/>
  <c r="E27" i="18"/>
  <c r="F23" i="18"/>
  <c r="F24" i="18"/>
  <c r="F26" i="18"/>
  <c r="F27" i="18"/>
  <c r="G23" i="18"/>
  <c r="G24" i="18"/>
  <c r="G26" i="18"/>
  <c r="G27" i="18"/>
  <c r="H23" i="18"/>
  <c r="H24" i="18"/>
  <c r="H26" i="18"/>
  <c r="H27" i="18"/>
  <c r="I23" i="18"/>
  <c r="I24" i="18"/>
  <c r="I26" i="18"/>
  <c r="I27" i="18"/>
  <c r="J23" i="18"/>
  <c r="J24" i="18"/>
  <c r="J26" i="18"/>
  <c r="J27" i="18"/>
  <c r="K23" i="18"/>
  <c r="K24" i="18"/>
  <c r="K26" i="18"/>
  <c r="K27" i="18"/>
  <c r="L23" i="18"/>
  <c r="L24" i="18"/>
  <c r="L26" i="18"/>
  <c r="L27" i="18"/>
  <c r="M23" i="18"/>
  <c r="M24" i="18"/>
  <c r="M26" i="18"/>
  <c r="M27" i="18"/>
  <c r="N23" i="18"/>
  <c r="N24" i="18"/>
  <c r="N26" i="18"/>
  <c r="N27" i="18"/>
  <c r="C16" i="19"/>
  <c r="D16" i="19"/>
  <c r="E16" i="19"/>
  <c r="F16" i="19"/>
  <c r="G16" i="19"/>
  <c r="H16" i="19"/>
  <c r="I16" i="19"/>
  <c r="J16" i="19"/>
  <c r="K16" i="19"/>
  <c r="L16" i="19"/>
  <c r="M16" i="19"/>
  <c r="N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C23" i="19"/>
  <c r="C24" i="19"/>
  <c r="C26" i="19"/>
  <c r="C27" i="19"/>
  <c r="D23" i="19"/>
  <c r="D24" i="19"/>
  <c r="D26" i="19"/>
  <c r="D27" i="19"/>
  <c r="E23" i="19"/>
  <c r="E24" i="19"/>
  <c r="E26" i="19"/>
  <c r="E27" i="19"/>
  <c r="F23" i="19"/>
  <c r="F24" i="19"/>
  <c r="F26" i="19"/>
  <c r="F27" i="19"/>
  <c r="G23" i="19"/>
  <c r="G24" i="19"/>
  <c r="G26" i="19"/>
  <c r="G27" i="19"/>
  <c r="H23" i="19"/>
  <c r="H24" i="19"/>
  <c r="H26" i="19"/>
  <c r="H27" i="19"/>
  <c r="I23" i="19"/>
  <c r="I24" i="19"/>
  <c r="I26" i="19"/>
  <c r="I27" i="19"/>
  <c r="J23" i="19"/>
  <c r="J24" i="19"/>
  <c r="J26" i="19"/>
  <c r="J27" i="19"/>
  <c r="K23" i="19"/>
  <c r="K24" i="19"/>
  <c r="K26" i="19"/>
  <c r="K27" i="19"/>
  <c r="L23" i="19"/>
  <c r="L24" i="19"/>
  <c r="L26" i="19"/>
  <c r="L27" i="19"/>
  <c r="M23" i="19"/>
  <c r="M24" i="19"/>
  <c r="M26" i="19"/>
  <c r="M27" i="19"/>
  <c r="N23" i="19"/>
  <c r="N24" i="19"/>
  <c r="N26" i="19"/>
  <c r="N27" i="19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C23" i="12"/>
  <c r="C24" i="12"/>
  <c r="C26" i="12"/>
  <c r="C27" i="12"/>
  <c r="C29" i="12"/>
  <c r="C30" i="12"/>
  <c r="C31" i="12"/>
  <c r="D23" i="12"/>
  <c r="D24" i="12"/>
  <c r="D26" i="12"/>
  <c r="D27" i="12"/>
  <c r="D29" i="12"/>
  <c r="D30" i="12"/>
  <c r="D31" i="12"/>
  <c r="E23" i="12"/>
  <c r="E24" i="12"/>
  <c r="E26" i="12"/>
  <c r="E27" i="12"/>
  <c r="E29" i="12"/>
  <c r="E30" i="12"/>
  <c r="E31" i="12"/>
  <c r="F23" i="12"/>
  <c r="F24" i="12"/>
  <c r="F26" i="12"/>
  <c r="F27" i="12"/>
  <c r="F29" i="12"/>
  <c r="F30" i="12"/>
  <c r="F31" i="12"/>
  <c r="G23" i="12"/>
  <c r="G24" i="12"/>
  <c r="G26" i="12"/>
  <c r="G27" i="12"/>
  <c r="G29" i="12"/>
  <c r="G30" i="12"/>
  <c r="G31" i="12"/>
  <c r="H23" i="12"/>
  <c r="H24" i="12"/>
  <c r="H26" i="12"/>
  <c r="H27" i="12"/>
  <c r="H29" i="12"/>
  <c r="H30" i="12"/>
  <c r="H31" i="12"/>
  <c r="I23" i="12"/>
  <c r="I24" i="12"/>
  <c r="I26" i="12"/>
  <c r="I27" i="12"/>
  <c r="I29" i="12"/>
  <c r="I30" i="12"/>
  <c r="I31" i="12"/>
  <c r="J23" i="12"/>
  <c r="J24" i="12"/>
  <c r="J26" i="12"/>
  <c r="J27" i="12"/>
  <c r="J29" i="12"/>
  <c r="J30" i="12"/>
  <c r="J31" i="12"/>
  <c r="K23" i="12"/>
  <c r="K24" i="12"/>
  <c r="K26" i="12"/>
  <c r="K27" i="12"/>
  <c r="K29" i="12"/>
  <c r="K30" i="12"/>
  <c r="K31" i="12"/>
  <c r="L23" i="12"/>
  <c r="L24" i="12"/>
  <c r="L26" i="12"/>
  <c r="L27" i="12"/>
  <c r="L29" i="12"/>
  <c r="L30" i="12"/>
  <c r="L31" i="12"/>
  <c r="M23" i="12"/>
  <c r="M24" i="12"/>
  <c r="M26" i="12"/>
  <c r="M27" i="12"/>
  <c r="M29" i="12"/>
  <c r="M30" i="12"/>
  <c r="M31" i="12"/>
  <c r="N23" i="12"/>
  <c r="N24" i="12"/>
  <c r="N26" i="12"/>
  <c r="N27" i="12"/>
  <c r="N29" i="12"/>
  <c r="N30" i="12"/>
  <c r="N31" i="12"/>
  <c r="C18" i="10"/>
  <c r="D18" i="10"/>
  <c r="E18" i="10"/>
  <c r="F18" i="10"/>
  <c r="G18" i="10"/>
  <c r="H18" i="10"/>
  <c r="I18" i="10"/>
  <c r="J18" i="10"/>
  <c r="K18" i="10"/>
  <c r="L18" i="10"/>
  <c r="M18" i="10"/>
  <c r="N18" i="10"/>
  <c r="C12" i="10"/>
  <c r="C13" i="10"/>
  <c r="O13" i="10" s="1"/>
  <c r="D12" i="10"/>
  <c r="D13" i="10"/>
  <c r="E12" i="10"/>
  <c r="E13" i="10"/>
  <c r="F12" i="10"/>
  <c r="F13" i="10"/>
  <c r="G12" i="10"/>
  <c r="G13" i="10"/>
  <c r="H12" i="10"/>
  <c r="H13" i="10"/>
  <c r="I12" i="10"/>
  <c r="I13" i="10"/>
  <c r="J12" i="10"/>
  <c r="J13" i="10"/>
  <c r="K12" i="10"/>
  <c r="K13" i="10"/>
  <c r="L12" i="10"/>
  <c r="L13" i="10"/>
  <c r="M12" i="10"/>
  <c r="M13" i="10"/>
  <c r="N12" i="10"/>
  <c r="N13" i="10"/>
  <c r="C23" i="10"/>
  <c r="C24" i="10"/>
  <c r="C26" i="10"/>
  <c r="C27" i="10"/>
  <c r="C29" i="10"/>
  <c r="C30" i="10"/>
  <c r="C31" i="10"/>
  <c r="D23" i="10"/>
  <c r="D24" i="10"/>
  <c r="D26" i="10"/>
  <c r="D27" i="10"/>
  <c r="D29" i="10"/>
  <c r="D30" i="10"/>
  <c r="D31" i="10"/>
  <c r="E23" i="10"/>
  <c r="E24" i="10"/>
  <c r="E26" i="10"/>
  <c r="E27" i="10"/>
  <c r="E29" i="10"/>
  <c r="E30" i="10"/>
  <c r="E31" i="10"/>
  <c r="F23" i="10"/>
  <c r="F24" i="10"/>
  <c r="F26" i="10"/>
  <c r="F27" i="10"/>
  <c r="F29" i="10"/>
  <c r="F30" i="10"/>
  <c r="F31" i="10"/>
  <c r="G23" i="10"/>
  <c r="G24" i="10"/>
  <c r="G26" i="10"/>
  <c r="G27" i="10"/>
  <c r="G29" i="10"/>
  <c r="G30" i="10"/>
  <c r="G31" i="10"/>
  <c r="H23" i="10"/>
  <c r="H24" i="10"/>
  <c r="H26" i="10"/>
  <c r="H27" i="10"/>
  <c r="H29" i="10"/>
  <c r="H30" i="10"/>
  <c r="H31" i="10"/>
  <c r="I23" i="10"/>
  <c r="I24" i="10"/>
  <c r="I26" i="10"/>
  <c r="I27" i="10"/>
  <c r="I29" i="10"/>
  <c r="I30" i="10"/>
  <c r="I31" i="10"/>
  <c r="J23" i="10"/>
  <c r="J24" i="10"/>
  <c r="J26" i="10"/>
  <c r="J27" i="10"/>
  <c r="J29" i="10"/>
  <c r="J30" i="10"/>
  <c r="J31" i="10"/>
  <c r="K23" i="10"/>
  <c r="K24" i="10"/>
  <c r="K26" i="10"/>
  <c r="K27" i="10"/>
  <c r="K29" i="10"/>
  <c r="K30" i="10"/>
  <c r="K31" i="10"/>
  <c r="L23" i="10"/>
  <c r="L24" i="10"/>
  <c r="L26" i="10"/>
  <c r="L27" i="10"/>
  <c r="L29" i="10"/>
  <c r="L30" i="10"/>
  <c r="L31" i="10"/>
  <c r="M23" i="10"/>
  <c r="M24" i="10"/>
  <c r="M26" i="10"/>
  <c r="M27" i="10"/>
  <c r="M29" i="10"/>
  <c r="M30" i="10"/>
  <c r="M31" i="10"/>
  <c r="N23" i="10"/>
  <c r="N24" i="10"/>
  <c r="N26" i="10"/>
  <c r="N27" i="10"/>
  <c r="N29" i="10"/>
  <c r="N30" i="10"/>
  <c r="N31" i="10"/>
  <c r="F5" i="1"/>
  <c r="G5" i="1"/>
  <c r="H5" i="1"/>
  <c r="I5" i="1"/>
  <c r="J5" i="1"/>
  <c r="F6" i="1"/>
  <c r="C53" i="14"/>
  <c r="C54" i="14" s="1"/>
  <c r="F4" i="1"/>
  <c r="G4" i="1"/>
  <c r="H4" i="1"/>
  <c r="J4" i="1" s="1"/>
  <c r="I4" i="1"/>
  <c r="C26" i="1"/>
  <c r="C30" i="1"/>
  <c r="C35" i="1"/>
  <c r="C22" i="1"/>
  <c r="C34" i="1" s="1"/>
  <c r="H8" i="7"/>
  <c r="H6" i="7"/>
  <c r="H14" i="7"/>
  <c r="D8" i="7"/>
  <c r="D23" i="7"/>
  <c r="B5" i="21" s="1"/>
  <c r="H23" i="7"/>
  <c r="H25" i="7"/>
  <c r="L6" i="7"/>
  <c r="L14" i="7"/>
  <c r="L13" i="7"/>
  <c r="L17" i="7"/>
  <c r="L18" i="7"/>
  <c r="O27" i="19"/>
  <c r="O26" i="19"/>
  <c r="O24" i="19"/>
  <c r="O23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O6" i="19"/>
  <c r="O27" i="18"/>
  <c r="O26" i="18"/>
  <c r="O24" i="18"/>
  <c r="O23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O6" i="18"/>
  <c r="O27" i="13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17" i="14"/>
  <c r="O26" i="13"/>
  <c r="O24" i="13"/>
  <c r="O23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O6" i="13"/>
  <c r="O31" i="12"/>
  <c r="O30" i="12"/>
  <c r="O29" i="12"/>
  <c r="O27" i="12"/>
  <c r="O26" i="12"/>
  <c r="O24" i="12"/>
  <c r="O23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O6" i="12"/>
  <c r="O24" i="10"/>
  <c r="O26" i="10"/>
  <c r="O27" i="10"/>
  <c r="O29" i="10"/>
  <c r="O30" i="10"/>
  <c r="O31" i="10"/>
  <c r="O23" i="10"/>
  <c r="O6" i="10"/>
  <c r="L9" i="7"/>
  <c r="L20" i="7" s="1"/>
  <c r="H20" i="7"/>
  <c r="D12" i="7"/>
  <c r="D16" i="7"/>
  <c r="D11" i="10"/>
  <c r="E11" i="10"/>
  <c r="F11" i="10"/>
  <c r="G11" i="10"/>
  <c r="H11" i="10"/>
  <c r="I11" i="10"/>
  <c r="J11" i="10"/>
  <c r="K11" i="10"/>
  <c r="L11" i="10"/>
  <c r="M11" i="10"/>
  <c r="N11" i="10"/>
  <c r="C11" i="10"/>
  <c r="O15" i="9"/>
  <c r="F8" i="9" s="1"/>
  <c r="G8" i="9"/>
  <c r="D6" i="9"/>
  <c r="D7" i="9"/>
  <c r="G32" i="8"/>
  <c r="G33" i="8"/>
  <c r="G34" i="8"/>
  <c r="G35" i="8"/>
  <c r="G36" i="8"/>
  <c r="G37" i="8"/>
  <c r="G38" i="8"/>
  <c r="G31" i="8"/>
  <c r="F32" i="8"/>
  <c r="F33" i="8"/>
  <c r="F34" i="8"/>
  <c r="F35" i="8"/>
  <c r="F36" i="8"/>
  <c r="F37" i="8"/>
  <c r="F38" i="8"/>
  <c r="F31" i="8"/>
  <c r="M10" i="6"/>
  <c r="M12" i="6" s="1"/>
  <c r="I5" i="6"/>
  <c r="G7" i="6"/>
  <c r="G9" i="6" s="1"/>
  <c r="G5" i="6"/>
  <c r="E23" i="6" s="1"/>
  <c r="E24" i="6" s="1"/>
  <c r="V19" i="5"/>
  <c r="V20" i="5" s="1"/>
  <c r="G13" i="6" l="1"/>
  <c r="G14" i="6" s="1"/>
  <c r="G15" i="6" s="1"/>
  <c r="K20" i="6"/>
  <c r="M11" i="6"/>
  <c r="M17" i="6"/>
  <c r="C55" i="14"/>
  <c r="C30" i="18"/>
  <c r="E30" i="18"/>
  <c r="D30" i="13"/>
  <c r="F30" i="13"/>
  <c r="H30" i="13"/>
  <c r="J30" i="13"/>
  <c r="L30" i="13"/>
  <c r="N30" i="13"/>
  <c r="C30" i="13"/>
  <c r="E30" i="13"/>
  <c r="G30" i="13"/>
  <c r="I30" i="13"/>
  <c r="K30" i="13"/>
  <c r="M30" i="13"/>
  <c r="F30" i="18"/>
  <c r="I30" i="18"/>
  <c r="K30" i="18"/>
  <c r="M30" i="18"/>
  <c r="D30" i="18"/>
  <c r="H30" i="18"/>
  <c r="J30" i="18"/>
  <c r="L30" i="18"/>
  <c r="N30" i="18"/>
  <c r="D30" i="19"/>
  <c r="H30" i="19"/>
  <c r="L30" i="19"/>
  <c r="C30" i="19"/>
  <c r="G30" i="19"/>
  <c r="K30" i="19"/>
  <c r="F30" i="19"/>
  <c r="J30" i="19"/>
  <c r="N30" i="19"/>
  <c r="G30" i="18"/>
  <c r="E30" i="19"/>
  <c r="I30" i="19"/>
  <c r="M30" i="19"/>
  <c r="D25" i="7"/>
  <c r="D5" i="28"/>
  <c r="D9" i="28" s="1"/>
  <c r="D21" i="28" s="1"/>
  <c r="F28" i="1"/>
  <c r="D29" i="13"/>
  <c r="F29" i="13"/>
  <c r="H29" i="13"/>
  <c r="J29" i="13"/>
  <c r="L29" i="13"/>
  <c r="N29" i="13"/>
  <c r="D29" i="18"/>
  <c r="F29" i="18"/>
  <c r="E29" i="13"/>
  <c r="M29" i="13"/>
  <c r="C29" i="18"/>
  <c r="G29" i="18"/>
  <c r="C29" i="19"/>
  <c r="E29" i="19"/>
  <c r="G29" i="19"/>
  <c r="I29" i="19"/>
  <c r="K29" i="19"/>
  <c r="M29" i="19"/>
  <c r="I29" i="13"/>
  <c r="E29" i="18"/>
  <c r="D29" i="19"/>
  <c r="F29" i="19"/>
  <c r="H29" i="19"/>
  <c r="J29" i="19"/>
  <c r="L29" i="19"/>
  <c r="N29" i="19"/>
  <c r="K29" i="13"/>
  <c r="I29" i="18"/>
  <c r="M29" i="18"/>
  <c r="G29" i="13"/>
  <c r="H29" i="18"/>
  <c r="L29" i="18"/>
  <c r="C29" i="13"/>
  <c r="K29" i="18"/>
  <c r="J29" i="18"/>
  <c r="N29" i="18"/>
  <c r="B7" i="21"/>
  <c r="C17" i="12"/>
  <c r="G17" i="12"/>
  <c r="K17" i="12"/>
  <c r="E17" i="12"/>
  <c r="I17" i="12"/>
  <c r="M17" i="12"/>
  <c r="D17" i="10"/>
  <c r="H17" i="10"/>
  <c r="L17" i="10"/>
  <c r="J17" i="12"/>
  <c r="C17" i="10"/>
  <c r="I17" i="10"/>
  <c r="N17" i="10"/>
  <c r="D17" i="12"/>
  <c r="L17" i="12"/>
  <c r="E17" i="10"/>
  <c r="J17" i="10"/>
  <c r="F17" i="12"/>
  <c r="N17" i="12"/>
  <c r="F17" i="10"/>
  <c r="K17" i="10"/>
  <c r="H17" i="12"/>
  <c r="G17" i="10"/>
  <c r="M17" i="10"/>
  <c r="D25" i="13"/>
  <c r="F25" i="13"/>
  <c r="H25" i="13"/>
  <c r="J25" i="13"/>
  <c r="L25" i="13"/>
  <c r="N25" i="13"/>
  <c r="D25" i="18"/>
  <c r="F25" i="18"/>
  <c r="G25" i="13"/>
  <c r="C25" i="18"/>
  <c r="G25" i="18"/>
  <c r="C25" i="19"/>
  <c r="E25" i="19"/>
  <c r="G25" i="19"/>
  <c r="I25" i="19"/>
  <c r="K25" i="19"/>
  <c r="M25" i="19"/>
  <c r="C25" i="13"/>
  <c r="K25" i="13"/>
  <c r="E25" i="18"/>
  <c r="D25" i="19"/>
  <c r="F25" i="19"/>
  <c r="H25" i="19"/>
  <c r="J25" i="19"/>
  <c r="L25" i="19"/>
  <c r="N25" i="19"/>
  <c r="I25" i="13"/>
  <c r="J25" i="18"/>
  <c r="N25" i="18"/>
  <c r="E25" i="13"/>
  <c r="I25" i="18"/>
  <c r="M25" i="18"/>
  <c r="H25" i="18"/>
  <c r="L25" i="18"/>
  <c r="M25" i="13"/>
  <c r="K25" i="18"/>
  <c r="D20" i="7"/>
  <c r="D16" i="12"/>
  <c r="D20" i="12" s="1"/>
  <c r="H16" i="12"/>
  <c r="H20" i="12" s="1"/>
  <c r="L16" i="12"/>
  <c r="L20" i="12" s="1"/>
  <c r="F16" i="12"/>
  <c r="F20" i="12" s="1"/>
  <c r="J16" i="12"/>
  <c r="J20" i="12" s="1"/>
  <c r="N16" i="12"/>
  <c r="N20" i="12" s="1"/>
  <c r="E16" i="10"/>
  <c r="E20" i="10" s="1"/>
  <c r="I16" i="10"/>
  <c r="I20" i="10" s="1"/>
  <c r="M16" i="10"/>
  <c r="M20" i="10" s="1"/>
  <c r="G16" i="12"/>
  <c r="G20" i="12" s="1"/>
  <c r="F16" i="10"/>
  <c r="F20" i="10" s="1"/>
  <c r="K16" i="10"/>
  <c r="K20" i="10" s="1"/>
  <c r="I16" i="12"/>
  <c r="I20" i="12" s="1"/>
  <c r="G16" i="10"/>
  <c r="G20" i="10" s="1"/>
  <c r="L16" i="10"/>
  <c r="L20" i="10" s="1"/>
  <c r="C16" i="12"/>
  <c r="K16" i="12"/>
  <c r="K20" i="12" s="1"/>
  <c r="C16" i="10"/>
  <c r="H16" i="10"/>
  <c r="H20" i="10" s="1"/>
  <c r="N16" i="10"/>
  <c r="N20" i="10" s="1"/>
  <c r="E16" i="12"/>
  <c r="E20" i="12" s="1"/>
  <c r="M16" i="12"/>
  <c r="M20" i="12" s="1"/>
  <c r="D16" i="10"/>
  <c r="D20" i="10" s="1"/>
  <c r="J16" i="10"/>
  <c r="J20" i="10" s="1"/>
  <c r="C31" i="13"/>
  <c r="E31" i="13"/>
  <c r="G31" i="13"/>
  <c r="I31" i="13"/>
  <c r="K31" i="13"/>
  <c r="M31" i="13"/>
  <c r="C31" i="18"/>
  <c r="E31" i="18"/>
  <c r="G31" i="18"/>
  <c r="H31" i="13"/>
  <c r="D31" i="19"/>
  <c r="F31" i="19"/>
  <c r="H31" i="19"/>
  <c r="J31" i="19"/>
  <c r="L31" i="19"/>
  <c r="N31" i="19"/>
  <c r="D31" i="13"/>
  <c r="L31" i="13"/>
  <c r="C31" i="19"/>
  <c r="E31" i="19"/>
  <c r="G31" i="19"/>
  <c r="I31" i="19"/>
  <c r="K31" i="19"/>
  <c r="M31" i="19"/>
  <c r="F31" i="13"/>
  <c r="J31" i="18"/>
  <c r="N31" i="18"/>
  <c r="F31" i="18"/>
  <c r="I31" i="18"/>
  <c r="M31" i="18"/>
  <c r="N31" i="13"/>
  <c r="D31" i="18"/>
  <c r="H31" i="18"/>
  <c r="L31" i="18"/>
  <c r="J31" i="13"/>
  <c r="K31" i="18"/>
  <c r="F17" i="13"/>
  <c r="J17" i="13"/>
  <c r="N17" i="13"/>
  <c r="E17" i="18"/>
  <c r="I17" i="18"/>
  <c r="M17" i="18"/>
  <c r="C17" i="13"/>
  <c r="G17" i="13"/>
  <c r="K17" i="13"/>
  <c r="F17" i="18"/>
  <c r="J17" i="18"/>
  <c r="N17" i="18"/>
  <c r="E17" i="13"/>
  <c r="E20" i="13" s="1"/>
  <c r="I17" i="13"/>
  <c r="I20" i="13" s="1"/>
  <c r="M17" i="13"/>
  <c r="M20" i="13" s="1"/>
  <c r="D17" i="18"/>
  <c r="D20" i="18" s="1"/>
  <c r="H17" i="18"/>
  <c r="H20" i="18" s="1"/>
  <c r="L17" i="18"/>
  <c r="L20" i="18" s="1"/>
  <c r="D17" i="13"/>
  <c r="K17" i="18"/>
  <c r="D17" i="19"/>
  <c r="D20" i="19" s="1"/>
  <c r="H17" i="19"/>
  <c r="H20" i="19" s="1"/>
  <c r="L17" i="19"/>
  <c r="L20" i="19" s="1"/>
  <c r="L17" i="13"/>
  <c r="C17" i="18"/>
  <c r="F17" i="19"/>
  <c r="F20" i="19" s="1"/>
  <c r="J17" i="19"/>
  <c r="J20" i="19" s="1"/>
  <c r="N17" i="19"/>
  <c r="N20" i="19" s="1"/>
  <c r="H17" i="13"/>
  <c r="C17" i="19"/>
  <c r="K17" i="19"/>
  <c r="K20" i="19" s="1"/>
  <c r="E17" i="19"/>
  <c r="E20" i="19" s="1"/>
  <c r="M17" i="19"/>
  <c r="M20" i="19" s="1"/>
  <c r="G17" i="18"/>
  <c r="G17" i="19"/>
  <c r="G20" i="19" s="1"/>
  <c r="I17" i="19"/>
  <c r="I20" i="19" s="1"/>
  <c r="D5" i="21"/>
  <c r="C5" i="21"/>
  <c r="N25" i="12"/>
  <c r="D25" i="10"/>
  <c r="F25" i="10"/>
  <c r="H25" i="10"/>
  <c r="J25" i="10"/>
  <c r="L25" i="10"/>
  <c r="N25" i="10"/>
  <c r="C25" i="12"/>
  <c r="D25" i="12"/>
  <c r="E25" i="12"/>
  <c r="F25" i="12"/>
  <c r="G25" i="12"/>
  <c r="H25" i="12"/>
  <c r="I25" i="12"/>
  <c r="J25" i="12"/>
  <c r="K25" i="12"/>
  <c r="L25" i="12"/>
  <c r="M25" i="12"/>
  <c r="C25" i="10"/>
  <c r="E25" i="10"/>
  <c r="G25" i="10"/>
  <c r="I25" i="10"/>
  <c r="K25" i="10"/>
  <c r="M25" i="10"/>
  <c r="O18" i="10"/>
  <c r="O18" i="18"/>
  <c r="C12" i="14"/>
  <c r="E12" i="14"/>
  <c r="E13" i="14" s="1"/>
  <c r="D12" i="14"/>
  <c r="D13" i="14" s="1"/>
  <c r="O16" i="19"/>
  <c r="M16" i="14"/>
  <c r="M21" i="14" s="1"/>
  <c r="N16" i="14"/>
  <c r="N21" i="14" s="1"/>
  <c r="O13" i="19"/>
  <c r="O18" i="19"/>
  <c r="T19" i="6"/>
  <c r="T22" i="6" s="1"/>
  <c r="T23" i="6" s="1"/>
  <c r="C16" i="13"/>
  <c r="G16" i="13"/>
  <c r="G20" i="13" s="1"/>
  <c r="K16" i="13"/>
  <c r="K20" i="13" s="1"/>
  <c r="F16" i="18"/>
  <c r="F20" i="18" s="1"/>
  <c r="J16" i="18"/>
  <c r="J20" i="18" s="1"/>
  <c r="N16" i="18"/>
  <c r="N20" i="18" s="1"/>
  <c r="D16" i="13"/>
  <c r="D20" i="13" s="1"/>
  <c r="H16" i="13"/>
  <c r="H20" i="13" s="1"/>
  <c r="L16" i="13"/>
  <c r="L20" i="13" s="1"/>
  <c r="C16" i="18"/>
  <c r="G16" i="18"/>
  <c r="G20" i="18" s="1"/>
  <c r="K16" i="18"/>
  <c r="K20" i="18" s="1"/>
  <c r="F16" i="13"/>
  <c r="F20" i="13" s="1"/>
  <c r="J16" i="13"/>
  <c r="J20" i="13" s="1"/>
  <c r="N16" i="13"/>
  <c r="N20" i="13" s="1"/>
  <c r="E16" i="18"/>
  <c r="E20" i="18" s="1"/>
  <c r="I16" i="18"/>
  <c r="I20" i="18" s="1"/>
  <c r="M16" i="18"/>
  <c r="M20" i="18" s="1"/>
  <c r="O13" i="18"/>
  <c r="O13" i="13"/>
  <c r="O13" i="12"/>
  <c r="E5" i="21"/>
  <c r="E7" i="21" l="1"/>
  <c r="F29" i="21" s="1"/>
  <c r="F5" i="21"/>
  <c r="O16" i="18"/>
  <c r="C20" i="18"/>
  <c r="O25" i="12"/>
  <c r="C7" i="21"/>
  <c r="O17" i="19"/>
  <c r="C20" i="19"/>
  <c r="O16" i="10"/>
  <c r="C20" i="10"/>
  <c r="O17" i="12"/>
  <c r="O29" i="18"/>
  <c r="O30" i="19"/>
  <c r="M19" i="6"/>
  <c r="M20" i="6" s="1"/>
  <c r="M18" i="6"/>
  <c r="E5" i="28"/>
  <c r="E9" i="28" s="1"/>
  <c r="E21" i="28" s="1"/>
  <c r="F29" i="1"/>
  <c r="O16" i="13"/>
  <c r="C20" i="13"/>
  <c r="C13" i="14"/>
  <c r="G12" i="14"/>
  <c r="O25" i="10"/>
  <c r="D7" i="21"/>
  <c r="O17" i="18"/>
  <c r="O31" i="13"/>
  <c r="O25" i="13"/>
  <c r="O25" i="18"/>
  <c r="C8" i="13"/>
  <c r="C9" i="13" s="1"/>
  <c r="E8" i="13"/>
  <c r="E9" i="13" s="1"/>
  <c r="G8" i="13"/>
  <c r="G9" i="13" s="1"/>
  <c r="I8" i="13"/>
  <c r="I9" i="13" s="1"/>
  <c r="K8" i="13"/>
  <c r="K9" i="13" s="1"/>
  <c r="M8" i="13"/>
  <c r="M9" i="13" s="1"/>
  <c r="D8" i="18"/>
  <c r="D9" i="18" s="1"/>
  <c r="F8" i="18"/>
  <c r="F9" i="18" s="1"/>
  <c r="H8" i="18"/>
  <c r="H9" i="18" s="1"/>
  <c r="J8" i="18"/>
  <c r="J9" i="18" s="1"/>
  <c r="L8" i="18"/>
  <c r="L9" i="18" s="1"/>
  <c r="D8" i="13"/>
  <c r="D9" i="13" s="1"/>
  <c r="F8" i="13"/>
  <c r="F9" i="13" s="1"/>
  <c r="H8" i="13"/>
  <c r="H9" i="13" s="1"/>
  <c r="J8" i="13"/>
  <c r="J9" i="13" s="1"/>
  <c r="L8" i="13"/>
  <c r="L9" i="13" s="1"/>
  <c r="N8" i="13"/>
  <c r="N9" i="13" s="1"/>
  <c r="C8" i="18"/>
  <c r="C9" i="18" s="1"/>
  <c r="E8" i="18"/>
  <c r="E9" i="18" s="1"/>
  <c r="G8" i="18"/>
  <c r="G9" i="18" s="1"/>
  <c r="M8" i="18"/>
  <c r="M9" i="18" s="1"/>
  <c r="D8" i="19"/>
  <c r="D9" i="19" s="1"/>
  <c r="H8" i="19"/>
  <c r="H9" i="19" s="1"/>
  <c r="L8" i="19"/>
  <c r="L9" i="19" s="1"/>
  <c r="C8" i="12"/>
  <c r="C9" i="12" s="1"/>
  <c r="G8" i="12"/>
  <c r="G9" i="12" s="1"/>
  <c r="K8" i="12"/>
  <c r="K9" i="12" s="1"/>
  <c r="E8" i="10"/>
  <c r="E9" i="10" s="1"/>
  <c r="G8" i="10"/>
  <c r="G9" i="10" s="1"/>
  <c r="I8" i="10"/>
  <c r="I9" i="10" s="1"/>
  <c r="K8" i="10"/>
  <c r="K9" i="10" s="1"/>
  <c r="M8" i="10"/>
  <c r="M9" i="10" s="1"/>
  <c r="L7" i="19"/>
  <c r="H7" i="19"/>
  <c r="D7" i="19"/>
  <c r="N7" i="18"/>
  <c r="J7" i="18"/>
  <c r="F7" i="18"/>
  <c r="N8" i="18"/>
  <c r="N9" i="18" s="1"/>
  <c r="E8" i="19"/>
  <c r="E9" i="19" s="1"/>
  <c r="I8" i="19"/>
  <c r="I9" i="19" s="1"/>
  <c r="M8" i="19"/>
  <c r="M9" i="19" s="1"/>
  <c r="D8" i="12"/>
  <c r="D9" i="12" s="1"/>
  <c r="H8" i="12"/>
  <c r="H9" i="12" s="1"/>
  <c r="L8" i="12"/>
  <c r="L9" i="12" s="1"/>
  <c r="C8" i="10"/>
  <c r="C9" i="10" s="1"/>
  <c r="K7" i="19"/>
  <c r="G7" i="19"/>
  <c r="C7" i="19"/>
  <c r="M7" i="18"/>
  <c r="I7" i="18"/>
  <c r="E7" i="18"/>
  <c r="I8" i="18"/>
  <c r="I9" i="18" s="1"/>
  <c r="F8" i="19"/>
  <c r="F9" i="19" s="1"/>
  <c r="J8" i="19"/>
  <c r="J9" i="19" s="1"/>
  <c r="N8" i="19"/>
  <c r="N9" i="19" s="1"/>
  <c r="E8" i="12"/>
  <c r="E9" i="12" s="1"/>
  <c r="I8" i="12"/>
  <c r="I9" i="12" s="1"/>
  <c r="M8" i="12"/>
  <c r="M9" i="12" s="1"/>
  <c r="D8" i="10"/>
  <c r="D9" i="10" s="1"/>
  <c r="F8" i="10"/>
  <c r="F9" i="10" s="1"/>
  <c r="H8" i="10"/>
  <c r="H9" i="10" s="1"/>
  <c r="J8" i="10"/>
  <c r="J9" i="10" s="1"/>
  <c r="L8" i="10"/>
  <c r="L9" i="10" s="1"/>
  <c r="N8" i="10"/>
  <c r="N9" i="10" s="1"/>
  <c r="N7" i="19"/>
  <c r="J7" i="19"/>
  <c r="F7" i="19"/>
  <c r="L7" i="18"/>
  <c r="H7" i="18"/>
  <c r="D7" i="18"/>
  <c r="K8" i="18"/>
  <c r="K9" i="18" s="1"/>
  <c r="C8" i="19"/>
  <c r="C9" i="19" s="1"/>
  <c r="G8" i="19"/>
  <c r="G9" i="19" s="1"/>
  <c r="K8" i="19"/>
  <c r="K9" i="19" s="1"/>
  <c r="F8" i="12"/>
  <c r="F9" i="12" s="1"/>
  <c r="J8" i="12"/>
  <c r="J9" i="12" s="1"/>
  <c r="N8" i="12"/>
  <c r="N9" i="12" s="1"/>
  <c r="M7" i="19"/>
  <c r="I7" i="19"/>
  <c r="E7" i="19"/>
  <c r="K7" i="18"/>
  <c r="G7" i="18"/>
  <c r="C7" i="18"/>
  <c r="K7" i="13"/>
  <c r="G7" i="13"/>
  <c r="C7" i="13"/>
  <c r="K7" i="12"/>
  <c r="G7" i="12"/>
  <c r="C7" i="12"/>
  <c r="G7" i="10"/>
  <c r="K7" i="10"/>
  <c r="C7" i="10"/>
  <c r="N7" i="13"/>
  <c r="J7" i="13"/>
  <c r="F7" i="13"/>
  <c r="N7" i="12"/>
  <c r="J7" i="12"/>
  <c r="F7" i="12"/>
  <c r="D7" i="10"/>
  <c r="H7" i="10"/>
  <c r="L7" i="10"/>
  <c r="M7" i="13"/>
  <c r="I7" i="13"/>
  <c r="E7" i="13"/>
  <c r="M7" i="12"/>
  <c r="I7" i="12"/>
  <c r="E7" i="12"/>
  <c r="E7" i="10"/>
  <c r="I7" i="10"/>
  <c r="M7" i="10"/>
  <c r="L7" i="13"/>
  <c r="H7" i="13"/>
  <c r="D7" i="13"/>
  <c r="L7" i="12"/>
  <c r="H7" i="12"/>
  <c r="D7" i="12"/>
  <c r="F7" i="10"/>
  <c r="J7" i="10"/>
  <c r="N7" i="10"/>
  <c r="O20" i="18"/>
  <c r="G5" i="28"/>
  <c r="G9" i="28" s="1"/>
  <c r="G21" i="28" s="1"/>
  <c r="F31" i="1"/>
  <c r="F32" i="1"/>
  <c r="H5" i="28"/>
  <c r="H9" i="28" s="1"/>
  <c r="H21" i="28" s="1"/>
  <c r="F5" i="28"/>
  <c r="F9" i="28" s="1"/>
  <c r="F21" i="28" s="1"/>
  <c r="F30" i="1"/>
  <c r="O20" i="19"/>
  <c r="O16" i="12"/>
  <c r="O20" i="12" s="1"/>
  <c r="C20" i="12"/>
  <c r="O17" i="10"/>
  <c r="C12" i="21"/>
  <c r="D12" i="21" s="1"/>
  <c r="E12" i="21" s="1"/>
  <c r="F12" i="21" s="1"/>
  <c r="C14" i="21"/>
  <c r="D14" i="21" s="1"/>
  <c r="E14" i="21" s="1"/>
  <c r="F14" i="21" s="1"/>
  <c r="C16" i="21"/>
  <c r="D16" i="21" s="1"/>
  <c r="E16" i="21" s="1"/>
  <c r="F16" i="21" s="1"/>
  <c r="C18" i="21"/>
  <c r="D18" i="21" s="1"/>
  <c r="E18" i="21" s="1"/>
  <c r="F18" i="21" s="1"/>
  <c r="C20" i="21"/>
  <c r="D20" i="21" s="1"/>
  <c r="E20" i="21" s="1"/>
  <c r="F20" i="21" s="1"/>
  <c r="C15" i="21"/>
  <c r="D15" i="21" s="1"/>
  <c r="E15" i="21" s="1"/>
  <c r="F15" i="21" s="1"/>
  <c r="C11" i="21"/>
  <c r="D11" i="21" s="1"/>
  <c r="E11" i="21" s="1"/>
  <c r="F11" i="21" s="1"/>
  <c r="C19" i="21"/>
  <c r="D19" i="21" s="1"/>
  <c r="E19" i="21" s="1"/>
  <c r="F19" i="21" s="1"/>
  <c r="C13" i="21"/>
  <c r="D13" i="21" s="1"/>
  <c r="E13" i="21" s="1"/>
  <c r="F13" i="21" s="1"/>
  <c r="C17" i="21"/>
  <c r="D17" i="21" s="1"/>
  <c r="E17" i="21" s="1"/>
  <c r="F17" i="21" s="1"/>
  <c r="C21" i="21"/>
  <c r="D21" i="21" s="1"/>
  <c r="E21" i="21" s="1"/>
  <c r="F21" i="21" s="1"/>
  <c r="C10" i="21"/>
  <c r="O29" i="13"/>
  <c r="O29" i="19"/>
  <c r="D28" i="18"/>
  <c r="D32" i="18" s="1"/>
  <c r="D34" i="18" s="1"/>
  <c r="F28" i="18"/>
  <c r="F32" i="18" s="1"/>
  <c r="F34" i="18" s="1"/>
  <c r="C28" i="13"/>
  <c r="C32" i="13" s="1"/>
  <c r="E28" i="13"/>
  <c r="E32" i="13" s="1"/>
  <c r="E34" i="13" s="1"/>
  <c r="G28" i="13"/>
  <c r="G32" i="13" s="1"/>
  <c r="G34" i="13" s="1"/>
  <c r="I28" i="13"/>
  <c r="I32" i="13" s="1"/>
  <c r="I34" i="13" s="1"/>
  <c r="K28" i="13"/>
  <c r="K32" i="13" s="1"/>
  <c r="K34" i="13" s="1"/>
  <c r="M28" i="13"/>
  <c r="M32" i="13" s="1"/>
  <c r="M34" i="13" s="1"/>
  <c r="D28" i="13"/>
  <c r="D32" i="13" s="1"/>
  <c r="F28" i="13"/>
  <c r="F32" i="13" s="1"/>
  <c r="F34" i="13" s="1"/>
  <c r="H28" i="13"/>
  <c r="H32" i="13" s="1"/>
  <c r="H34" i="13" s="1"/>
  <c r="J28" i="13"/>
  <c r="J32" i="13" s="1"/>
  <c r="J34" i="13" s="1"/>
  <c r="L28" i="13"/>
  <c r="L32" i="13" s="1"/>
  <c r="L34" i="13" s="1"/>
  <c r="N28" i="13"/>
  <c r="N32" i="13" s="1"/>
  <c r="H28" i="18"/>
  <c r="H32" i="18" s="1"/>
  <c r="H34" i="18" s="1"/>
  <c r="J28" i="18"/>
  <c r="J32" i="18" s="1"/>
  <c r="J34" i="18" s="1"/>
  <c r="L28" i="18"/>
  <c r="L32" i="18" s="1"/>
  <c r="L34" i="18" s="1"/>
  <c r="N28" i="18"/>
  <c r="N32" i="18" s="1"/>
  <c r="N34" i="18" s="1"/>
  <c r="C28" i="12"/>
  <c r="C32" i="12" s="1"/>
  <c r="E28" i="12"/>
  <c r="E32" i="12" s="1"/>
  <c r="E34" i="12" s="1"/>
  <c r="G28" i="12"/>
  <c r="G32" i="12" s="1"/>
  <c r="G34" i="12" s="1"/>
  <c r="I28" i="12"/>
  <c r="I32" i="12" s="1"/>
  <c r="I34" i="12" s="1"/>
  <c r="K28" i="12"/>
  <c r="K32" i="12" s="1"/>
  <c r="K34" i="12" s="1"/>
  <c r="I28" i="18"/>
  <c r="I32" i="18" s="1"/>
  <c r="I34" i="18" s="1"/>
  <c r="K28" i="18"/>
  <c r="K32" i="18" s="1"/>
  <c r="K34" i="18" s="1"/>
  <c r="M28" i="18"/>
  <c r="M32" i="18" s="1"/>
  <c r="M34" i="18" s="1"/>
  <c r="D28" i="12"/>
  <c r="D32" i="12" s="1"/>
  <c r="D34" i="12" s="1"/>
  <c r="F28" i="12"/>
  <c r="F32" i="12" s="1"/>
  <c r="F34" i="12" s="1"/>
  <c r="H28" i="12"/>
  <c r="H32" i="12" s="1"/>
  <c r="H34" i="12" s="1"/>
  <c r="J28" i="12"/>
  <c r="J32" i="12" s="1"/>
  <c r="J34" i="12" s="1"/>
  <c r="L28" i="12"/>
  <c r="L32" i="12" s="1"/>
  <c r="N28" i="12"/>
  <c r="N32" i="12" s="1"/>
  <c r="N34" i="12" s="1"/>
  <c r="C28" i="18"/>
  <c r="C28" i="19"/>
  <c r="G28" i="19"/>
  <c r="G32" i="19" s="1"/>
  <c r="G34" i="19" s="1"/>
  <c r="K28" i="19"/>
  <c r="K32" i="19" s="1"/>
  <c r="K34" i="19" s="1"/>
  <c r="F28" i="19"/>
  <c r="F32" i="19" s="1"/>
  <c r="F34" i="19" s="1"/>
  <c r="J28" i="19"/>
  <c r="N28" i="19"/>
  <c r="N32" i="19" s="1"/>
  <c r="N34" i="19" s="1"/>
  <c r="M28" i="12"/>
  <c r="M32" i="12" s="1"/>
  <c r="M34" i="12" s="1"/>
  <c r="C28" i="10"/>
  <c r="E28" i="10"/>
  <c r="E32" i="10" s="1"/>
  <c r="E34" i="10" s="1"/>
  <c r="G28" i="10"/>
  <c r="I28" i="10"/>
  <c r="I32" i="10" s="1"/>
  <c r="I34" i="10" s="1"/>
  <c r="K28" i="10"/>
  <c r="K32" i="10" s="1"/>
  <c r="K34" i="10" s="1"/>
  <c r="M28" i="10"/>
  <c r="M32" i="10" s="1"/>
  <c r="M34" i="10" s="1"/>
  <c r="G28" i="18"/>
  <c r="G32" i="18" s="1"/>
  <c r="E28" i="19"/>
  <c r="E32" i="19" s="1"/>
  <c r="E34" i="19" s="1"/>
  <c r="I28" i="19"/>
  <c r="I32" i="19" s="1"/>
  <c r="I34" i="19" s="1"/>
  <c r="M28" i="19"/>
  <c r="M32" i="19" s="1"/>
  <c r="M34" i="19" s="1"/>
  <c r="E28" i="18"/>
  <c r="D28" i="19"/>
  <c r="D32" i="19" s="1"/>
  <c r="D34" i="19" s="1"/>
  <c r="H28" i="19"/>
  <c r="H32" i="19" s="1"/>
  <c r="H34" i="19" s="1"/>
  <c r="L28" i="19"/>
  <c r="L32" i="19" s="1"/>
  <c r="L34" i="19" s="1"/>
  <c r="D28" i="10"/>
  <c r="D32" i="10" s="1"/>
  <c r="D34" i="10" s="1"/>
  <c r="F28" i="10"/>
  <c r="F32" i="10" s="1"/>
  <c r="F34" i="10" s="1"/>
  <c r="H28" i="10"/>
  <c r="H32" i="10" s="1"/>
  <c r="H34" i="10" s="1"/>
  <c r="J28" i="10"/>
  <c r="L28" i="10"/>
  <c r="L32" i="10" s="1"/>
  <c r="L34" i="10" s="1"/>
  <c r="N28" i="10"/>
  <c r="N32" i="10" s="1"/>
  <c r="N34" i="10" s="1"/>
  <c r="O28" i="13"/>
  <c r="O28" i="12"/>
  <c r="O30" i="13"/>
  <c r="O30" i="18"/>
  <c r="F55" i="14"/>
  <c r="C56" i="14"/>
  <c r="D55" i="14"/>
  <c r="G55" i="14" s="1"/>
  <c r="E55" i="14"/>
  <c r="N34" i="13"/>
  <c r="G34" i="18"/>
  <c r="D34" i="13"/>
  <c r="F52" i="14"/>
  <c r="I6" i="1" s="1"/>
  <c r="F53" i="14"/>
  <c r="F41" i="14"/>
  <c r="F42" i="14"/>
  <c r="F43" i="14"/>
  <c r="F44" i="14"/>
  <c r="F45" i="14"/>
  <c r="F46" i="14"/>
  <c r="F47" i="14"/>
  <c r="F48" i="14"/>
  <c r="F49" i="14"/>
  <c r="F50" i="14"/>
  <c r="F51" i="14"/>
  <c r="G32" i="10"/>
  <c r="G34" i="10" s="1"/>
  <c r="J32" i="10"/>
  <c r="J34" i="10" s="1"/>
  <c r="O17" i="13"/>
  <c r="O20" i="13" s="1"/>
  <c r="O31" i="19"/>
  <c r="O31" i="18"/>
  <c r="L34" i="12"/>
  <c r="J32" i="19"/>
  <c r="J34" i="19" s="1"/>
  <c r="E32" i="18"/>
  <c r="E34" i="18" s="1"/>
  <c r="O25" i="19"/>
  <c r="C32" i="19"/>
  <c r="F54" i="14"/>
  <c r="G29" i="1" l="1"/>
  <c r="O32" i="13"/>
  <c r="O34" i="13"/>
  <c r="H32" i="1" s="1"/>
  <c r="G32" i="1"/>
  <c r="O28" i="19"/>
  <c r="C23" i="21"/>
  <c r="C26" i="21" s="1"/>
  <c r="D26" i="21" s="1"/>
  <c r="E26" i="21" s="1"/>
  <c r="F26" i="21" s="1"/>
  <c r="G26" i="21" s="1"/>
  <c r="G31" i="21" s="1"/>
  <c r="D10" i="21"/>
  <c r="G31" i="1"/>
  <c r="O9" i="19"/>
  <c r="J17" i="1" s="1"/>
  <c r="O9" i="12"/>
  <c r="J16" i="1" s="1"/>
  <c r="O9" i="13"/>
  <c r="J19" i="1" s="1"/>
  <c r="G13" i="14"/>
  <c r="D52" i="14"/>
  <c r="D41" i="14"/>
  <c r="D42" i="14"/>
  <c r="D43" i="14"/>
  <c r="D44" i="14"/>
  <c r="D45" i="14"/>
  <c r="D46" i="14"/>
  <c r="D47" i="14"/>
  <c r="D48" i="14"/>
  <c r="D49" i="14"/>
  <c r="D50" i="14"/>
  <c r="D51" i="14"/>
  <c r="E52" i="14"/>
  <c r="H6" i="1" s="1"/>
  <c r="E41" i="14"/>
  <c r="E42" i="14"/>
  <c r="E43" i="14"/>
  <c r="E44" i="14"/>
  <c r="E45" i="14"/>
  <c r="E46" i="14"/>
  <c r="E47" i="14"/>
  <c r="E48" i="14"/>
  <c r="E49" i="14"/>
  <c r="E50" i="14"/>
  <c r="E51" i="14"/>
  <c r="D53" i="14"/>
  <c r="G53" i="14" s="1"/>
  <c r="E53" i="14"/>
  <c r="E54" i="14"/>
  <c r="D54" i="14"/>
  <c r="C34" i="18"/>
  <c r="G5" i="21"/>
  <c r="G7" i="21" s="1"/>
  <c r="F7" i="21"/>
  <c r="G19" i="21" s="1"/>
  <c r="O32" i="19"/>
  <c r="O28" i="10"/>
  <c r="O28" i="18"/>
  <c r="G21" i="21"/>
  <c r="G16" i="21"/>
  <c r="C32" i="10"/>
  <c r="O32" i="10" s="1"/>
  <c r="C34" i="13"/>
  <c r="C34" i="19"/>
  <c r="G17" i="21"/>
  <c r="G14" i="21"/>
  <c r="C32" i="18"/>
  <c r="O32" i="18" s="1"/>
  <c r="O34" i="18" s="1"/>
  <c r="H31" i="1" s="1"/>
  <c r="C34" i="10"/>
  <c r="F56" i="14"/>
  <c r="G56" i="14"/>
  <c r="D56" i="14"/>
  <c r="C57" i="14"/>
  <c r="E56" i="14"/>
  <c r="O32" i="12"/>
  <c r="O34" i="12" s="1"/>
  <c r="H29" i="1" s="1"/>
  <c r="G13" i="21"/>
  <c r="G20" i="21"/>
  <c r="C34" i="12"/>
  <c r="O34" i="19"/>
  <c r="H30" i="1" s="1"/>
  <c r="G30" i="1"/>
  <c r="O9" i="10"/>
  <c r="J15" i="1" s="1"/>
  <c r="O9" i="18"/>
  <c r="J18" i="1" s="1"/>
  <c r="O20" i="10"/>
  <c r="G11" i="21" l="1"/>
  <c r="G54" i="14"/>
  <c r="G51" i="14"/>
  <c r="G47" i="14"/>
  <c r="G43" i="14"/>
  <c r="D23" i="21"/>
  <c r="D27" i="21" s="1"/>
  <c r="E10" i="21"/>
  <c r="O34" i="10"/>
  <c r="H28" i="1" s="1"/>
  <c r="G28" i="1"/>
  <c r="G50" i="14"/>
  <c r="G46" i="14"/>
  <c r="G42" i="14"/>
  <c r="G12" i="21"/>
  <c r="G15" i="21"/>
  <c r="G49" i="14"/>
  <c r="G45" i="14"/>
  <c r="G41" i="14"/>
  <c r="G18" i="21"/>
  <c r="C58" i="14"/>
  <c r="F57" i="14"/>
  <c r="D57" i="14"/>
  <c r="G57" i="14" s="1"/>
  <c r="E57" i="14"/>
  <c r="G48" i="14"/>
  <c r="G44" i="14"/>
  <c r="G6" i="1"/>
  <c r="J6" i="1" s="1"/>
  <c r="G52" i="14"/>
  <c r="F58" i="14" l="1"/>
  <c r="C59" i="14"/>
  <c r="D58" i="14"/>
  <c r="G58" i="14" s="1"/>
  <c r="E58" i="14"/>
  <c r="F10" i="21"/>
  <c r="E23" i="21"/>
  <c r="F23" i="21" l="1"/>
  <c r="G10" i="21"/>
  <c r="G23" i="21" s="1"/>
  <c r="E27" i="21"/>
  <c r="E28" i="21"/>
  <c r="F59" i="14"/>
  <c r="C60" i="14"/>
  <c r="D59" i="14"/>
  <c r="G59" i="14" s="1"/>
  <c r="E59" i="14"/>
  <c r="F60" i="14" l="1"/>
  <c r="D60" i="14"/>
  <c r="G60" i="14" s="1"/>
  <c r="C61" i="14"/>
  <c r="E60" i="14"/>
  <c r="C62" i="14" l="1"/>
  <c r="F61" i="14"/>
  <c r="D61" i="14"/>
  <c r="G61" i="14" s="1"/>
  <c r="E61" i="14"/>
  <c r="F62" i="14" l="1"/>
  <c r="C63" i="14"/>
  <c r="D62" i="14"/>
  <c r="G62" i="14" s="1"/>
  <c r="E62" i="14"/>
  <c r="F63" i="14" l="1"/>
  <c r="C64" i="14"/>
  <c r="D63" i="14"/>
  <c r="G63" i="14" s="1"/>
  <c r="E63" i="14"/>
  <c r="D64" i="14" l="1"/>
  <c r="G7" i="1" s="1"/>
  <c r="F64" i="14"/>
  <c r="I7" i="1" s="1"/>
  <c r="E64" i="14"/>
  <c r="H7" i="1" s="1"/>
  <c r="F7" i="1"/>
  <c r="C65" i="14"/>
  <c r="G64" i="14" l="1"/>
  <c r="C66" i="14"/>
  <c r="E65" i="14"/>
  <c r="D65" i="14"/>
  <c r="F65" i="14"/>
  <c r="G65" i="14" s="1"/>
  <c r="J7" i="1"/>
  <c r="E66" i="14" l="1"/>
  <c r="C67" i="14"/>
  <c r="D66" i="14"/>
  <c r="G66" i="14" s="1"/>
  <c r="F66" i="14"/>
  <c r="E67" i="14" l="1"/>
  <c r="C68" i="14"/>
  <c r="D67" i="14"/>
  <c r="G67" i="14" s="1"/>
  <c r="F67" i="14"/>
  <c r="E68" i="14" l="1"/>
  <c r="G68" i="14"/>
  <c r="C69" i="14"/>
  <c r="D68" i="14"/>
  <c r="F68" i="14"/>
  <c r="C70" i="14" l="1"/>
  <c r="E69" i="14"/>
  <c r="D69" i="14"/>
  <c r="G69" i="14" s="1"/>
  <c r="F69" i="14"/>
  <c r="E70" i="14" l="1"/>
  <c r="C71" i="14"/>
  <c r="D70" i="14"/>
  <c r="G70" i="14" s="1"/>
  <c r="F70" i="14"/>
  <c r="E71" i="14" l="1"/>
  <c r="C72" i="14"/>
  <c r="D71" i="14"/>
  <c r="G71" i="14"/>
  <c r="F71" i="14"/>
  <c r="E72" i="14" l="1"/>
  <c r="C73" i="14"/>
  <c r="D72" i="14"/>
  <c r="G72" i="14" s="1"/>
  <c r="F72" i="14"/>
  <c r="C74" i="14" l="1"/>
  <c r="E73" i="14"/>
  <c r="D73" i="14"/>
  <c r="G73" i="14"/>
  <c r="F73" i="14"/>
  <c r="E74" i="14" l="1"/>
  <c r="C75" i="14"/>
  <c r="D74" i="14"/>
  <c r="G74" i="14" s="1"/>
  <c r="F74" i="14"/>
  <c r="E75" i="14" l="1"/>
  <c r="C76" i="14"/>
  <c r="D75" i="14"/>
  <c r="G75" i="14"/>
  <c r="F75" i="14"/>
  <c r="D76" i="14" l="1"/>
  <c r="G8" i="1" s="1"/>
  <c r="F76" i="14"/>
  <c r="I8" i="1" s="1"/>
  <c r="E76" i="14"/>
  <c r="H8" i="1" s="1"/>
  <c r="F8" i="1"/>
  <c r="J8" i="1" s="1"/>
  <c r="G76" i="14" l="1"/>
</calcChain>
</file>

<file path=xl/sharedStrings.xml><?xml version="1.0" encoding="utf-8"?>
<sst xmlns="http://schemas.openxmlformats.org/spreadsheetml/2006/main" count="666" uniqueCount="345">
  <si>
    <t>Social Change</t>
  </si>
  <si>
    <t>Policy Change</t>
  </si>
  <si>
    <t>Research</t>
  </si>
  <si>
    <t>Centers of Excellence</t>
  </si>
  <si>
    <t>Financial Services</t>
  </si>
  <si>
    <t>Marketing &amp; Business Intelligence</t>
  </si>
  <si>
    <t>Project &amp; Program Management</t>
  </si>
  <si>
    <t>Entreprenuerial Incubator</t>
  </si>
  <si>
    <t>12.7+4.5</t>
  </si>
  <si>
    <t>Unemployed</t>
  </si>
  <si>
    <t>Pro&amp;Bus</t>
  </si>
  <si>
    <t>13.7 + 5.4</t>
  </si>
  <si>
    <t>annually</t>
  </si>
  <si>
    <t>weekly hours</t>
  </si>
  <si>
    <t>weeks</t>
  </si>
  <si>
    <t>Pro &amp; Bus Total</t>
  </si>
  <si>
    <t>Participation Rt</t>
  </si>
  <si>
    <t>Participants</t>
  </si>
  <si>
    <t>Fee Structure</t>
  </si>
  <si>
    <t>1.00/hr</t>
  </si>
  <si>
    <t>Revenue</t>
  </si>
  <si>
    <t>day</t>
  </si>
  <si>
    <t>week</t>
  </si>
  <si>
    <t>year</t>
  </si>
  <si>
    <t>Test Market</t>
  </si>
  <si>
    <t>Formation</t>
  </si>
  <si>
    <t>Legal</t>
  </si>
  <si>
    <t>T&amp;E</t>
  </si>
  <si>
    <t>Startup</t>
  </si>
  <si>
    <t>Office supplies</t>
  </si>
  <si>
    <t>Office space</t>
  </si>
  <si>
    <t>Research &amp; Consultants</t>
  </si>
  <si>
    <t>Total</t>
  </si>
  <si>
    <t>6 Month Estimates</t>
  </si>
  <si>
    <t>Startup Expenses</t>
  </si>
  <si>
    <t>Communication</t>
  </si>
  <si>
    <t>Design &amp; Develop - Web Application</t>
  </si>
  <si>
    <t>Content Development</t>
  </si>
  <si>
    <t>Software licenses</t>
  </si>
  <si>
    <t>Miscellaneous / Incidentals</t>
  </si>
  <si>
    <t>Salaries</t>
  </si>
  <si>
    <t>Month</t>
  </si>
  <si>
    <t>Day</t>
  </si>
  <si>
    <t>Event</t>
  </si>
  <si>
    <t>Height</t>
  </si>
  <si>
    <t>Axis</t>
  </si>
  <si>
    <t>Table</t>
  </si>
  <si>
    <t>Duration</t>
  </si>
  <si>
    <t>Milestone</t>
  </si>
  <si>
    <t>1 - Proposal</t>
  </si>
  <si>
    <t>2 - Revision</t>
  </si>
  <si>
    <t>3 - Funding</t>
  </si>
  <si>
    <t>4 - Startup</t>
  </si>
  <si>
    <t>6 - Scale Up</t>
  </si>
  <si>
    <t>8 - Grow</t>
  </si>
  <si>
    <t>9 - Innovate</t>
  </si>
  <si>
    <t>5 - Test &amp; Refine</t>
  </si>
  <si>
    <t>7 - Diversify</t>
  </si>
  <si>
    <t>Test &amp; Refine</t>
  </si>
  <si>
    <t>Type</t>
  </si>
  <si>
    <t>D</t>
  </si>
  <si>
    <t>E</t>
  </si>
  <si>
    <t>Managed Hosting &amp; Monitoring</t>
  </si>
  <si>
    <t>Software &amp; License</t>
  </si>
  <si>
    <t>Account Management</t>
  </si>
  <si>
    <t xml:space="preserve">Transaction Processing </t>
  </si>
  <si>
    <t>Headcount</t>
  </si>
  <si>
    <t>Internal</t>
  </si>
  <si>
    <t>External</t>
  </si>
  <si>
    <t>Rate</t>
  </si>
  <si>
    <t>Avg. Interal Rate</t>
  </si>
  <si>
    <t>Avg. External Rate</t>
  </si>
  <si>
    <t>Mgmt</t>
  </si>
  <si>
    <t>Support</t>
  </si>
  <si>
    <t>Co-founders</t>
  </si>
  <si>
    <t>Account Managers</t>
  </si>
  <si>
    <t>Scaleup</t>
  </si>
  <si>
    <t>Account Specialists</t>
  </si>
  <si>
    <t>Tech Manager</t>
  </si>
  <si>
    <t>C/S</t>
  </si>
  <si>
    <t>Office Space</t>
  </si>
  <si>
    <t>Conultants</t>
  </si>
  <si>
    <t>Advertising</t>
  </si>
  <si>
    <t>Software &amp; Licenses</t>
  </si>
  <si>
    <t>Year 1</t>
  </si>
  <si>
    <t>Consultants</t>
  </si>
  <si>
    <t>Salaries &amp; Benefits</t>
  </si>
  <si>
    <t>Tranaction Processing</t>
  </si>
  <si>
    <t>C</t>
  </si>
  <si>
    <t>-</t>
  </si>
  <si>
    <t>Test Market Participants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</si>
  <si>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</si>
  <si>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</si>
  <si>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</si>
  <si>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</si>
  <si>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</si>
  <si>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</si>
  <si>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</si>
  <si>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</si>
  <si>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</si>
  <si>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</si>
  <si>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</si>
  <si>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</si>
  <si>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Base:</t>
  </si>
  <si>
    <t>Daily Misfit Gross</t>
  </si>
  <si>
    <t>Weekly Misfit Gross</t>
  </si>
  <si>
    <t>Daily Fees Earned</t>
  </si>
  <si>
    <t>Weekly Fees Earned</t>
  </si>
  <si>
    <t>Monthly Misfit Gross</t>
  </si>
  <si>
    <t>Monthly Fees Earned</t>
  </si>
  <si>
    <t>Cost of Revenue</t>
  </si>
  <si>
    <t>Operating Expenses</t>
  </si>
  <si>
    <t>Operating Expenses Total</t>
  </si>
  <si>
    <t>Gross Margin (Loss)</t>
  </si>
  <si>
    <t>Operating Margin (Loss)</t>
  </si>
  <si>
    <t>Depreciation Expense</t>
  </si>
  <si>
    <t>Depreciable Assets</t>
  </si>
  <si>
    <t xml:space="preserve"> - Carryover to following year</t>
  </si>
  <si>
    <t xml:space="preserve"> - Monthly SL Dep Amount</t>
  </si>
  <si>
    <t xml:space="preserve">Communication </t>
  </si>
  <si>
    <t>Utilities</t>
  </si>
  <si>
    <t>Cumulative Participants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</si>
  <si>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</si>
  <si>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</si>
  <si>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</si>
  <si>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</si>
  <si>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</si>
  <si>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</si>
  <si>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</si>
  <si>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</si>
  <si>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</si>
  <si>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</si>
  <si>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</si>
  <si>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</si>
  <si>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Mature</t>
  </si>
  <si>
    <t>Northeast</t>
  </si>
  <si>
    <t>West</t>
  </si>
  <si>
    <t>Midwest</t>
  </si>
  <si>
    <t>South</t>
  </si>
  <si>
    <t>Composition</t>
  </si>
  <si>
    <t>Total Long-Term Unemployed</t>
  </si>
  <si>
    <t>Professional, Business &amp; Financial Composition</t>
  </si>
  <si>
    <t>Target Demographic</t>
  </si>
  <si>
    <t>Participation Pool @95%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</si>
  <si>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</si>
  <si>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</si>
  <si>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</si>
  <si>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</si>
  <si>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</si>
  <si>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</si>
  <si>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</si>
  <si>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</si>
  <si>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</si>
  <si>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</si>
  <si>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</si>
  <si>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</si>
  <si>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</si>
  <si>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Month14</t>
  </si>
  <si>
    <t>Month15</t>
  </si>
  <si>
    <t>Month16</t>
  </si>
  <si>
    <t>Month17</t>
  </si>
  <si>
    <t>Month18</t>
  </si>
  <si>
    <t>Month19</t>
  </si>
  <si>
    <t>Month20</t>
  </si>
  <si>
    <t>Month21</t>
  </si>
  <si>
    <t>Month22</t>
  </si>
  <si>
    <t>Month23</t>
  </si>
  <si>
    <t>Month24</t>
  </si>
  <si>
    <t>Month25</t>
  </si>
  <si>
    <t>Month26</t>
  </si>
  <si>
    <t>Month27</t>
  </si>
  <si>
    <t>Month28</t>
  </si>
  <si>
    <t>Month29</t>
  </si>
  <si>
    <t>Month30</t>
  </si>
  <si>
    <t>Month31</t>
  </si>
  <si>
    <t>Month32</t>
  </si>
  <si>
    <t>Month33</t>
  </si>
  <si>
    <t>Month34</t>
  </si>
  <si>
    <t>Month35</t>
  </si>
  <si>
    <t>Month36</t>
  </si>
  <si>
    <t>Month37</t>
  </si>
  <si>
    <t>Month38</t>
  </si>
  <si>
    <t>Month39</t>
  </si>
  <si>
    <t>Month40</t>
  </si>
  <si>
    <t>Month41</t>
  </si>
  <si>
    <t>Month42</t>
  </si>
  <si>
    <t>Month43</t>
  </si>
  <si>
    <t>Month44</t>
  </si>
  <si>
    <t>Month45</t>
  </si>
  <si>
    <t>Month46</t>
  </si>
  <si>
    <t>Month47</t>
  </si>
  <si>
    <t>Month48</t>
  </si>
  <si>
    <t>Month49</t>
  </si>
  <si>
    <t>Month50</t>
  </si>
  <si>
    <t>Month51</t>
  </si>
  <si>
    <t>Month52</t>
  </si>
  <si>
    <t>Month53</t>
  </si>
  <si>
    <t>Month54</t>
  </si>
  <si>
    <t>Month55</t>
  </si>
  <si>
    <t>Month56</t>
  </si>
  <si>
    <t>Month57</t>
  </si>
  <si>
    <t>Month58</t>
  </si>
  <si>
    <t>Month59</t>
  </si>
  <si>
    <t>Month60</t>
  </si>
  <si>
    <t>2+</t>
  </si>
  <si>
    <t>Capitalizable</t>
  </si>
  <si>
    <t>Discretionary</t>
  </si>
  <si>
    <t>Misfit Participation - Yearly Cumulative</t>
  </si>
  <si>
    <t>Year</t>
  </si>
  <si>
    <t>Misfit Yearly Earnings</t>
  </si>
  <si>
    <t>Fees Earned</t>
  </si>
  <si>
    <t>Gross Margin</t>
  </si>
  <si>
    <t>Operating Margin</t>
  </si>
  <si>
    <t>Preliminary Margins</t>
  </si>
  <si>
    <t>Webapp</t>
  </si>
  <si>
    <t>Filings</t>
  </si>
  <si>
    <t>Organizational Head Count Estimate Estimate</t>
  </si>
  <si>
    <t>TBD</t>
  </si>
  <si>
    <t>Demographic by Region</t>
  </si>
  <si>
    <t xml:space="preserve">Total </t>
  </si>
  <si>
    <t>Northeast (Test Mkt)</t>
  </si>
  <si>
    <t xml:space="preserve">Total Est. </t>
  </si>
  <si>
    <t>Cumulative Participation &amp; Enrollment - 5 year Estimate post Startup</t>
  </si>
  <si>
    <t>Expenses</t>
  </si>
  <si>
    <t>Scale Up</t>
  </si>
  <si>
    <t>Year1</t>
  </si>
  <si>
    <t>Year2</t>
  </si>
  <si>
    <t>Year3</t>
  </si>
  <si>
    <t>Year4</t>
  </si>
  <si>
    <t>Year5</t>
  </si>
  <si>
    <t>Expected Useful Life</t>
  </si>
  <si>
    <t>Straight Line / Month</t>
  </si>
  <si>
    <t>Book value</t>
  </si>
  <si>
    <t>Year 2</t>
  </si>
  <si>
    <t>Year 3</t>
  </si>
  <si>
    <t>Year 4</t>
  </si>
  <si>
    <t>Year 5</t>
  </si>
  <si>
    <t>Depreciation Schedule</t>
  </si>
  <si>
    <t>Work Week</t>
  </si>
  <si>
    <t>Days</t>
  </si>
  <si>
    <t>Hours Per Day</t>
  </si>
  <si>
    <t>Total Hours Per Week</t>
  </si>
  <si>
    <t>Weeks in One Year</t>
  </si>
  <si>
    <t>Total Work Hours Per Year</t>
  </si>
  <si>
    <t>Lost SalaryAt Hourly Rate</t>
  </si>
  <si>
    <t>Average of Lost Salary Prior To L-T Unemployment</t>
  </si>
  <si>
    <t>Fees Per Hour Worked</t>
  </si>
  <si>
    <t>Net Hourly Rate For 1099</t>
  </si>
  <si>
    <t>Source of Revenue for Gadfly Group</t>
  </si>
  <si>
    <t>Fees Earned Per Hour</t>
  </si>
  <si>
    <t>Revenue Assumptions</t>
  </si>
  <si>
    <t>Expense Assumptions</t>
  </si>
  <si>
    <t>Item</t>
  </si>
  <si>
    <t>Pro-forma Income Statement - Year 1</t>
  </si>
  <si>
    <t>Pro-forma Income Statement - Year 2</t>
  </si>
  <si>
    <t>Pro-forma Income Statement - Year 3</t>
  </si>
  <si>
    <t>Pro-forma Income Statement - Year 5</t>
  </si>
  <si>
    <t>A dollar and a dream</t>
  </si>
  <si>
    <t>Dashboard</t>
  </si>
  <si>
    <t>Year 1 Income Statement</t>
  </si>
  <si>
    <t>Year 2 Income Statement</t>
  </si>
  <si>
    <t>Year 3 Income Statement</t>
  </si>
  <si>
    <t>Year 4 Income Statement</t>
  </si>
  <si>
    <t>Year 5 Income Statement</t>
  </si>
  <si>
    <t>Pro-forma Income Statement</t>
  </si>
  <si>
    <t>Assumptions &amp; Summaries</t>
  </si>
  <si>
    <t>CONTENTS</t>
  </si>
  <si>
    <t>Milestones</t>
  </si>
  <si>
    <t>Sources of Funds</t>
  </si>
  <si>
    <t>Debt</t>
  </si>
  <si>
    <t>Uses of Funds</t>
  </si>
  <si>
    <t>Total Outflow</t>
  </si>
  <si>
    <t>Total Inflow</t>
  </si>
  <si>
    <t>Net Cash Provided (Used)</t>
  </si>
  <si>
    <t>Year 0</t>
  </si>
  <si>
    <t>Grants</t>
  </si>
  <si>
    <t>Bachelor's Degrees</t>
  </si>
  <si>
    <t>Master's Degrees</t>
  </si>
  <si>
    <t>Professional Degrees</t>
  </si>
  <si>
    <t>Doctoral Degrees</t>
  </si>
  <si>
    <t>http://www.bls.gov/ooq/2010/summer/oochart.pdf</t>
  </si>
  <si>
    <t>1997 population</t>
  </si>
  <si>
    <t>http://www.census.gov/prod/3/98pubs/p23-194.pdf</t>
  </si>
  <si>
    <t>http://quickfacts.census.gov/qfd/states/00000.html</t>
  </si>
  <si>
    <t>Total Unemployed Estimate</t>
  </si>
  <si>
    <t>% with At Least A College Degree</t>
  </si>
  <si>
    <t>All Unemployed</t>
  </si>
  <si>
    <t>At Least Bachelor's Degree</t>
  </si>
  <si>
    <t>Scale Up Participants</t>
  </si>
  <si>
    <t>Debt Repayment (Principal)</t>
  </si>
  <si>
    <t>Interest Expense (@ 5%)</t>
  </si>
  <si>
    <t>Sources - Uses of Funds</t>
  </si>
  <si>
    <t>Financial Sustainability</t>
  </si>
  <si>
    <t>Employer Relations</t>
  </si>
  <si>
    <t>Independent Contractors</t>
  </si>
  <si>
    <t>Learning &amp; Growth</t>
  </si>
  <si>
    <t>Objectives</t>
  </si>
  <si>
    <t>Measures</t>
  </si>
  <si>
    <t>Targets</t>
  </si>
  <si>
    <t>Initiatives</t>
  </si>
  <si>
    <t>Startup success</t>
  </si>
  <si>
    <t>Budget variance</t>
  </si>
  <si>
    <t>+/- 15% Target</t>
  </si>
  <si>
    <t>Agile Development Methods</t>
  </si>
  <si>
    <t>Test phase success</t>
  </si>
  <si>
    <t>Employer participation</t>
  </si>
  <si>
    <t xml:space="preserve">15 - 20 </t>
  </si>
  <si>
    <t>Business Development Team</t>
  </si>
  <si>
    <t>Scale up success</t>
  </si>
  <si>
    <t>Number of Independent Contractor participants</t>
  </si>
  <si>
    <t>Centers of Excellence / Content</t>
  </si>
  <si>
    <t>Surplus cash on hand</t>
  </si>
  <si>
    <t>9 figures</t>
  </si>
  <si>
    <t>Investment management, product offerings</t>
  </si>
  <si>
    <t>Diversification success</t>
  </si>
  <si>
    <t>Technological integration</t>
  </si>
  <si>
    <t>Collaboration satisfaction survey</t>
  </si>
  <si>
    <t>Highly satisfied</t>
  </si>
  <si>
    <t>Proprietary web application</t>
  </si>
  <si>
    <t>Phased investment in misfit resources</t>
  </si>
  <si>
    <t>Billed hours</t>
  </si>
  <si>
    <t>Avg of 40 hours per contractor</t>
  </si>
  <si>
    <t>Variety in offerings: tasks, projects, positions</t>
  </si>
  <si>
    <t>Overall satisfaction with matched resources</t>
  </si>
  <si>
    <t>Retention ratio</t>
  </si>
  <si>
    <t>80% +</t>
  </si>
  <si>
    <t>Multivariate algorithm with increasing data points</t>
  </si>
  <si>
    <t>Source of income</t>
  </si>
  <si>
    <t>40 hours / week</t>
  </si>
  <si>
    <t>Centers of excellence</t>
  </si>
  <si>
    <t>Independent Contractor competency</t>
  </si>
  <si>
    <t>Reintegration into workforce</t>
  </si>
  <si>
    <t>Proprietary web applicaton</t>
  </si>
  <si>
    <t>User experience</t>
  </si>
  <si>
    <t>User experience survey</t>
  </si>
  <si>
    <t>Dynamic, visually pleasing content and structure</t>
  </si>
  <si>
    <t>Content development best practices</t>
  </si>
  <si>
    <t>Limited revisions</t>
  </si>
  <si>
    <t>Initial expert consultation</t>
  </si>
  <si>
    <t>Employee morale</t>
  </si>
  <si>
    <t>Employee retention</t>
  </si>
  <si>
    <t>Highly satisfied team</t>
  </si>
  <si>
    <t>Pay, fringe benefits, culture</t>
  </si>
  <si>
    <t>Balanced Scorecard</t>
  </si>
  <si>
    <t>40 - 50% Target Demographic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</si>
</sst>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&quot;$&quot;#,##0.000000"/>
    <numFmt numFmtId="168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6" fontId="0" fillId="0" borderId="0" xfId="0" applyNumberFormat="1"/>
    <xf numFmtId="166" fontId="0" fillId="0" borderId="0" xfId="0" applyNumberFormat="1"/>
    <xf numFmtId="0" fontId="0" fillId="2" borderId="0" xfId="0" applyFill="1"/>
    <xf numFmtId="166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 indent="2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left" indent="2"/>
    </xf>
    <xf numFmtId="0" fontId="6" fillId="4" borderId="0" xfId="0" applyFont="1" applyFill="1"/>
    <xf numFmtId="165" fontId="0" fillId="0" borderId="0" xfId="0" applyNumberFormat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7" fillId="0" borderId="0" xfId="0" applyFont="1"/>
    <xf numFmtId="0" fontId="0" fillId="10" borderId="0" xfId="0" applyFill="1"/>
    <xf numFmtId="0" fontId="0" fillId="10" borderId="0" xfId="0" applyFill="1" applyAlignment="1">
      <alignment horizontal="center"/>
    </xf>
    <xf numFmtId="164" fontId="0" fillId="10" borderId="0" xfId="1" applyNumberFormat="1" applyFont="1" applyFill="1"/>
    <xf numFmtId="0" fontId="5" fillId="10" borderId="0" xfId="0" applyFont="1" applyFill="1"/>
    <xf numFmtId="166" fontId="5" fillId="10" borderId="0" xfId="1" applyNumberFormat="1" applyFont="1" applyFill="1" applyAlignment="1">
      <alignment horizontal="right"/>
    </xf>
    <xf numFmtId="0" fontId="7" fillId="10" borderId="0" xfId="0" applyFont="1" applyFill="1"/>
    <xf numFmtId="166" fontId="7" fillId="10" borderId="0" xfId="1" applyNumberFormat="1" applyFont="1" applyFill="1"/>
    <xf numFmtId="0" fontId="7" fillId="10" borderId="0" xfId="0" applyFont="1" applyFill="1" applyAlignment="1">
      <alignment horizontal="center"/>
    </xf>
    <xf numFmtId="5" fontId="7" fillId="10" borderId="0" xfId="1" applyNumberFormat="1" applyFont="1" applyFill="1"/>
    <xf numFmtId="5" fontId="7" fillId="10" borderId="0" xfId="0" applyNumberFormat="1" applyFont="1" applyFill="1"/>
    <xf numFmtId="166" fontId="5" fillId="10" borderId="0" xfId="0" applyNumberFormat="1" applyFont="1" applyFill="1"/>
    <xf numFmtId="0" fontId="0" fillId="0" borderId="0" xfId="0" applyFont="1"/>
    <xf numFmtId="0" fontId="0" fillId="11" borderId="2" xfId="0" applyFont="1" applyFill="1" applyBorder="1"/>
    <xf numFmtId="0" fontId="0" fillId="11" borderId="2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2" borderId="2" xfId="0" applyFont="1" applyFill="1" applyBorder="1"/>
    <xf numFmtId="0" fontId="0" fillId="12" borderId="2" xfId="0" applyFont="1" applyFill="1" applyBorder="1" applyAlignment="1">
      <alignment horizontal="right" vertical="center"/>
    </xf>
    <xf numFmtId="0" fontId="0" fillId="12" borderId="2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12" borderId="4" xfId="0" applyFont="1" applyFill="1" applyBorder="1"/>
    <xf numFmtId="0" fontId="0" fillId="12" borderId="4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9" fontId="0" fillId="2" borderId="0" xfId="49" applyFont="1" applyFill="1"/>
    <xf numFmtId="164" fontId="5" fillId="14" borderId="0" xfId="1" applyNumberFormat="1" applyFont="1" applyFill="1"/>
    <xf numFmtId="0" fontId="0" fillId="15" borderId="0" xfId="0" applyFill="1"/>
    <xf numFmtId="164" fontId="0" fillId="15" borderId="0" xfId="1" applyNumberFormat="1" applyFont="1" applyFill="1" applyAlignment="1"/>
    <xf numFmtId="9" fontId="0" fillId="0" borderId="0" xfId="49" applyFont="1" applyAlignment="1">
      <alignment horizontal="right"/>
    </xf>
    <xf numFmtId="0" fontId="7" fillId="6" borderId="0" xfId="0" applyFont="1" applyFill="1"/>
    <xf numFmtId="0" fontId="7" fillId="17" borderId="0" xfId="0" applyFont="1" applyFill="1"/>
    <xf numFmtId="0" fontId="7" fillId="13" borderId="0" xfId="0" applyFont="1" applyFill="1"/>
    <xf numFmtId="0" fontId="5" fillId="9" borderId="0" xfId="0" applyFont="1" applyFill="1" applyAlignment="1">
      <alignment horizontal="right"/>
    </xf>
    <xf numFmtId="0" fontId="6" fillId="15" borderId="0" xfId="0" applyFont="1" applyFill="1"/>
    <xf numFmtId="166" fontId="6" fillId="15" borderId="0" xfId="1" applyNumberFormat="1" applyFont="1" applyFill="1"/>
    <xf numFmtId="0" fontId="6" fillId="20" borderId="0" xfId="0" applyFont="1" applyFill="1"/>
    <xf numFmtId="166" fontId="6" fillId="20" borderId="0" xfId="2" applyNumberFormat="1" applyFont="1" applyFill="1"/>
    <xf numFmtId="0" fontId="0" fillId="19" borderId="0" xfId="0" applyFill="1"/>
    <xf numFmtId="166" fontId="0" fillId="19" borderId="0" xfId="0" applyNumberFormat="1" applyFill="1"/>
    <xf numFmtId="0" fontId="6" fillId="19" borderId="0" xfId="0" applyFont="1" applyFill="1"/>
    <xf numFmtId="166" fontId="6" fillId="19" borderId="0" xfId="0" applyNumberFormat="1" applyFont="1" applyFill="1"/>
    <xf numFmtId="0" fontId="6" fillId="0" borderId="0" xfId="0" applyFont="1"/>
    <xf numFmtId="0" fontId="5" fillId="21" borderId="0" xfId="0" applyFont="1" applyFill="1"/>
    <xf numFmtId="166" fontId="5" fillId="21" borderId="0" xfId="1" applyNumberFormat="1" applyFont="1" applyFill="1"/>
    <xf numFmtId="0" fontId="5" fillId="22" borderId="0" xfId="0" applyFont="1" applyFill="1"/>
    <xf numFmtId="166" fontId="5" fillId="22" borderId="0" xfId="2" applyNumberFormat="1" applyFont="1" applyFill="1"/>
    <xf numFmtId="0" fontId="0" fillId="23" borderId="0" xfId="0" applyFill="1"/>
    <xf numFmtId="0" fontId="0" fillId="0" borderId="7" xfId="0" applyBorder="1" applyAlignment="1">
      <alignment horizontal="right"/>
    </xf>
    <xf numFmtId="166" fontId="0" fillId="0" borderId="7" xfId="0" applyNumberFormat="1" applyBorder="1"/>
    <xf numFmtId="0" fontId="6" fillId="0" borderId="0" xfId="0" applyFont="1" applyAlignment="1">
      <alignment horizontal="right"/>
    </xf>
    <xf numFmtId="0" fontId="0" fillId="25" borderId="9" xfId="0" applyFont="1" applyFill="1" applyBorder="1"/>
    <xf numFmtId="3" fontId="0" fillId="25" borderId="9" xfId="0" applyNumberFormat="1" applyFont="1" applyFill="1" applyBorder="1"/>
    <xf numFmtId="0" fontId="0" fillId="25" borderId="0" xfId="0" applyFont="1" applyFill="1"/>
    <xf numFmtId="0" fontId="0" fillId="0" borderId="8" xfId="0" applyFont="1" applyBorder="1"/>
    <xf numFmtId="167" fontId="0" fillId="0" borderId="8" xfId="0" applyNumberFormat="1" applyFont="1" applyBorder="1"/>
    <xf numFmtId="8" fontId="0" fillId="0" borderId="0" xfId="0" applyNumberFormat="1"/>
    <xf numFmtId="8" fontId="0" fillId="23" borderId="0" xfId="0" applyNumberFormat="1" applyFill="1"/>
    <xf numFmtId="0" fontId="5" fillId="26" borderId="0" xfId="0" applyFont="1" applyFill="1"/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23" borderId="0" xfId="0" applyFont="1" applyFill="1"/>
    <xf numFmtId="0" fontId="6" fillId="23" borderId="0" xfId="0" applyFont="1" applyFill="1" applyAlignment="1">
      <alignment horizontal="right"/>
    </xf>
    <xf numFmtId="0" fontId="8" fillId="16" borderId="0" xfId="0" applyFont="1" applyFill="1" applyAlignment="1"/>
    <xf numFmtId="0" fontId="8" fillId="16" borderId="0" xfId="0" applyFont="1" applyFill="1"/>
    <xf numFmtId="164" fontId="8" fillId="16" borderId="0" xfId="1" applyNumberFormat="1" applyFont="1" applyFill="1"/>
    <xf numFmtId="0" fontId="9" fillId="16" borderId="0" xfId="0" applyFont="1" applyFill="1"/>
    <xf numFmtId="0" fontId="10" fillId="14" borderId="0" xfId="0" applyFont="1" applyFill="1"/>
    <xf numFmtId="0" fontId="12" fillId="0" borderId="0" xfId="0" applyFont="1" applyAlignment="1"/>
    <xf numFmtId="0" fontId="11" fillId="0" borderId="0" xfId="0" applyFont="1"/>
    <xf numFmtId="0" fontId="15" fillId="0" borderId="0" xfId="66" applyFont="1" applyAlignment="1">
      <alignment horizontal="left" indent="3"/>
    </xf>
    <xf numFmtId="0" fontId="11" fillId="0" borderId="0" xfId="0" applyFont="1" applyAlignment="1">
      <alignment horizontal="left" indent="3"/>
    </xf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left" indent="3"/>
    </xf>
    <xf numFmtId="0" fontId="17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168" fontId="0" fillId="0" borderId="0" xfId="0" applyNumberFormat="1"/>
    <xf numFmtId="0" fontId="5" fillId="17" borderId="0" xfId="0" applyFont="1" applyFill="1"/>
    <xf numFmtId="0" fontId="5" fillId="27" borderId="0" xfId="0" applyFont="1" applyFill="1"/>
    <xf numFmtId="164" fontId="6" fillId="0" borderId="0" xfId="1" applyNumberFormat="1" applyFont="1"/>
    <xf numFmtId="38" fontId="6" fillId="0" borderId="0" xfId="2" applyNumberFormat="1" applyFont="1" applyAlignment="1">
      <alignment horizontal="right"/>
    </xf>
    <xf numFmtId="38" fontId="6" fillId="0" borderId="0" xfId="0" applyNumberFormat="1" applyFont="1"/>
    <xf numFmtId="38" fontId="0" fillId="0" borderId="0" xfId="0" applyNumberFormat="1"/>
    <xf numFmtId="38" fontId="0" fillId="0" borderId="0" xfId="0" applyNumberFormat="1" applyAlignment="1">
      <alignment horizontal="right"/>
    </xf>
    <xf numFmtId="38" fontId="0" fillId="0" borderId="0" xfId="2" applyNumberFormat="1" applyFont="1" applyAlignment="1">
      <alignment horizontal="right"/>
    </xf>
    <xf numFmtId="0" fontId="0" fillId="23" borderId="7" xfId="0" applyFill="1" applyBorder="1"/>
    <xf numFmtId="3" fontId="0" fillId="23" borderId="7" xfId="0" applyNumberFormat="1" applyFill="1" applyBorder="1"/>
    <xf numFmtId="0" fontId="0" fillId="20" borderId="0" xfId="0" applyFill="1"/>
    <xf numFmtId="0" fontId="0" fillId="20" borderId="7" xfId="0" applyFill="1" applyBorder="1"/>
    <xf numFmtId="38" fontId="0" fillId="20" borderId="7" xfId="0" applyNumberFormat="1" applyFill="1" applyBorder="1"/>
    <xf numFmtId="0" fontId="0" fillId="28" borderId="11" xfId="0" applyFont="1" applyFill="1" applyBorder="1"/>
    <xf numFmtId="0" fontId="6" fillId="28" borderId="11" xfId="0" applyFont="1" applyFill="1" applyBorder="1" applyAlignment="1">
      <alignment horizontal="center"/>
    </xf>
    <xf numFmtId="0" fontId="6" fillId="28" borderId="10" xfId="0" applyFont="1" applyFill="1" applyBorder="1"/>
    <xf numFmtId="38" fontId="6" fillId="28" borderId="10" xfId="0" applyNumberFormat="1" applyFont="1" applyFill="1" applyBorder="1"/>
    <xf numFmtId="0" fontId="15" fillId="0" borderId="0" xfId="66" applyFont="1" applyAlignment="1">
      <alignment horizontal="right"/>
    </xf>
    <xf numFmtId="0" fontId="0" fillId="0" borderId="15" xfId="0" applyBorder="1"/>
    <xf numFmtId="0" fontId="0" fillId="0" borderId="19" xfId="0" applyBorder="1"/>
    <xf numFmtId="0" fontId="6" fillId="0" borderId="14" xfId="0" applyFont="1" applyBorder="1"/>
    <xf numFmtId="0" fontId="5" fillId="13" borderId="18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0" fillId="23" borderId="18" xfId="0" applyFill="1" applyBorder="1"/>
    <xf numFmtId="0" fontId="0" fillId="23" borderId="18" xfId="0" quotePrefix="1" applyFill="1" applyBorder="1"/>
    <xf numFmtId="0" fontId="0" fillId="23" borderId="13" xfId="0" applyFill="1" applyBorder="1"/>
    <xf numFmtId="0" fontId="0" fillId="23" borderId="19" xfId="0" applyFill="1" applyBorder="1"/>
    <xf numFmtId="0" fontId="0" fillId="23" borderId="15" xfId="0" applyFill="1" applyBorder="1"/>
    <xf numFmtId="0" fontId="0" fillId="23" borderId="20" xfId="0" applyFill="1" applyBorder="1"/>
    <xf numFmtId="0" fontId="0" fillId="23" borderId="17" xfId="0" applyFill="1" applyBorder="1"/>
    <xf numFmtId="0" fontId="0" fillId="19" borderId="18" xfId="0" applyFill="1" applyBorder="1"/>
    <xf numFmtId="0" fontId="0" fillId="19" borderId="13" xfId="0" applyFill="1" applyBorder="1"/>
    <xf numFmtId="0" fontId="0" fillId="19" borderId="19" xfId="0" applyFill="1" applyBorder="1"/>
    <xf numFmtId="0" fontId="0" fillId="19" borderId="15" xfId="0" applyFill="1" applyBorder="1"/>
    <xf numFmtId="0" fontId="0" fillId="19" borderId="20" xfId="0" applyFill="1" applyBorder="1"/>
    <xf numFmtId="0" fontId="0" fillId="19" borderId="17" xfId="0" applyFill="1" applyBorder="1"/>
    <xf numFmtId="0" fontId="0" fillId="30" borderId="18" xfId="0" applyFill="1" applyBorder="1"/>
    <xf numFmtId="0" fontId="0" fillId="30" borderId="13" xfId="0" applyFill="1" applyBorder="1"/>
    <xf numFmtId="0" fontId="0" fillId="30" borderId="19" xfId="0" applyFill="1" applyBorder="1"/>
    <xf numFmtId="0" fontId="0" fillId="30" borderId="15" xfId="0" applyFill="1" applyBorder="1"/>
    <xf numFmtId="0" fontId="0" fillId="30" borderId="20" xfId="0" applyFill="1" applyBorder="1"/>
    <xf numFmtId="0" fontId="0" fillId="30" borderId="17" xfId="0" applyFill="1" applyBorder="1"/>
    <xf numFmtId="0" fontId="0" fillId="28" borderId="18" xfId="0" applyFill="1" applyBorder="1"/>
    <xf numFmtId="0" fontId="0" fillId="28" borderId="13" xfId="0" applyFill="1" applyBorder="1"/>
    <xf numFmtId="0" fontId="0" fillId="28" borderId="20" xfId="0" applyFill="1" applyBorder="1"/>
    <xf numFmtId="0" fontId="0" fillId="28" borderId="17" xfId="0" applyFill="1" applyBorder="1"/>
    <xf numFmtId="0" fontId="6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1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5" fillId="13" borderId="0" xfId="0" applyFont="1" applyFill="1" applyAlignment="1">
      <alignment horizontal="right"/>
    </xf>
    <xf numFmtId="0" fontId="5" fillId="1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24" borderId="0" xfId="0" applyFont="1" applyFill="1" applyAlignment="1">
      <alignment horizontal="center"/>
    </xf>
    <xf numFmtId="0" fontId="6" fillId="19" borderId="0" xfId="0" applyFont="1" applyFill="1" applyAlignment="1">
      <alignment horizontal="left"/>
    </xf>
    <xf numFmtId="0" fontId="8" fillId="1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6" fillId="23" borderId="12" xfId="0" applyFont="1" applyFill="1" applyBorder="1" applyAlignment="1">
      <alignment horizontal="center" vertical="center"/>
    </xf>
    <xf numFmtId="0" fontId="6" fillId="23" borderId="14" xfId="0" applyFont="1" applyFill="1" applyBorder="1" applyAlignment="1">
      <alignment horizontal="center" vertical="center"/>
    </xf>
    <xf numFmtId="0" fontId="6" fillId="23" borderId="16" xfId="0" applyFont="1" applyFill="1" applyBorder="1" applyAlignment="1">
      <alignment horizontal="center" vertical="center"/>
    </xf>
    <xf numFmtId="0" fontId="6" fillId="19" borderId="12" xfId="0" applyFont="1" applyFill="1" applyBorder="1" applyAlignment="1">
      <alignment horizontal="center" vertical="center"/>
    </xf>
    <xf numFmtId="0" fontId="6" fillId="19" borderId="14" xfId="0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 vertical="center"/>
    </xf>
    <xf numFmtId="0" fontId="6" fillId="30" borderId="12" xfId="0" applyFont="1" applyFill="1" applyBorder="1" applyAlignment="1">
      <alignment horizontal="center" vertical="center"/>
    </xf>
    <xf numFmtId="0" fontId="6" fillId="30" borderId="14" xfId="0" applyFont="1" applyFill="1" applyBorder="1" applyAlignment="1">
      <alignment horizontal="center" vertical="center"/>
    </xf>
    <xf numFmtId="0" fontId="6" fillId="30" borderId="16" xfId="0" applyFont="1" applyFill="1" applyBorder="1" applyAlignment="1">
      <alignment horizontal="center" vertical="center"/>
    </xf>
    <xf numFmtId="0" fontId="6" fillId="28" borderId="12" xfId="0" applyFont="1" applyFill="1" applyBorder="1" applyAlignment="1">
      <alignment horizontal="center" vertical="center"/>
    </xf>
    <xf numFmtId="0" fontId="6" fillId="28" borderId="16" xfId="0" applyFont="1" applyFill="1" applyBorder="1" applyAlignment="1">
      <alignment horizontal="center" vertical="center"/>
    </xf>
    <xf numFmtId="0" fontId="5" fillId="29" borderId="18" xfId="0" applyFont="1" applyFill="1" applyBorder="1" applyAlignment="1">
      <alignment horizontal="center" vertical="center"/>
    </xf>
    <xf numFmtId="0" fontId="5" fillId="29" borderId="20" xfId="0" applyFont="1" applyFill="1" applyBorder="1" applyAlignment="1">
      <alignment horizontal="center" vertical="center"/>
    </xf>
  </cellXfs>
  <cellStyles count="11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/>
    <cellStyle name="Normal" xfId="0" builtinId="0"/>
    <cellStyle name="Percent" xfId="4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  <a:latin typeface="Copperplate"/>
                <a:cs typeface="Copperplate"/>
              </a:defRPr>
            </a:pPr>
            <a:r>
              <a:rPr lang="en-US">
                <a:solidFill>
                  <a:schemeClr val="bg1"/>
                </a:solidFill>
                <a:latin typeface="Copperplate"/>
                <a:cs typeface="Copperplate"/>
              </a:rPr>
              <a:t>The</a:t>
            </a:r>
            <a:r>
              <a:rPr lang="en-US" baseline="0">
                <a:solidFill>
                  <a:schemeClr val="bg1"/>
                </a:solidFill>
                <a:latin typeface="Copperplate"/>
                <a:cs typeface="Copperplate"/>
              </a:rPr>
              <a:t> Gadfly Group</a:t>
            </a:r>
          </a:p>
          <a:p>
            <a:pPr>
              <a:defRPr>
                <a:solidFill>
                  <a:schemeClr val="bg1"/>
                </a:solidFill>
                <a:latin typeface="Copperplate"/>
                <a:cs typeface="Copperplate"/>
              </a:defRPr>
            </a:pPr>
            <a:r>
              <a:rPr lang="en-US" sz="1200" baseline="0">
                <a:solidFill>
                  <a:schemeClr val="bg1"/>
                </a:solidFill>
                <a:latin typeface="Copperplate"/>
                <a:cs typeface="Copperplate"/>
              </a:rPr>
              <a:t>Major Milestones</a:t>
            </a:r>
            <a:endParaRPr lang="en-US" sz="1200">
              <a:solidFill>
                <a:schemeClr val="bg1"/>
              </a:solidFill>
              <a:latin typeface="Copperplate"/>
              <a:cs typeface="Copperplate"/>
            </a:endParaRPr>
          </a:p>
        </c:rich>
      </c:tx>
      <c:layout>
        <c:manualLayout>
          <c:xMode val="edge"/>
          <c:yMode val="edge"/>
          <c:x val="0.69607029247668395"/>
          <c:y val="1.0873984053088301E-2"/>
        </c:manualLayout>
      </c:layout>
      <c:overlay val="0"/>
      <c:spPr>
        <a:solidFill>
          <a:schemeClr val="accent6"/>
        </a:solidFill>
      </c:spPr>
    </c:title>
    <c:autoTitleDeleted val="0"/>
    <c:plotArea>
      <c:layout>
        <c:manualLayout>
          <c:layoutTarget val="inner"/>
          <c:xMode val="edge"/>
          <c:yMode val="edge"/>
          <c:x val="3.7045461802162401E-2"/>
          <c:y val="1.8504609713019299E-3"/>
          <c:w val="0.96254034413707501"/>
          <c:h val="0.932989690721648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0"/>
              <c:layout>
                <c:manualLayout>
                  <c:x val="-4.0450349701630701E-2"/>
                  <c:y val="-4.6391808320097302E-2"/>
                </c:manualLayout>
              </c:layout>
              <c:tx>
                <c:strRef>
                  <c:f>Sheet8!$G$31</c:f>
                  <c:strCache>
                    <c:ptCount val="1"/>
                    <c:pt idx="0">
                      <c:v>1 - Proposal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{BEEC6520-CF20-EC47-B9F5-41C7422CD3B0}</c15:txfldGUID>
                      <c15:f>Sheet8!$G$31</c15:f>
                      <c15:dlblFieldTableCache>
                        <c:ptCount val="1"/>
                        <c:pt idx="0">
                          <c:v>1 - Proposal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DDC-1E4A-B5E5-026D2A51F344}"/>
                </c:ext>
              </c:extLst>
            </c:dLbl>
            <c:dLbl>
              <c:idx val="1"/>
              <c:tx>
                <c:strRef>
                  <c:f>Sheet8!$G$32</c:f>
                  <c:strCache>
                    <c:ptCount val="1"/>
                    <c:pt idx="0">
                      <c:v>2 - Revision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{152AA890-C850-E44B-AC7D-E3D80C92628F}</c15:txfldGUID>
                      <c15:f>Sheet8!$G$32</c15:f>
                      <c15:dlblFieldTableCache>
                        <c:ptCount val="1"/>
                        <c:pt idx="0">
                          <c:v>2 - Revision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DDC-1E4A-B5E5-026D2A51F344}"/>
                </c:ext>
              </c:extLst>
            </c:dLbl>
            <c:dLbl>
              <c:idx val="2"/>
              <c:tx>
                <c:strRef>
                  <c:f>Sheet8!$G$33</c:f>
                  <c:strCache>
                    <c:ptCount val="1"/>
                    <c:pt idx="0">
                      <c:v>3 - Funding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{A9D7AD37-585A-C345-9730-DA75219C0579}</c15:txfldGUID>
                      <c15:f>Sheet8!$G$33</c15:f>
                      <c15:dlblFieldTableCache>
                        <c:ptCount val="1"/>
                        <c:pt idx="0">
                          <c:v>3 - Funding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DDC-1E4A-B5E5-026D2A51F344}"/>
                </c:ext>
              </c:extLst>
            </c:dLbl>
            <c:dLbl>
              <c:idx val="3"/>
              <c:tx>
                <c:strRef>
                  <c:f>Sheet8!$G$34</c:f>
                  <c:strCache>
                    <c:ptCount val="1"/>
                    <c:pt idx="0">
                      <c:v>4 - Startup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{D3005897-32F2-314D-B4C4-B895CA30F562}</c15:txfldGUID>
                      <c15:f>Sheet8!$G$34</c15:f>
                      <c15:dlblFieldTableCache>
                        <c:ptCount val="1"/>
                        <c:pt idx="0">
                          <c:v>4 - Startup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DDC-1E4A-B5E5-026D2A51F344}"/>
                </c:ext>
              </c:extLst>
            </c:dLbl>
            <c:dLbl>
              <c:idx val="4"/>
              <c:tx>
                <c:strRef>
                  <c:f>Sheet8!$G$35</c:f>
                  <c:strCache>
                    <c:ptCount val="1"/>
                    <c:pt idx="0">
                      <c:v>5 - Test &amp; Refine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{19322EDE-C6EF-9743-BC23-1F8FD9B627D2}</c15:txfldGUID>
                      <c15:f>Sheet8!$G$35</c15:f>
                      <c15:dlblFieldTableCache>
                        <c:ptCount val="1"/>
                        <c:pt idx="0">
                          <c:v>5 - Test &amp; Refine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DDC-1E4A-B5E5-026D2A51F344}"/>
                </c:ext>
              </c:extLst>
            </c:dLbl>
            <c:dLbl>
              <c:idx val="5"/>
              <c:tx>
                <c:strRef>
                  <c:f>Sheet8!$G$36</c:f>
                  <c:strCache>
                    <c:ptCount val="1"/>
                    <c:pt idx="0">
                      <c:v>6 - Scale Up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{4954AAAF-A8F9-0140-BAE7-EC23B898F8BA}</c15:txfldGUID>
                      <c15:f>Sheet8!$G$36</c15:f>
                      <c15:dlblFieldTableCache>
                        <c:ptCount val="1"/>
                        <c:pt idx="0">
                          <c:v>6 - Scale Up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DDC-1E4A-B5E5-026D2A51F344}"/>
                </c:ext>
              </c:extLst>
            </c:dLbl>
            <c:dLbl>
              <c:idx val="6"/>
              <c:tx>
                <c:strRef>
                  <c:f>Sheet8!$G$37</c:f>
                  <c:strCache>
                    <c:ptCount val="1"/>
                    <c:pt idx="0">
                      <c:v>7 - Diversify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{714C5D05-AF71-1B47-B346-8B2FBFE26C05}</c15:txfldGUID>
                      <c15:f>Sheet8!$G$37</c15:f>
                      <c15:dlblFieldTableCache>
                        <c:ptCount val="1"/>
                        <c:pt idx="0">
                          <c:v>7 - Diversify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DDC-1E4A-B5E5-026D2A51F344}"/>
                </c:ext>
              </c:extLst>
            </c:dLbl>
            <c:dLbl>
              <c:idx val="7"/>
              <c:tx>
                <c:strRef>
                  <c:f>Sheet8!$G$38</c:f>
                  <c:strCache>
                    <c:ptCount val="1"/>
                    <c:pt idx="0">
                      <c:v>8 - Grow</c:v>
                    </c:pt>
                  </c:strCache>
                </c:strRef>
              </c:tx>
              <c:spPr/>
              <c:txPr>
                <a:bodyPr rot="0" vert="horz"/>
                <a:lstStyle/>
                <a:p>
                  <a:pPr>
                    <a:defRPr sz="2000">
                      <a:solidFill>
                        <a:srgbClr val="660066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{90FF88ED-4362-3747-A116-23F716C9CF82}</c15:txfldGUID>
                      <c15:f>Sheet8!$G$38</c15:f>
                      <c15:dlblFieldTableCache>
                        <c:ptCount val="1"/>
                        <c:pt idx="0">
                          <c:v>8 - Grow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DDC-1E4A-B5E5-026D2A51F344}"/>
                </c:ext>
              </c:extLst>
            </c:dLbl>
            <c:dLbl>
              <c:idx val="8"/>
              <c:layout>
                <c:manualLayout>
                  <c:x val="-3.0267753201397098E-2"/>
                  <c:y val="-3.0042918454935601E-2"/>
                </c:manualLayout>
              </c:layout>
              <c:tx>
                <c:strRef>
                  <c:f>Sheet8!#REF!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{0F544B18-4702-C84D-9865-FD97EFE2CB70}</c15:txfldGUID>
                      <c15:f>Sheet8!#REF!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DDC-1E4A-B5E5-026D2A51F344}"/>
                </c:ext>
              </c:extLst>
            </c:dLbl>
            <c:dLbl>
              <c:idx val="9"/>
              <c:tx>
                <c:strRef>
                  <c:f>Sheet8!#REF!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{9B5BB7F9-36AB-8E4C-8A1D-94F315B72739}</c15:txfldGUID>
                      <c15:f>Sheet8!#REF!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DDC-1E4A-B5E5-026D2A51F3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</c:errBars>
          <c:errBars>
            <c:errDir val="x"/>
            <c:errBarType val="plus"/>
            <c:errValType val="cust"/>
            <c:noEndCap val="0"/>
            <c:plus>
              <c:numRef>
                <c:f>Sheet8!$H$31:$H$38</c:f>
                <c:numCache>
                  <c:formatCode>General</c:formatCode>
                  <c:ptCount val="8"/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Sheet8!$F$31:$F$38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14</c:v>
                </c:pt>
              </c:numCache>
            </c:numRef>
          </c:xVal>
          <c:yVal>
            <c:numRef>
              <c:f>Sheet8!$E$31:$E$38</c:f>
              <c:numCache>
                <c:formatCode>General</c:formatCode>
                <c:ptCount val="8"/>
                <c:pt idx="0">
                  <c:v>50</c:v>
                </c:pt>
                <c:pt idx="1">
                  <c:v>-75</c:v>
                </c:pt>
                <c:pt idx="2">
                  <c:v>-40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-75</c:v>
                </c:pt>
                <c:pt idx="7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DC-1E4A-B5E5-026D2A51F34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2093720648"/>
        <c:axId val="2093759112"/>
      </c:scatterChart>
      <c:valAx>
        <c:axId val="2093720648"/>
        <c:scaling>
          <c:orientation val="minMax"/>
          <c:min val="-2"/>
        </c:scaling>
        <c:delete val="0"/>
        <c:axPos val="b"/>
        <c:numFmt formatCode="General" sourceLinked="0"/>
        <c:majorTickMark val="none"/>
        <c:minorTickMark val="none"/>
        <c:tickLblPos val="none"/>
        <c:crossAx val="2093759112"/>
        <c:crosses val="autoZero"/>
        <c:crossBetween val="midCat"/>
      </c:valAx>
      <c:valAx>
        <c:axId val="2093759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372064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/>
              <a:t>% Change in funding</a:t>
            </a:r>
            <a:r>
              <a:rPr lang="en-US" baseline="0" dirty="0"/>
              <a:t> vs. charges filed by individuals</a:t>
            </a:r>
            <a:endParaRPr lang="en-US" dirty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[1]Sheet7!$C$25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[1]Sheet7!$B$26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[1]Sheet7!$C$26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6-C647-BFA9-1C208C86BAD7}"/>
            </c:ext>
          </c:extLst>
        </c:ser>
        <c:ser>
          <c:idx val="1"/>
          <c:order val="1"/>
          <c:tx>
            <c:strRef>
              <c:f>[1]Sheet7!$D$25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[1]Sheet7!$B$26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[1]Sheet7!$D$26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6-C647-BFA9-1C208C86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04088"/>
        <c:axId val="2113229128"/>
      </c:barChart>
      <c:catAx>
        <c:axId val="214720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29128"/>
        <c:crosses val="autoZero"/>
        <c:auto val="1"/>
        <c:lblAlgn val="ctr"/>
        <c:lblOffset val="100"/>
        <c:noMultiLvlLbl val="0"/>
      </c:catAx>
      <c:valAx>
        <c:axId val="2113229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7204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70560490730298"/>
          <c:y val="0.30988741161467198"/>
          <c:w val="0.122294395092697"/>
          <c:h val="0.132970372264765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Startup Estimate</a:t>
            </a:r>
          </a:p>
          <a:p>
            <a:pPr>
              <a:defRPr sz="1400"/>
            </a:pPr>
            <a:r>
              <a:rPr lang="en-US" sz="1400"/>
              <a:t>(6</a:t>
            </a:r>
            <a:r>
              <a:rPr lang="en-US" sz="1400" baseline="0"/>
              <a:t> Months)</a:t>
            </a:r>
            <a:endParaRPr lang="en-US" sz="1400"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111111111111101E-2"/>
          <c:y val="2.3420565076424298E-2"/>
          <c:w val="0.96388888888888902"/>
          <c:h val="0.97657943492357602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8.7695508854160997E-2"/>
                  <c:y val="-0.26725827929597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34-DA4F-A3AC-C4DD915385D5}"/>
                </c:ext>
              </c:extLst>
            </c:dLbl>
            <c:dLbl>
              <c:idx val="1"/>
              <c:layout>
                <c:manualLayout>
                  <c:x val="0.144639763779528"/>
                  <c:y val="-0.12121828521434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34-DA4F-A3AC-C4DD915385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Dashboard!$B$34:$B$35</c:f>
              <c:strCache>
                <c:ptCount val="2"/>
                <c:pt idx="0">
                  <c:v>Capitalizable</c:v>
                </c:pt>
                <c:pt idx="1">
                  <c:v>Discretionary</c:v>
                </c:pt>
              </c:strCache>
            </c:strRef>
          </c:cat>
          <c:val>
            <c:numRef>
              <c:f>Dashboard!$C$34:$C$35</c:f>
              <c:numCache>
                <c:formatCode>"$"#,##0</c:formatCode>
                <c:ptCount val="2"/>
                <c:pt idx="0">
                  <c:v>157000</c:v>
                </c:pt>
                <c:pt idx="1">
                  <c:v>132600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4-DA4F-A3AC-C4DD9153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39546828521434801"/>
          <c:y val="0.76563611840186596"/>
          <c:w val="0.22428766988271101"/>
          <c:h val="0.160184476940381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 anchor="t"/>
          <a:lstStyle/>
          <a:p>
            <a:pPr algn="l">
              <a:defRPr sz="1400" b="1"/>
            </a:pPr>
            <a:r>
              <a:rPr lang="en-US" sz="1200" b="1"/>
              <a:t>Estimated Total Number of L-T</a:t>
            </a:r>
            <a:r>
              <a:rPr lang="en-US" sz="1200" b="1" baseline="0"/>
              <a:t> Unemployed Individuals Served</a:t>
            </a:r>
            <a:endParaRPr lang="en-US" sz="1200" b="1"/>
          </a:p>
        </c:rich>
      </c:tx>
      <c:layout>
        <c:manualLayout>
          <c:xMode val="edge"/>
          <c:yMode val="edge"/>
          <c:x val="0.19627912251709301"/>
          <c:y val="1.879433881054259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Dashboard!$E$3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Dashboard!$E$4:$E$8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3-6B48-BC23-83C2DBC58DED}"/>
            </c:ext>
          </c:extLst>
        </c:ser>
        <c:ser>
          <c:idx val="1"/>
          <c:order val="1"/>
          <c:tx>
            <c:strRef>
              <c:f>Dashboard!$J$3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Dashboard!$J$4:$J$8</c:f>
              <c:numCache>
                <c:formatCode>_(* #,##0_);_(* \(#,##0\);_(* "-"??_);_(@_)</c:formatCode>
                <c:ptCount val="5"/>
                <c:pt idx="0">
                  <c:v>160</c:v>
                </c:pt>
                <c:pt idx="1">
                  <c:v>1275</c:v>
                </c:pt>
                <c:pt idx="2">
                  <c:v>15930.249234596249</c:v>
                </c:pt>
                <c:pt idx="3">
                  <c:v>28608.438863058866</c:v>
                </c:pt>
                <c:pt idx="4">
                  <c:v>51376.645909841631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3-6B48-BC23-83C2DBC5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3078328"/>
        <c:axId val="2093072840"/>
      </c:barChart>
      <c:catAx>
        <c:axId val="209307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93072840"/>
        <c:crosses val="autoZero"/>
        <c:auto val="1"/>
        <c:lblAlgn val="ctr"/>
        <c:lblOffset val="100"/>
        <c:noMultiLvlLbl val="0"/>
      </c:catAx>
      <c:valAx>
        <c:axId val="209307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Long-Term Unemployed Participation</a:t>
                </a:r>
              </a:p>
            </c:rich>
          </c:tx>
          <c:layout>
            <c:manualLayout>
              <c:xMode val="edge"/>
              <c:yMode val="edge"/>
              <c:x val="1.9867549668874201E-2"/>
              <c:y val="0.14630630630630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307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Gross Earnings</a:t>
            </a:r>
            <a:r>
              <a:rPr lang="en-US" sz="1200" baseline="0"/>
              <a:t> of Misfits Re-entering the Workforce</a:t>
            </a:r>
          </a:p>
          <a:p>
            <a:pPr>
              <a:defRPr sz="1200"/>
            </a:pPr>
            <a:r>
              <a:rPr lang="en-US" sz="1200" baseline="0"/>
              <a:t>($ in Millions)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Dashboard!$J$15:$J$19</c:f>
              <c:numCache>
                <c:formatCode>"$"#,##0</c:formatCode>
                <c:ptCount val="5"/>
                <c:pt idx="0">
                  <c:v>3350333.333333333</c:v>
                </c:pt>
                <c:pt idx="1">
                  <c:v>23324875</c:v>
                </c:pt>
                <c:pt idx="2">
                  <c:v>469149690.78246576</c:v>
                </c:pt>
                <c:pt idx="3">
                  <c:v>969564551.83667779</c:v>
                </c:pt>
                <c:pt idx="4">
                  <c:v>1741198633.9027095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0-AD45-AEDC-E90DC67A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43384"/>
        <c:axId val="2093040392"/>
      </c:barChart>
      <c:catAx>
        <c:axId val="20930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40392"/>
        <c:crosses val="autoZero"/>
        <c:auto val="1"/>
        <c:lblAlgn val="ctr"/>
        <c:lblOffset val="100"/>
        <c:noMultiLvlLbl val="0"/>
      </c:catAx>
      <c:valAx>
        <c:axId val="2093040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noFill/>
          </a:ln>
        </c:spPr>
        <c:crossAx val="2093043384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Fees Earned</a:t>
            </a:r>
          </a:p>
          <a:p>
            <a:pPr>
              <a:defRPr sz="1100"/>
            </a:pPr>
            <a:r>
              <a:rPr lang="en-US" sz="1100"/>
              <a:t>($</a:t>
            </a:r>
            <a:r>
              <a:rPr lang="en-US" sz="1100" baseline="0"/>
              <a:t> in Millions)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Dashboard!$F$27</c:f>
              <c:strCache>
                <c:ptCount val="1"/>
                <c:pt idx="0">
                  <c:v>Fees Earned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Dashboard!$F$28:$F$32</c:f>
              <c:numCache>
                <c:formatCode>"$"#,##0_);\("$"#,##0\)</c:formatCode>
                <c:ptCount val="5"/>
                <c:pt idx="0">
                  <c:v>159466.66666666669</c:v>
                </c:pt>
                <c:pt idx="1">
                  <c:v>1110200</c:v>
                </c:pt>
                <c:pt idx="2">
                  <c:v>22330236.998341624</c:v>
                </c:pt>
                <c:pt idx="3">
                  <c:v>46148610.247603893</c:v>
                </c:pt>
                <c:pt idx="4">
                  <c:v>82876273.650289148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B46-B2A8-5A3FCDA3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02808"/>
        <c:axId val="2092997320"/>
      </c:barChart>
      <c:catAx>
        <c:axId val="20930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997320"/>
        <c:crosses val="autoZero"/>
        <c:auto val="1"/>
        <c:lblAlgn val="ctr"/>
        <c:lblOffset val="100"/>
        <c:noMultiLvlLbl val="0"/>
      </c:catAx>
      <c:valAx>
        <c:axId val="2092997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crossAx val="2093002808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Gross Margin</a:t>
            </a:r>
          </a:p>
          <a:p>
            <a:pPr>
              <a:defRPr sz="1050"/>
            </a:pPr>
            <a:r>
              <a:rPr lang="en-US" sz="1050"/>
              <a:t>($ in Millions)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Dashboard!$G$27</c:f>
              <c:strCache>
                <c:ptCount val="1"/>
                <c:pt idx="0">
                  <c:v>Gross Margin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Dashboard!$G$28:$G$32</c:f>
              <c:numCache>
                <c:formatCode>"$"#,##0_);\("$"#,##0\)</c:formatCode>
                <c:ptCount val="5"/>
                <c:pt idx="0">
                  <c:v>-371333.33333333326</c:v>
                </c:pt>
                <c:pt idx="1">
                  <c:v>579400</c:v>
                </c:pt>
                <c:pt idx="2">
                  <c:v>18381236.998341624</c:v>
                </c:pt>
                <c:pt idx="3">
                  <c:v>42199610.247603893</c:v>
                </c:pt>
                <c:pt idx="4">
                  <c:v>78927273.650289148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1-2744-AABB-EE67B2CD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61512"/>
        <c:axId val="2095448184"/>
      </c:barChart>
      <c:catAx>
        <c:axId val="209296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5448184"/>
        <c:crosses val="autoZero"/>
        <c:auto val="1"/>
        <c:lblAlgn val="ctr"/>
        <c:lblOffset val="100"/>
        <c:noMultiLvlLbl val="0"/>
      </c:catAx>
      <c:valAx>
        <c:axId val="2095448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crossAx val="2092961512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Operating Margin</a:t>
            </a:r>
          </a:p>
          <a:p>
            <a:pPr>
              <a:defRPr sz="1000"/>
            </a:pPr>
            <a:r>
              <a:rPr lang="en-US" sz="1000"/>
              <a:t>($in</a:t>
            </a:r>
            <a:r>
              <a:rPr lang="en-US" sz="1000" baseline="0"/>
              <a:t> Millions)</a:t>
            </a:r>
            <a:endParaRPr lang="en-US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Dashboard!$H$27</c:f>
              <c:strCache>
                <c:ptCount val="1"/>
                <c:pt idx="0">
                  <c:v>Operating Margin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Dashboard!$H$28:$H$32</c:f>
              <c:numCache>
                <c:formatCode>"$"#,##0_);\("$"#,##0\)</c:formatCode>
                <c:ptCount val="5"/>
                <c:pt idx="0">
                  <c:v>-1050133.3333333333</c:v>
                </c:pt>
                <c:pt idx="1">
                  <c:v>-105400</c:v>
                </c:pt>
                <c:pt idx="2">
                  <c:v>14594636.998341624</c:v>
                </c:pt>
                <c:pt idx="3">
                  <c:v>38407010.247603893</c:v>
                </c:pt>
                <c:pt idx="4">
                  <c:v>75128673.650289148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C54E-83CB-19FF7211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485768"/>
        <c:axId val="2095491240"/>
      </c:barChart>
      <c:catAx>
        <c:axId val="209548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5491240"/>
        <c:crosses val="autoZero"/>
        <c:auto val="1"/>
        <c:lblAlgn val="ctr"/>
        <c:lblOffset val="100"/>
        <c:noMultiLvlLbl val="0"/>
      </c:catAx>
      <c:valAx>
        <c:axId val="2095491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spPr>
          <a:ln>
            <a:noFill/>
          </a:ln>
        </c:spPr>
        <c:crossAx val="2095485768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Startup Estimate</a:t>
            </a:r>
          </a:p>
          <a:p>
            <a:pPr>
              <a:defRPr sz="1200"/>
            </a:pPr>
            <a:r>
              <a:rPr lang="en-US" sz="1200"/>
              <a:t>(6 Months)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Dashboard!$B$20</c:f>
              <c:strCache>
                <c:ptCount val="1"/>
                <c:pt idx="0">
                  <c:v>Filings</c:v>
                </c:pt>
              </c:strCache>
            </c:strRef>
          </c:tx>
          <c:invertIfNegative val="0"/>
          <c:val>
            <c:numRef>
              <c:f>Dashboard!$C$20</c:f>
              <c:numCache>
                <c:formatCode>"$"#,##0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A-3F44-8A31-155F7A8F58D7}"/>
            </c:ext>
          </c:extLst>
        </c:ser>
        <c:ser>
          <c:idx val="1"/>
          <c:order val="1"/>
          <c:tx>
            <c:strRef>
              <c:f>Dashboard!$B$21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val>
            <c:numRef>
              <c:f>Dashboard!$C$21</c:f>
              <c:numCache>
                <c:formatCode>"$"#,##0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A-3F44-8A31-155F7A8F58D7}"/>
            </c:ext>
          </c:extLst>
        </c:ser>
        <c:ser>
          <c:idx val="2"/>
          <c:order val="2"/>
          <c:tx>
            <c:strRef>
              <c:f>Dashboard!$B$22</c:f>
              <c:strCache>
                <c:ptCount val="1"/>
                <c:pt idx="0">
                  <c:v>Webapp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68508287292818"/>
                  <c:y val="1.5355086372360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2A-3F44-8A31-155F7A8F5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Dashboard!$C$22</c:f>
              <c:numCache>
                <c:formatCode>"$"#,##0</c:formatCode>
                <c:ptCount val="1"/>
                <c:pt idx="0">
                  <c:v>136500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A-3F44-8A31-155F7A8F58D7}"/>
            </c:ext>
          </c:extLst>
        </c:ser>
        <c:ser>
          <c:idx val="3"/>
          <c:order val="3"/>
          <c:tx>
            <c:strRef>
              <c:f>Dashboard!$B$23</c:f>
              <c:strCache>
                <c:ptCount val="1"/>
                <c:pt idx="0">
                  <c:v>Content Development</c:v>
                </c:pt>
              </c:strCache>
            </c:strRef>
          </c:tx>
          <c:invertIfNegative val="0"/>
          <c:val>
            <c:numRef>
              <c:f>Dashboard!$C$23</c:f>
              <c:numCache>
                <c:formatCode>"$"#,##0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A-3F44-8A31-155F7A8F58D7}"/>
            </c:ext>
          </c:extLst>
        </c:ser>
        <c:ser>
          <c:idx val="4"/>
          <c:order val="4"/>
          <c:tx>
            <c:strRef>
              <c:f>Dashboard!$B$24</c:f>
              <c:strCache>
                <c:ptCount val="1"/>
                <c:pt idx="0">
                  <c:v>Office supplies</c:v>
                </c:pt>
              </c:strCache>
            </c:strRef>
          </c:tx>
          <c:invertIfNegative val="0"/>
          <c:val>
            <c:numRef>
              <c:f>Dashboard!$C$24</c:f>
              <c:numCache>
                <c:formatCode>"$"#,##0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A-3F44-8A31-155F7A8F58D7}"/>
            </c:ext>
          </c:extLst>
        </c:ser>
        <c:ser>
          <c:idx val="5"/>
          <c:order val="5"/>
          <c:tx>
            <c:strRef>
              <c:f>Dashboard!$B$25</c:f>
              <c:strCache>
                <c:ptCount val="1"/>
                <c:pt idx="0">
                  <c:v>Office space</c:v>
                </c:pt>
              </c:strCache>
            </c:strRef>
          </c:tx>
          <c:invertIfNegative val="0"/>
          <c:val>
            <c:numRef>
              <c:f>Dashboard!$C$25</c:f>
              <c:numCache>
                <c:formatCode>"$"#,##0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A-3F44-8A31-155F7A8F58D7}"/>
            </c:ext>
          </c:extLst>
        </c:ser>
        <c:ser>
          <c:idx val="6"/>
          <c:order val="6"/>
          <c:tx>
            <c:strRef>
              <c:f>Dashboard!$B$26</c:f>
              <c:strCache>
                <c:ptCount val="1"/>
                <c:pt idx="0">
                  <c:v>Research &amp; Consultants</c:v>
                </c:pt>
              </c:strCache>
            </c:strRef>
          </c:tx>
          <c:invertIfNegative val="0"/>
          <c:val>
            <c:numRef>
              <c:f>Dashboard!$C$26</c:f>
              <c:numCache>
                <c:formatCode>"$"#,##0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2A-3F44-8A31-155F7A8F58D7}"/>
            </c:ext>
          </c:extLst>
        </c:ser>
        <c:ser>
          <c:idx val="7"/>
          <c:order val="7"/>
          <c:tx>
            <c:strRef>
              <c:f>Dashboard!$B$27</c:f>
              <c:strCache>
                <c:ptCount val="1"/>
                <c:pt idx="0">
                  <c:v>T&amp;E</c:v>
                </c:pt>
              </c:strCache>
            </c:strRef>
          </c:tx>
          <c:invertIfNegative val="0"/>
          <c:val>
            <c:numRef>
              <c:f>Dashboard!$C$27</c:f>
              <c:numCache>
                <c:formatCode>"$"#,##0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2A-3F44-8A31-155F7A8F58D7}"/>
            </c:ext>
          </c:extLst>
        </c:ser>
        <c:ser>
          <c:idx val="8"/>
          <c:order val="8"/>
          <c:tx>
            <c:strRef>
              <c:f>Dashboard!$B$28</c:f>
              <c:strCache>
                <c:ptCount val="1"/>
                <c:pt idx="0">
                  <c:v>Software licenses</c:v>
                </c:pt>
              </c:strCache>
            </c:strRef>
          </c:tx>
          <c:invertIfNegative val="0"/>
          <c:val>
            <c:numRef>
              <c:f>Dashboard!$C$28</c:f>
              <c:numCache>
                <c:formatCode>"$"#,##0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2A-3F44-8A31-155F7A8F58D7}"/>
            </c:ext>
          </c:extLst>
        </c:ser>
        <c:ser>
          <c:idx val="9"/>
          <c:order val="9"/>
          <c:tx>
            <c:strRef>
              <c:f>Dashboard!$B$29</c:f>
              <c:strCache>
                <c:ptCount val="1"/>
                <c:pt idx="0">
                  <c:v>Miscellaneous / Incidentals</c:v>
                </c:pt>
              </c:strCache>
            </c:strRef>
          </c:tx>
          <c:invertIfNegative val="0"/>
          <c:val>
            <c:numRef>
              <c:f>Dashboard!$C$29</c:f>
              <c:numCache>
                <c:formatCode>"$"#,##0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2A-3F44-8A31-155F7A8F58D7}"/>
            </c:ext>
          </c:extLst>
        </c:ser>
        <c:ser>
          <c:idx val="10"/>
          <c:order val="10"/>
          <c:tx>
            <c:strRef>
              <c:f>Dashboard!$B$30</c:f>
              <c:strCache>
                <c:ptCount val="1"/>
                <c:pt idx="0">
                  <c:v>Salaries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68508287292818"/>
                  <c:y val="-1.9193857965450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2A-3F44-8A31-155F7A8F5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Dashboard!$C$30</c:f>
              <c:numCache>
                <c:formatCode>"$"#,##0</c:formatCode>
                <c:ptCount val="1"/>
                <c:pt idx="0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2A-3F44-8A31-155F7A8F58D7}"/>
            </c:ext>
          </c:extLst>
        </c:ser>
        <c:ser>
          <c:idx val="11"/>
          <c:order val="11"/>
          <c:tx>
            <c:strRef>
              <c:f>Dashboard!$B$31</c:f>
              <c:strCache>
                <c:ptCount val="1"/>
                <c:pt idx="0">
                  <c:v>Communication</c:v>
                </c:pt>
              </c:strCache>
            </c:strRef>
          </c:tx>
          <c:invertIfNegative val="0"/>
          <c:val>
            <c:numRef>
              <c:f>Dashboard!$C$31</c:f>
              <c:numCache>
                <c:formatCode>"$"#,##0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2A-3F44-8A31-155F7A8F58D7}"/>
            </c:ext>
          </c:extLst>
        </c:ser>
        <c:ser>
          <c:idx val="12"/>
          <c:order val="12"/>
          <c:tx>
            <c:strRef>
              <c:f>Dashboard!$B$32</c:f>
              <c:strCache>
                <c:ptCount val="1"/>
                <c:pt idx="0">
                  <c:v>Utilities</c:v>
                </c:pt>
              </c:strCache>
            </c:strRef>
          </c:tx>
          <c:invertIfNegative val="0"/>
          <c:val>
            <c:numRef>
              <c:f>Dashboard!$C$32</c:f>
              <c:numCache>
                <c:formatCode>"$"#,##0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2A-3F44-8A31-155F7A8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570184"/>
        <c:axId val="2095573128"/>
      </c:barChart>
      <c:catAx>
        <c:axId val="2095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573128"/>
        <c:crosses val="autoZero"/>
        <c:auto val="0"/>
        <c:lblAlgn val="ctr"/>
        <c:lblOffset val="100"/>
        <c:noMultiLvlLbl val="0"/>
      </c:catAx>
      <c:valAx>
        <c:axId val="2095573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1"/>
        <c:majorTickMark val="out"/>
        <c:minorTickMark val="none"/>
        <c:tickLblPos val="nextTo"/>
        <c:crossAx val="2095570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90328916762898"/>
          <c:y val="0"/>
          <c:w val="0.31559124037285302"/>
          <c:h val="0.99410638418399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326214401565699E-2"/>
          <c:y val="2.57731958762887E-2"/>
          <c:w val="0.96254034413707501"/>
          <c:h val="0.932989690721648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0"/>
              <c:layout>
                <c:manualLayout>
                  <c:x val="-4.0450349701630701E-2"/>
                  <c:y val="-4.6391808320097302E-2"/>
                </c:manualLayout>
              </c:layout>
              <c:tx>
                <c:strRef>
                  <c:f>Sheet8!$G$31</c:f>
                  <c:strCache>
                    <c:ptCount val="1"/>
                    <c:pt idx="0">
                      <c:v>1 - Proposal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{B8205446-A042-0B41-BD08-898E9A2E87C8}</c15:txfldGUID>
                      <c15:f>Sheet8!$G$31</c15:f>
                      <c15:dlblFieldTableCache>
                        <c:ptCount val="1"/>
                        <c:pt idx="0">
                          <c:v>1 - Proposal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A98-1944-8907-798CB1F45C99}"/>
                </c:ext>
              </c:extLst>
            </c:dLbl>
            <c:dLbl>
              <c:idx val="1"/>
              <c:tx>
                <c:strRef>
                  <c:f>Sheet8!$G$32</c:f>
                  <c:strCache>
                    <c:ptCount val="1"/>
                    <c:pt idx="0">
                      <c:v>2 - Revision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{1F1379C0-1F99-3646-82C8-0E2DFCA54F23}</c15:txfldGUID>
                      <c15:f>Sheet8!$G$32</c15:f>
                      <c15:dlblFieldTableCache>
                        <c:ptCount val="1"/>
                        <c:pt idx="0">
                          <c:v>2 - Revision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A98-1944-8907-798CB1F45C99}"/>
                </c:ext>
              </c:extLst>
            </c:dLbl>
            <c:dLbl>
              <c:idx val="2"/>
              <c:tx>
                <c:strRef>
                  <c:f>Sheet8!$G$33</c:f>
                  <c:strCache>
                    <c:ptCount val="1"/>
                    <c:pt idx="0">
                      <c:v>3 - Funding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{B140C77E-5529-8642-97F5-9B50AF6DCFBE}</c15:txfldGUID>
                      <c15:f>Sheet8!$G$33</c15:f>
                      <c15:dlblFieldTableCache>
                        <c:ptCount val="1"/>
                        <c:pt idx="0">
                          <c:v>3 - Funding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A98-1944-8907-798CB1F45C99}"/>
                </c:ext>
              </c:extLst>
            </c:dLbl>
            <c:dLbl>
              <c:idx val="3"/>
              <c:tx>
                <c:strRef>
                  <c:f>Sheet8!$G$34</c:f>
                  <c:strCache>
                    <c:ptCount val="1"/>
                    <c:pt idx="0">
                      <c:v>4 - Startup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{AC580566-65A9-3D45-86AE-DE0CB8497FCA}</c15:txfldGUID>
                      <c15:f>Sheet8!$G$34</c15:f>
                      <c15:dlblFieldTableCache>
                        <c:ptCount val="1"/>
                        <c:pt idx="0">
                          <c:v>4 - Startup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A98-1944-8907-798CB1F45C99}"/>
                </c:ext>
              </c:extLst>
            </c:dLbl>
            <c:dLbl>
              <c:idx val="4"/>
              <c:tx>
                <c:strRef>
                  <c:f>Sheet8!$G$35</c:f>
                  <c:strCache>
                    <c:ptCount val="1"/>
                    <c:pt idx="0">
                      <c:v>5 - Test &amp; Refine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{853FC036-66DF-BF43-BF15-058FE984E8CD}</c15:txfldGUID>
                      <c15:f>Sheet8!$G$35</c15:f>
                      <c15:dlblFieldTableCache>
                        <c:ptCount val="1"/>
                        <c:pt idx="0">
                          <c:v>5 - Test &amp; Refine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A98-1944-8907-798CB1F45C99}"/>
                </c:ext>
              </c:extLst>
            </c:dLbl>
            <c:dLbl>
              <c:idx val="5"/>
              <c:tx>
                <c:strRef>
                  <c:f>Sheet8!$G$36</c:f>
                  <c:strCache>
                    <c:ptCount val="1"/>
                    <c:pt idx="0">
                      <c:v>6 - Scale Up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{C6AE8B8C-AB10-F041-AA0A-1E543D16693A}</c15:txfldGUID>
                      <c15:f>Sheet8!$G$36</c15:f>
                      <c15:dlblFieldTableCache>
                        <c:ptCount val="1"/>
                        <c:pt idx="0">
                          <c:v>6 - Scale Up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A98-1944-8907-798CB1F45C99}"/>
                </c:ext>
              </c:extLst>
            </c:dLbl>
            <c:dLbl>
              <c:idx val="6"/>
              <c:tx>
                <c:strRef>
                  <c:f>Sheet8!$G$37</c:f>
                  <c:strCache>
                    <c:ptCount val="1"/>
                    <c:pt idx="0">
                      <c:v>7 - Diversify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{3CB8FBF3-596D-2B43-8462-A55200945215}</c15:txfldGUID>
                      <c15:f>Sheet8!$G$37</c15:f>
                      <c15:dlblFieldTableCache>
                        <c:ptCount val="1"/>
                        <c:pt idx="0">
                          <c:v>7 - Diversify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A98-1944-8907-798CB1F45C99}"/>
                </c:ext>
              </c:extLst>
            </c:dLbl>
            <c:dLbl>
              <c:idx val="7"/>
              <c:tx>
                <c:strRef>
                  <c:f>Sheet8!$G$38</c:f>
                  <c:strCache>
                    <c:ptCount val="1"/>
                    <c:pt idx="0">
                      <c:v>8 - Grow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{89A82C5C-E30E-8A4C-BAB2-8216AD9D97F1}</c15:txfldGUID>
                      <c15:f>Sheet8!$G$38</c15:f>
                      <c15:dlblFieldTableCache>
                        <c:ptCount val="1"/>
                        <c:pt idx="0">
                          <c:v>8 - Grow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A98-1944-8907-798CB1F45C99}"/>
                </c:ext>
              </c:extLst>
            </c:dLbl>
            <c:dLbl>
              <c:idx val="8"/>
              <c:layout>
                <c:manualLayout>
                  <c:x val="-3.0267753201397098E-2"/>
                  <c:y val="-3.0042918454935601E-2"/>
                </c:manualLayout>
              </c:layout>
              <c:tx>
                <c:strRef>
                  <c:f>Sheet8!#REF!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{257353DF-F8FA-CE4F-A738-F22F53AB32AE}</c15:txfldGUID>
                      <c15:f>Sheet8!#REF!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A98-1944-8907-798CB1F45C99}"/>
                </c:ext>
              </c:extLst>
            </c:dLbl>
            <c:dLbl>
              <c:idx val="9"/>
              <c:tx>
                <c:strRef>
                  <c:f>Sheet8!#REF!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{44F78732-31DD-D84B-8065-17736DE7C547}</c15:txfldGUID>
                      <c15:f>Sheet8!#REF!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A98-1944-8907-798CB1F45C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</c:errBars>
          <c:errBars>
            <c:errDir val="x"/>
            <c:errBarType val="plus"/>
            <c:errValType val="cust"/>
            <c:noEndCap val="0"/>
            <c:plus>
              <c:numRef>
                <c:f>Sheet8!$H$31:$H$38</c:f>
                <c:numCache>
                  <c:formatCode>General</c:formatCode>
                  <c:ptCount val="8"/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Sheet8!$F$31:$F$38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14</c:v>
                </c:pt>
              </c:numCache>
            </c:numRef>
          </c:xVal>
          <c:yVal>
            <c:numRef>
              <c:f>Sheet8!$E$31:$E$38</c:f>
              <c:numCache>
                <c:formatCode>General</c:formatCode>
                <c:ptCount val="8"/>
                <c:pt idx="0">
                  <c:v>50</c:v>
                </c:pt>
                <c:pt idx="1">
                  <c:v>-75</c:v>
                </c:pt>
                <c:pt idx="2">
                  <c:v>-40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-75</c:v>
                </c:pt>
                <c:pt idx="7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98-1944-8907-798CB1F45C9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2096375624"/>
        <c:axId val="2096372632"/>
      </c:scatterChart>
      <c:valAx>
        <c:axId val="2096375624"/>
        <c:scaling>
          <c:orientation val="minMax"/>
          <c:min val="-2"/>
        </c:scaling>
        <c:delete val="0"/>
        <c:axPos val="b"/>
        <c:numFmt formatCode="General" sourceLinked="0"/>
        <c:majorTickMark val="none"/>
        <c:minorTickMark val="none"/>
        <c:tickLblPos val="none"/>
        <c:crossAx val="2096372632"/>
        <c:crosses val="autoZero"/>
        <c:crossBetween val="midCat"/>
      </c:valAx>
      <c:valAx>
        <c:axId val="2096372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6375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8A8C965-1CE9-444A-B0B9-EDCE4B15B8B8}" type="doc">
      <dgm:prSet loTypeId="urn:microsoft.com/office/officeart/2005/8/layout/venn1" loCatId="" qsTypeId="urn:microsoft.com/office/officeart/2005/8/quickstyle/simple4" qsCatId="simple" csTypeId="urn:microsoft.com/office/officeart/2005/8/colors/colorful2" csCatId="colorful" phldr="1"/>
      <dgm:spPr/>
    </dgm:pt>
    <dgm:pt modelId="{6435D984-37DE-9748-817A-2E1794BBC547}">
      <dgm:prSet phldrT="[Text]" custT="1"/>
      <dgm:spPr/>
      <dgm:t>
        <a:bodyPr anchor="ctr"/>
        <a:lstStyle/>
        <a:p>
          <a:r>
            <a:rPr lang="en-US" sz="2000">
              <a:latin typeface="Copperplate"/>
              <a:cs typeface="Copperplate"/>
            </a:rPr>
            <a:t>The Gadfly Group</a:t>
          </a:r>
        </a:p>
      </dgm:t>
    </dgm:pt>
    <dgm:pt modelId="{8E0FAF3B-2581-CF49-A2D3-F439BCE99216}" type="parTrans" cxnId="{30E1BAB6-AB43-C04F-89BD-30810B3EE20A}">
      <dgm:prSet/>
      <dgm:spPr/>
      <dgm:t>
        <a:bodyPr/>
        <a:lstStyle/>
        <a:p>
          <a:endParaRPr lang="en-US"/>
        </a:p>
      </dgm:t>
    </dgm:pt>
    <dgm:pt modelId="{D4D6D82B-CED7-F049-8376-876DCB2BADD0}" type="sibTrans" cxnId="{30E1BAB6-AB43-C04F-89BD-30810B3EE20A}">
      <dgm:prSet/>
      <dgm:spPr/>
      <dgm:t>
        <a:bodyPr/>
        <a:lstStyle/>
        <a:p>
          <a:endParaRPr lang="en-US"/>
        </a:p>
      </dgm:t>
    </dgm:pt>
    <dgm:pt modelId="{966922F9-8CAB-1C4E-92E2-FF8FD9B3DED9}">
      <dgm:prSet phldrT="[Text]" custT="1"/>
      <dgm:spPr/>
      <dgm:t>
        <a:bodyPr/>
        <a:lstStyle/>
        <a:p>
          <a:pPr algn="r"/>
          <a:r>
            <a:rPr lang="en-US" sz="1800"/>
            <a:t>ERP Vendors</a:t>
          </a:r>
        </a:p>
      </dgm:t>
    </dgm:pt>
    <dgm:pt modelId="{AA4B242F-1A0A-7E4C-B3E8-752FC9561E80}" type="parTrans" cxnId="{3DC008C1-422E-3042-8A25-23DAECA756F5}">
      <dgm:prSet/>
      <dgm:spPr/>
      <dgm:t>
        <a:bodyPr/>
        <a:lstStyle/>
        <a:p>
          <a:endParaRPr lang="en-US"/>
        </a:p>
      </dgm:t>
    </dgm:pt>
    <dgm:pt modelId="{41A29F4C-D80C-9540-8B6C-014811733314}" type="sibTrans" cxnId="{3DC008C1-422E-3042-8A25-23DAECA756F5}">
      <dgm:prSet/>
      <dgm:spPr/>
      <dgm:t>
        <a:bodyPr/>
        <a:lstStyle/>
        <a:p>
          <a:endParaRPr lang="en-US"/>
        </a:p>
      </dgm:t>
    </dgm:pt>
    <dgm:pt modelId="{CAD58B0E-54A8-ED47-93EE-739D10DB5641}">
      <dgm:prSet phldrT="[Text]" custT="1"/>
      <dgm:spPr/>
      <dgm:t>
        <a:bodyPr/>
        <a:lstStyle/>
        <a:p>
          <a:pPr algn="l"/>
          <a:r>
            <a:rPr lang="en-US" sz="1800">
              <a:latin typeface="Copperplate"/>
              <a:cs typeface="Copperplate"/>
            </a:rPr>
            <a:t>Employers</a:t>
          </a:r>
          <a:endParaRPr lang="en-US" sz="3600">
            <a:latin typeface="Copperplate"/>
            <a:cs typeface="Copperplate"/>
          </a:endParaRPr>
        </a:p>
      </dgm:t>
    </dgm:pt>
    <dgm:pt modelId="{A03BA0CE-3683-4649-A8F0-9EA65C678A56}" type="parTrans" cxnId="{294BFCE7-62CE-EA4E-B71B-A8DE0A704C46}">
      <dgm:prSet/>
      <dgm:spPr/>
      <dgm:t>
        <a:bodyPr/>
        <a:lstStyle/>
        <a:p>
          <a:endParaRPr lang="en-US"/>
        </a:p>
      </dgm:t>
    </dgm:pt>
    <dgm:pt modelId="{B2225E64-51F5-6142-BEE0-7D88B9E0D148}" type="sibTrans" cxnId="{294BFCE7-62CE-EA4E-B71B-A8DE0A704C46}">
      <dgm:prSet/>
      <dgm:spPr/>
      <dgm:t>
        <a:bodyPr/>
        <a:lstStyle/>
        <a:p>
          <a:endParaRPr lang="en-US"/>
        </a:p>
      </dgm:t>
    </dgm:pt>
    <dgm:pt modelId="{2CE96273-703A-4449-9859-CBEC8D55C47E}" type="pres">
      <dgm:prSet presAssocID="{A8A8C965-1CE9-444A-B0B9-EDCE4B15B8B8}" presName="compositeShape" presStyleCnt="0">
        <dgm:presLayoutVars>
          <dgm:chMax val="7"/>
          <dgm:dir/>
          <dgm:resizeHandles val="exact"/>
        </dgm:presLayoutVars>
      </dgm:prSet>
      <dgm:spPr/>
    </dgm:pt>
    <dgm:pt modelId="{C899B554-C8CA-CD4E-B99C-C7C7C62F0340}" type="pres">
      <dgm:prSet presAssocID="{6435D984-37DE-9748-817A-2E1794BBC547}" presName="circ1" presStyleLbl="vennNode1" presStyleIdx="0" presStyleCnt="3"/>
      <dgm:spPr/>
    </dgm:pt>
    <dgm:pt modelId="{2ABEDA73-27A7-DE4D-BB92-6EC6CE2326BA}" type="pres">
      <dgm:prSet presAssocID="{6435D984-37DE-9748-817A-2E1794BBC547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3AAF09BB-920F-4044-863A-87C6921D0F9D}" type="pres">
      <dgm:prSet presAssocID="{966922F9-8CAB-1C4E-92E2-FF8FD9B3DED9}" presName="circ2" presStyleLbl="vennNode1" presStyleIdx="1" presStyleCnt="3"/>
      <dgm:spPr/>
    </dgm:pt>
    <dgm:pt modelId="{6FA4E150-DA6C-9347-B509-C45D717F8206}" type="pres">
      <dgm:prSet presAssocID="{966922F9-8CAB-1C4E-92E2-FF8FD9B3DED9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15066493-5AA5-D945-A5BE-E9706A5CBE10}" type="pres">
      <dgm:prSet presAssocID="{CAD58B0E-54A8-ED47-93EE-739D10DB5641}" presName="circ3" presStyleLbl="vennNode1" presStyleIdx="2" presStyleCnt="3"/>
      <dgm:spPr/>
    </dgm:pt>
    <dgm:pt modelId="{2CBBBD00-AC7B-2343-A11A-747CF2D488A4}" type="pres">
      <dgm:prSet presAssocID="{CAD58B0E-54A8-ED47-93EE-739D10DB5641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7CD5730D-753D-CD4B-B76F-DE14CAF5F580}" type="presOf" srcId="{CAD58B0E-54A8-ED47-93EE-739D10DB5641}" destId="{2CBBBD00-AC7B-2343-A11A-747CF2D488A4}" srcOrd="1" destOrd="0" presId="urn:microsoft.com/office/officeart/2005/8/layout/venn1"/>
    <dgm:cxn modelId="{A8B31C3D-7C8F-1B4A-A02F-384389E52CB9}" type="presOf" srcId="{966922F9-8CAB-1C4E-92E2-FF8FD9B3DED9}" destId="{6FA4E150-DA6C-9347-B509-C45D717F8206}" srcOrd="1" destOrd="0" presId="urn:microsoft.com/office/officeart/2005/8/layout/venn1"/>
    <dgm:cxn modelId="{DEB2244B-829C-3745-A584-B6523EC8114E}" type="presOf" srcId="{6435D984-37DE-9748-817A-2E1794BBC547}" destId="{2ABEDA73-27A7-DE4D-BB92-6EC6CE2326BA}" srcOrd="1" destOrd="0" presId="urn:microsoft.com/office/officeart/2005/8/layout/venn1"/>
    <dgm:cxn modelId="{9CD3B95F-C7CA-DA4D-BE4C-3E47B7D29890}" type="presOf" srcId="{CAD58B0E-54A8-ED47-93EE-739D10DB5641}" destId="{15066493-5AA5-D945-A5BE-E9706A5CBE10}" srcOrd="0" destOrd="0" presId="urn:microsoft.com/office/officeart/2005/8/layout/venn1"/>
    <dgm:cxn modelId="{32B9288C-2860-9745-804B-53F84EE25A0B}" type="presOf" srcId="{6435D984-37DE-9748-817A-2E1794BBC547}" destId="{C899B554-C8CA-CD4E-B99C-C7C7C62F0340}" srcOrd="0" destOrd="0" presId="urn:microsoft.com/office/officeart/2005/8/layout/venn1"/>
    <dgm:cxn modelId="{BDAE0296-F8AF-4A4E-A4FE-1344E1A36C42}" type="presOf" srcId="{966922F9-8CAB-1C4E-92E2-FF8FD9B3DED9}" destId="{3AAF09BB-920F-4044-863A-87C6921D0F9D}" srcOrd="0" destOrd="0" presId="urn:microsoft.com/office/officeart/2005/8/layout/venn1"/>
    <dgm:cxn modelId="{928607B5-A4BF-984C-979C-9D036AF99E07}" type="presOf" srcId="{A8A8C965-1CE9-444A-B0B9-EDCE4B15B8B8}" destId="{2CE96273-703A-4449-9859-CBEC8D55C47E}" srcOrd="0" destOrd="0" presId="urn:microsoft.com/office/officeart/2005/8/layout/venn1"/>
    <dgm:cxn modelId="{30E1BAB6-AB43-C04F-89BD-30810B3EE20A}" srcId="{A8A8C965-1CE9-444A-B0B9-EDCE4B15B8B8}" destId="{6435D984-37DE-9748-817A-2E1794BBC547}" srcOrd="0" destOrd="0" parTransId="{8E0FAF3B-2581-CF49-A2D3-F439BCE99216}" sibTransId="{D4D6D82B-CED7-F049-8376-876DCB2BADD0}"/>
    <dgm:cxn modelId="{3DC008C1-422E-3042-8A25-23DAECA756F5}" srcId="{A8A8C965-1CE9-444A-B0B9-EDCE4B15B8B8}" destId="{966922F9-8CAB-1C4E-92E2-FF8FD9B3DED9}" srcOrd="1" destOrd="0" parTransId="{AA4B242F-1A0A-7E4C-B3E8-752FC9561E80}" sibTransId="{41A29F4C-D80C-9540-8B6C-014811733314}"/>
    <dgm:cxn modelId="{294BFCE7-62CE-EA4E-B71B-A8DE0A704C46}" srcId="{A8A8C965-1CE9-444A-B0B9-EDCE4B15B8B8}" destId="{CAD58B0E-54A8-ED47-93EE-739D10DB5641}" srcOrd="2" destOrd="0" parTransId="{A03BA0CE-3683-4649-A8F0-9EA65C678A56}" sibTransId="{B2225E64-51F5-6142-BEE0-7D88B9E0D148}"/>
    <dgm:cxn modelId="{F11EF59E-6B26-0F4A-A559-13CD2CBB85CF}" type="presParOf" srcId="{2CE96273-703A-4449-9859-CBEC8D55C47E}" destId="{C899B554-C8CA-CD4E-B99C-C7C7C62F0340}" srcOrd="0" destOrd="0" presId="urn:microsoft.com/office/officeart/2005/8/layout/venn1"/>
    <dgm:cxn modelId="{DBBC0C77-70B8-584F-9451-B7723FB42086}" type="presParOf" srcId="{2CE96273-703A-4449-9859-CBEC8D55C47E}" destId="{2ABEDA73-27A7-DE4D-BB92-6EC6CE2326BA}" srcOrd="1" destOrd="0" presId="urn:microsoft.com/office/officeart/2005/8/layout/venn1"/>
    <dgm:cxn modelId="{96BABDAC-18F0-D444-B9FF-ACF371634407}" type="presParOf" srcId="{2CE96273-703A-4449-9859-CBEC8D55C47E}" destId="{3AAF09BB-920F-4044-863A-87C6921D0F9D}" srcOrd="2" destOrd="0" presId="urn:microsoft.com/office/officeart/2005/8/layout/venn1"/>
    <dgm:cxn modelId="{985E8103-0E1B-7046-8300-0A7BD02DE551}" type="presParOf" srcId="{2CE96273-703A-4449-9859-CBEC8D55C47E}" destId="{6FA4E150-DA6C-9347-B509-C45D717F8206}" srcOrd="3" destOrd="0" presId="urn:microsoft.com/office/officeart/2005/8/layout/venn1"/>
    <dgm:cxn modelId="{BC49C98A-1436-A14A-B02C-FF93B1EE5D10}" type="presParOf" srcId="{2CE96273-703A-4449-9859-CBEC8D55C47E}" destId="{15066493-5AA5-D945-A5BE-E9706A5CBE10}" srcOrd="4" destOrd="0" presId="urn:microsoft.com/office/officeart/2005/8/layout/venn1"/>
    <dgm:cxn modelId="{87C68CDD-BBFB-874B-AA6B-E05872BCB047}" type="presParOf" srcId="{2CE96273-703A-4449-9859-CBEC8D55C47E}" destId="{2CBBBD00-AC7B-2343-A11A-747CF2D488A4}" srcOrd="5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DF7C7A9-20A6-004D-9AD9-F82E74AC6DD4}" type="doc">
      <dgm:prSet loTypeId="urn:microsoft.com/office/officeart/2005/8/layout/hierarchy1" loCatId="" qsTypeId="urn:microsoft.com/office/officeart/2005/8/quickstyle/simple4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0A3D8006-5ABB-C84A-A000-3FE2E1A93D96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The Gadfly Group's </a:t>
          </a:r>
        </a:p>
        <a:p>
          <a:r>
            <a:rPr lang="en-US">
              <a:latin typeface="Copperplate"/>
              <a:cs typeface="Copperplate"/>
            </a:rPr>
            <a:t>Centers of Excellence</a:t>
          </a:r>
        </a:p>
      </dgm:t>
    </dgm:pt>
    <dgm:pt modelId="{EF48BDF0-B4C1-7D48-994D-F69FDC6FE4F5}" type="parTrans" cxnId="{7C62AC45-7C34-214C-9B67-F8747EFD069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9365C2E1-29BF-024A-AE40-653554BA016E}" type="sibTrans" cxnId="{7C62AC45-7C34-214C-9B67-F8747EFD069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1A224487-E62F-7A4D-B42B-1701D3B65FA7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Financial Services</a:t>
          </a:r>
        </a:p>
      </dgm:t>
    </dgm:pt>
    <dgm:pt modelId="{1F8104CE-8945-C840-8A57-A0C640E7787D}" type="parTrans" cxnId="{F0C48813-0CC0-144C-89D0-F66222E08DF0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B024330-13F6-F748-93CF-1C75BDB16DD8}" type="sibTrans" cxnId="{F0C48813-0CC0-144C-89D0-F66222E08DF0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E3870B7-8782-9A49-B876-CF0D1A5434ED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Marketing &amp; Business Intelligence</a:t>
          </a:r>
        </a:p>
      </dgm:t>
    </dgm:pt>
    <dgm:pt modelId="{3426D80C-B047-C642-80BA-9F9065A271D4}" type="parTrans" cxnId="{0B10FDC7-561F-1747-ACB1-0D94F83FBF22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850E29B2-37A0-4846-BAF0-3D9C8AEF13C8}" type="sibTrans" cxnId="{0B10FDC7-561F-1747-ACB1-0D94F83FBF22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018FD8F3-03A7-EC47-B6BE-40745A299098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Project &amp; Program Management</a:t>
          </a:r>
        </a:p>
      </dgm:t>
    </dgm:pt>
    <dgm:pt modelId="{1DEEC177-406E-5347-AE01-A79DEC42EF9E}" type="parTrans" cxnId="{2B4F3328-B36F-E747-A440-88F09D3E4E2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DB897B64-5104-9247-AA5A-39092C30D179}" type="sibTrans" cxnId="{2B4F3328-B36F-E747-A440-88F09D3E4E2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204866C9-47FA-D444-B2CC-BB6A8FDB7A47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Entrepreneurial Incubator</a:t>
          </a:r>
        </a:p>
      </dgm:t>
    </dgm:pt>
    <dgm:pt modelId="{F8B5071A-8936-484F-A942-95CE4E33FE33}" type="parTrans" cxnId="{C4FABA85-2BB3-854C-9FD2-A28C5349407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0ACE37E4-D209-CB4E-8102-E37489860A9B}" type="sibTrans" cxnId="{C4FABA85-2BB3-854C-9FD2-A28C5349407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BDA9D07C-64EE-E745-AB5F-B43A8554CE18}" type="pres">
      <dgm:prSet presAssocID="{8DF7C7A9-20A6-004D-9AD9-F82E74AC6DD4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D10F932-97E6-714B-9FE7-2AD8BD4B511D}" type="pres">
      <dgm:prSet presAssocID="{0A3D8006-5ABB-C84A-A000-3FE2E1A93D96}" presName="hierRoot1" presStyleCnt="0"/>
      <dgm:spPr/>
    </dgm:pt>
    <dgm:pt modelId="{692AB49A-7386-C348-AC99-65C45687C669}" type="pres">
      <dgm:prSet presAssocID="{0A3D8006-5ABB-C84A-A000-3FE2E1A93D96}" presName="composite" presStyleCnt="0"/>
      <dgm:spPr/>
    </dgm:pt>
    <dgm:pt modelId="{D4FD5A76-A7DF-7345-B6A8-73149E36B5C5}" type="pres">
      <dgm:prSet presAssocID="{0A3D8006-5ABB-C84A-A000-3FE2E1A93D96}" presName="background" presStyleLbl="node0" presStyleIdx="0" presStyleCnt="1"/>
      <dgm:spPr/>
    </dgm:pt>
    <dgm:pt modelId="{B66078D3-7CBD-FA4F-A6B7-A3814C1A6DB7}" type="pres">
      <dgm:prSet presAssocID="{0A3D8006-5ABB-C84A-A000-3FE2E1A93D96}" presName="text" presStyleLbl="fgAcc0" presStyleIdx="0" presStyleCnt="1">
        <dgm:presLayoutVars>
          <dgm:chPref val="3"/>
        </dgm:presLayoutVars>
      </dgm:prSet>
      <dgm:spPr/>
    </dgm:pt>
    <dgm:pt modelId="{07AF4E9A-7641-8545-9547-DD412E60EB27}" type="pres">
      <dgm:prSet presAssocID="{0A3D8006-5ABB-C84A-A000-3FE2E1A93D96}" presName="hierChild2" presStyleCnt="0"/>
      <dgm:spPr/>
    </dgm:pt>
    <dgm:pt modelId="{3CAD44E3-B447-3F4A-AE34-D70B27978DC7}" type="pres">
      <dgm:prSet presAssocID="{1F8104CE-8945-C840-8A57-A0C640E7787D}" presName="Name10" presStyleLbl="parChTrans1D2" presStyleIdx="0" presStyleCnt="4"/>
      <dgm:spPr/>
    </dgm:pt>
    <dgm:pt modelId="{037931D2-B818-D645-AFE5-B967801C84AF}" type="pres">
      <dgm:prSet presAssocID="{1A224487-E62F-7A4D-B42B-1701D3B65FA7}" presName="hierRoot2" presStyleCnt="0"/>
      <dgm:spPr/>
    </dgm:pt>
    <dgm:pt modelId="{9BAE457E-68AE-E64F-AF7A-759F91C284CD}" type="pres">
      <dgm:prSet presAssocID="{1A224487-E62F-7A4D-B42B-1701D3B65FA7}" presName="composite2" presStyleCnt="0"/>
      <dgm:spPr/>
    </dgm:pt>
    <dgm:pt modelId="{42F922A8-35F4-2048-85D2-B926220DD798}" type="pres">
      <dgm:prSet presAssocID="{1A224487-E62F-7A4D-B42B-1701D3B65FA7}" presName="background2" presStyleLbl="node2" presStyleIdx="0" presStyleCnt="4"/>
      <dgm:spPr/>
    </dgm:pt>
    <dgm:pt modelId="{33FE8425-5AEF-9D4D-BC50-39F300FCB446}" type="pres">
      <dgm:prSet presAssocID="{1A224487-E62F-7A4D-B42B-1701D3B65FA7}" presName="text2" presStyleLbl="fgAcc2" presStyleIdx="0" presStyleCnt="4">
        <dgm:presLayoutVars>
          <dgm:chPref val="3"/>
        </dgm:presLayoutVars>
      </dgm:prSet>
      <dgm:spPr/>
    </dgm:pt>
    <dgm:pt modelId="{27C00277-5F64-D04F-95A1-243A86AC5EE1}" type="pres">
      <dgm:prSet presAssocID="{1A224487-E62F-7A4D-B42B-1701D3B65FA7}" presName="hierChild3" presStyleCnt="0"/>
      <dgm:spPr/>
    </dgm:pt>
    <dgm:pt modelId="{35BEBC08-E8FB-2241-814E-F87A3F434A51}" type="pres">
      <dgm:prSet presAssocID="{3426D80C-B047-C642-80BA-9F9065A271D4}" presName="Name10" presStyleLbl="parChTrans1D2" presStyleIdx="1" presStyleCnt="4"/>
      <dgm:spPr/>
    </dgm:pt>
    <dgm:pt modelId="{FE3D41CC-1B35-2145-B4E3-9C6F5F50F64C}" type="pres">
      <dgm:prSet presAssocID="{4E3870B7-8782-9A49-B876-CF0D1A5434ED}" presName="hierRoot2" presStyleCnt="0"/>
      <dgm:spPr/>
    </dgm:pt>
    <dgm:pt modelId="{B2DC2D57-74A3-0942-B18F-B55557DD3339}" type="pres">
      <dgm:prSet presAssocID="{4E3870B7-8782-9A49-B876-CF0D1A5434ED}" presName="composite2" presStyleCnt="0"/>
      <dgm:spPr/>
    </dgm:pt>
    <dgm:pt modelId="{8A361364-0F52-C640-8917-9A75DF2B7894}" type="pres">
      <dgm:prSet presAssocID="{4E3870B7-8782-9A49-B876-CF0D1A5434ED}" presName="background2" presStyleLbl="node2" presStyleIdx="1" presStyleCnt="4"/>
      <dgm:spPr/>
    </dgm:pt>
    <dgm:pt modelId="{7D46D589-CA9C-5D43-AC62-737BBB8CA375}" type="pres">
      <dgm:prSet presAssocID="{4E3870B7-8782-9A49-B876-CF0D1A5434ED}" presName="text2" presStyleLbl="fgAcc2" presStyleIdx="1" presStyleCnt="4">
        <dgm:presLayoutVars>
          <dgm:chPref val="3"/>
        </dgm:presLayoutVars>
      </dgm:prSet>
      <dgm:spPr/>
    </dgm:pt>
    <dgm:pt modelId="{70329A73-04E1-6941-8372-54BAD9757A76}" type="pres">
      <dgm:prSet presAssocID="{4E3870B7-8782-9A49-B876-CF0D1A5434ED}" presName="hierChild3" presStyleCnt="0"/>
      <dgm:spPr/>
    </dgm:pt>
    <dgm:pt modelId="{5713BEB0-812A-3D4F-8FFC-02AA05F90EEA}" type="pres">
      <dgm:prSet presAssocID="{1DEEC177-406E-5347-AE01-A79DEC42EF9E}" presName="Name10" presStyleLbl="parChTrans1D2" presStyleIdx="2" presStyleCnt="4"/>
      <dgm:spPr/>
    </dgm:pt>
    <dgm:pt modelId="{1A42C0B1-679B-E144-BEDB-2AED7B7F659E}" type="pres">
      <dgm:prSet presAssocID="{018FD8F3-03A7-EC47-B6BE-40745A299098}" presName="hierRoot2" presStyleCnt="0"/>
      <dgm:spPr/>
    </dgm:pt>
    <dgm:pt modelId="{F777DB13-1D84-D74D-B3BA-B1C0F43B73AF}" type="pres">
      <dgm:prSet presAssocID="{018FD8F3-03A7-EC47-B6BE-40745A299098}" presName="composite2" presStyleCnt="0"/>
      <dgm:spPr/>
    </dgm:pt>
    <dgm:pt modelId="{F769790C-F0AC-6E45-8E33-D9A211F6CCAC}" type="pres">
      <dgm:prSet presAssocID="{018FD8F3-03A7-EC47-B6BE-40745A299098}" presName="background2" presStyleLbl="node2" presStyleIdx="2" presStyleCnt="4"/>
      <dgm:spPr/>
    </dgm:pt>
    <dgm:pt modelId="{329F8A62-CDD3-7C4B-8042-D71B676F59F0}" type="pres">
      <dgm:prSet presAssocID="{018FD8F3-03A7-EC47-B6BE-40745A299098}" presName="text2" presStyleLbl="fgAcc2" presStyleIdx="2" presStyleCnt="4">
        <dgm:presLayoutVars>
          <dgm:chPref val="3"/>
        </dgm:presLayoutVars>
      </dgm:prSet>
      <dgm:spPr/>
    </dgm:pt>
    <dgm:pt modelId="{8758ACBA-A5D3-B140-8210-E9E4E65DF26C}" type="pres">
      <dgm:prSet presAssocID="{018FD8F3-03A7-EC47-B6BE-40745A299098}" presName="hierChild3" presStyleCnt="0"/>
      <dgm:spPr/>
    </dgm:pt>
    <dgm:pt modelId="{5F70FA04-340A-7C4B-A8D4-BE8E49313859}" type="pres">
      <dgm:prSet presAssocID="{F8B5071A-8936-484F-A942-95CE4E33FE33}" presName="Name10" presStyleLbl="parChTrans1D2" presStyleIdx="3" presStyleCnt="4"/>
      <dgm:spPr/>
    </dgm:pt>
    <dgm:pt modelId="{E2B8E986-5A80-0B45-9829-D2F3AA69CDCE}" type="pres">
      <dgm:prSet presAssocID="{204866C9-47FA-D444-B2CC-BB6A8FDB7A47}" presName="hierRoot2" presStyleCnt="0"/>
      <dgm:spPr/>
    </dgm:pt>
    <dgm:pt modelId="{5160E7B9-FDE7-C94B-88A6-5D3DC69777D6}" type="pres">
      <dgm:prSet presAssocID="{204866C9-47FA-D444-B2CC-BB6A8FDB7A47}" presName="composite2" presStyleCnt="0"/>
      <dgm:spPr/>
    </dgm:pt>
    <dgm:pt modelId="{39766B85-C514-9840-8AB7-37DE9F498332}" type="pres">
      <dgm:prSet presAssocID="{204866C9-47FA-D444-B2CC-BB6A8FDB7A47}" presName="background2" presStyleLbl="node2" presStyleIdx="3" presStyleCnt="4"/>
      <dgm:spPr/>
    </dgm:pt>
    <dgm:pt modelId="{209E3991-4836-044F-8DC5-40FFD10D49A2}" type="pres">
      <dgm:prSet presAssocID="{204866C9-47FA-D444-B2CC-BB6A8FDB7A47}" presName="text2" presStyleLbl="fgAcc2" presStyleIdx="3" presStyleCnt="4">
        <dgm:presLayoutVars>
          <dgm:chPref val="3"/>
        </dgm:presLayoutVars>
      </dgm:prSet>
      <dgm:spPr/>
    </dgm:pt>
    <dgm:pt modelId="{00F4AA27-03AB-6A48-A791-628C17BA65E4}" type="pres">
      <dgm:prSet presAssocID="{204866C9-47FA-D444-B2CC-BB6A8FDB7A47}" presName="hierChild3" presStyleCnt="0"/>
      <dgm:spPr/>
    </dgm:pt>
  </dgm:ptLst>
  <dgm:cxnLst>
    <dgm:cxn modelId="{F0C48813-0CC0-144C-89D0-F66222E08DF0}" srcId="{0A3D8006-5ABB-C84A-A000-3FE2E1A93D96}" destId="{1A224487-E62F-7A4D-B42B-1701D3B65FA7}" srcOrd="0" destOrd="0" parTransId="{1F8104CE-8945-C840-8A57-A0C640E7787D}" sibTransId="{4B024330-13F6-F748-93CF-1C75BDB16DD8}"/>
    <dgm:cxn modelId="{72F26523-7994-8B4B-98C9-A84B3FA999AD}" type="presOf" srcId="{1DEEC177-406E-5347-AE01-A79DEC42EF9E}" destId="{5713BEB0-812A-3D4F-8FFC-02AA05F90EEA}" srcOrd="0" destOrd="0" presId="urn:microsoft.com/office/officeart/2005/8/layout/hierarchy1"/>
    <dgm:cxn modelId="{2B4F3328-B36F-E747-A440-88F09D3E4E21}" srcId="{0A3D8006-5ABB-C84A-A000-3FE2E1A93D96}" destId="{018FD8F3-03A7-EC47-B6BE-40745A299098}" srcOrd="2" destOrd="0" parTransId="{1DEEC177-406E-5347-AE01-A79DEC42EF9E}" sibTransId="{DB897B64-5104-9247-AA5A-39092C30D179}"/>
    <dgm:cxn modelId="{A56E5736-A983-E84E-88FF-858AED71B90C}" type="presOf" srcId="{4E3870B7-8782-9A49-B876-CF0D1A5434ED}" destId="{7D46D589-CA9C-5D43-AC62-737BBB8CA375}" srcOrd="0" destOrd="0" presId="urn:microsoft.com/office/officeart/2005/8/layout/hierarchy1"/>
    <dgm:cxn modelId="{4DFAF939-609F-5C43-8214-F21E4235898C}" type="presOf" srcId="{1A224487-E62F-7A4D-B42B-1701D3B65FA7}" destId="{33FE8425-5AEF-9D4D-BC50-39F300FCB446}" srcOrd="0" destOrd="0" presId="urn:microsoft.com/office/officeart/2005/8/layout/hierarchy1"/>
    <dgm:cxn modelId="{7C62AC45-7C34-214C-9B67-F8747EFD0691}" srcId="{8DF7C7A9-20A6-004D-9AD9-F82E74AC6DD4}" destId="{0A3D8006-5ABB-C84A-A000-3FE2E1A93D96}" srcOrd="0" destOrd="0" parTransId="{EF48BDF0-B4C1-7D48-994D-F69FDC6FE4F5}" sibTransId="{9365C2E1-29BF-024A-AE40-653554BA016E}"/>
    <dgm:cxn modelId="{36C6A747-CBD8-3344-9794-41D7395907D5}" type="presOf" srcId="{F8B5071A-8936-484F-A942-95CE4E33FE33}" destId="{5F70FA04-340A-7C4B-A8D4-BE8E49313859}" srcOrd="0" destOrd="0" presId="urn:microsoft.com/office/officeart/2005/8/layout/hierarchy1"/>
    <dgm:cxn modelId="{BC7CB04C-5937-5449-B4CE-3FB432071B73}" type="presOf" srcId="{8DF7C7A9-20A6-004D-9AD9-F82E74AC6DD4}" destId="{BDA9D07C-64EE-E745-AB5F-B43A8554CE18}" srcOrd="0" destOrd="0" presId="urn:microsoft.com/office/officeart/2005/8/layout/hierarchy1"/>
    <dgm:cxn modelId="{CBA91651-0838-4D42-BDD7-F0E57B9BF3C7}" type="presOf" srcId="{3426D80C-B047-C642-80BA-9F9065A271D4}" destId="{35BEBC08-E8FB-2241-814E-F87A3F434A51}" srcOrd="0" destOrd="0" presId="urn:microsoft.com/office/officeart/2005/8/layout/hierarchy1"/>
    <dgm:cxn modelId="{CDCE787C-53B7-D340-9F6A-4E24096153BE}" type="presOf" srcId="{018FD8F3-03A7-EC47-B6BE-40745A299098}" destId="{329F8A62-CDD3-7C4B-8042-D71B676F59F0}" srcOrd="0" destOrd="0" presId="urn:microsoft.com/office/officeart/2005/8/layout/hierarchy1"/>
    <dgm:cxn modelId="{C4FABA85-2BB3-854C-9FD2-A28C53494071}" srcId="{0A3D8006-5ABB-C84A-A000-3FE2E1A93D96}" destId="{204866C9-47FA-D444-B2CC-BB6A8FDB7A47}" srcOrd="3" destOrd="0" parTransId="{F8B5071A-8936-484F-A942-95CE4E33FE33}" sibTransId="{0ACE37E4-D209-CB4E-8102-E37489860A9B}"/>
    <dgm:cxn modelId="{0638268F-364A-C54B-99A3-4A4D437D8A46}" type="presOf" srcId="{0A3D8006-5ABB-C84A-A000-3FE2E1A93D96}" destId="{B66078D3-7CBD-FA4F-A6B7-A3814C1A6DB7}" srcOrd="0" destOrd="0" presId="urn:microsoft.com/office/officeart/2005/8/layout/hierarchy1"/>
    <dgm:cxn modelId="{49D9CBC0-B3FE-7B46-8987-64AF155CA82D}" type="presOf" srcId="{1F8104CE-8945-C840-8A57-A0C640E7787D}" destId="{3CAD44E3-B447-3F4A-AE34-D70B27978DC7}" srcOrd="0" destOrd="0" presId="urn:microsoft.com/office/officeart/2005/8/layout/hierarchy1"/>
    <dgm:cxn modelId="{0B10FDC7-561F-1747-ACB1-0D94F83FBF22}" srcId="{0A3D8006-5ABB-C84A-A000-3FE2E1A93D96}" destId="{4E3870B7-8782-9A49-B876-CF0D1A5434ED}" srcOrd="1" destOrd="0" parTransId="{3426D80C-B047-C642-80BA-9F9065A271D4}" sibTransId="{850E29B2-37A0-4846-BAF0-3D9C8AEF13C8}"/>
    <dgm:cxn modelId="{D02844DB-C4FA-FA49-950E-211531042536}" type="presOf" srcId="{204866C9-47FA-D444-B2CC-BB6A8FDB7A47}" destId="{209E3991-4836-044F-8DC5-40FFD10D49A2}" srcOrd="0" destOrd="0" presId="urn:microsoft.com/office/officeart/2005/8/layout/hierarchy1"/>
    <dgm:cxn modelId="{5E9E2A79-1F1F-B347-875E-5F26B554A3DF}" type="presParOf" srcId="{BDA9D07C-64EE-E745-AB5F-B43A8554CE18}" destId="{1D10F932-97E6-714B-9FE7-2AD8BD4B511D}" srcOrd="0" destOrd="0" presId="urn:microsoft.com/office/officeart/2005/8/layout/hierarchy1"/>
    <dgm:cxn modelId="{50DE6895-DEBE-9A42-9572-AD5BC70803EA}" type="presParOf" srcId="{1D10F932-97E6-714B-9FE7-2AD8BD4B511D}" destId="{692AB49A-7386-C348-AC99-65C45687C669}" srcOrd="0" destOrd="0" presId="urn:microsoft.com/office/officeart/2005/8/layout/hierarchy1"/>
    <dgm:cxn modelId="{AEF430E0-53BE-8543-9924-6B6E18130450}" type="presParOf" srcId="{692AB49A-7386-C348-AC99-65C45687C669}" destId="{D4FD5A76-A7DF-7345-B6A8-73149E36B5C5}" srcOrd="0" destOrd="0" presId="urn:microsoft.com/office/officeart/2005/8/layout/hierarchy1"/>
    <dgm:cxn modelId="{35725B9F-8393-2D48-AE03-0E807B525BA1}" type="presParOf" srcId="{692AB49A-7386-C348-AC99-65C45687C669}" destId="{B66078D3-7CBD-FA4F-A6B7-A3814C1A6DB7}" srcOrd="1" destOrd="0" presId="urn:microsoft.com/office/officeart/2005/8/layout/hierarchy1"/>
    <dgm:cxn modelId="{0EBEAC2F-66FC-D540-B651-BAA623053296}" type="presParOf" srcId="{1D10F932-97E6-714B-9FE7-2AD8BD4B511D}" destId="{07AF4E9A-7641-8545-9547-DD412E60EB27}" srcOrd="1" destOrd="0" presId="urn:microsoft.com/office/officeart/2005/8/layout/hierarchy1"/>
    <dgm:cxn modelId="{9AF11587-F441-6649-B26F-FC44E1E40A13}" type="presParOf" srcId="{07AF4E9A-7641-8545-9547-DD412E60EB27}" destId="{3CAD44E3-B447-3F4A-AE34-D70B27978DC7}" srcOrd="0" destOrd="0" presId="urn:microsoft.com/office/officeart/2005/8/layout/hierarchy1"/>
    <dgm:cxn modelId="{803039B3-3721-DD42-975A-530FDC281E74}" type="presParOf" srcId="{07AF4E9A-7641-8545-9547-DD412E60EB27}" destId="{037931D2-B818-D645-AFE5-B967801C84AF}" srcOrd="1" destOrd="0" presId="urn:microsoft.com/office/officeart/2005/8/layout/hierarchy1"/>
    <dgm:cxn modelId="{CEAB3AC6-D70A-0140-AD95-A23536F23E6B}" type="presParOf" srcId="{037931D2-B818-D645-AFE5-B967801C84AF}" destId="{9BAE457E-68AE-E64F-AF7A-759F91C284CD}" srcOrd="0" destOrd="0" presId="urn:microsoft.com/office/officeart/2005/8/layout/hierarchy1"/>
    <dgm:cxn modelId="{4D2509AC-0BED-8A4B-AE76-23681867C455}" type="presParOf" srcId="{9BAE457E-68AE-E64F-AF7A-759F91C284CD}" destId="{42F922A8-35F4-2048-85D2-B926220DD798}" srcOrd="0" destOrd="0" presId="urn:microsoft.com/office/officeart/2005/8/layout/hierarchy1"/>
    <dgm:cxn modelId="{81FC2658-A720-B744-8AED-E9FF237B6F8E}" type="presParOf" srcId="{9BAE457E-68AE-E64F-AF7A-759F91C284CD}" destId="{33FE8425-5AEF-9D4D-BC50-39F300FCB446}" srcOrd="1" destOrd="0" presId="urn:microsoft.com/office/officeart/2005/8/layout/hierarchy1"/>
    <dgm:cxn modelId="{5821A66E-6C68-5945-ABFD-DC7568A8CC02}" type="presParOf" srcId="{037931D2-B818-D645-AFE5-B967801C84AF}" destId="{27C00277-5F64-D04F-95A1-243A86AC5EE1}" srcOrd="1" destOrd="0" presId="urn:microsoft.com/office/officeart/2005/8/layout/hierarchy1"/>
    <dgm:cxn modelId="{B44109C1-B0F5-9043-9403-63AB405E9D02}" type="presParOf" srcId="{07AF4E9A-7641-8545-9547-DD412E60EB27}" destId="{35BEBC08-E8FB-2241-814E-F87A3F434A51}" srcOrd="2" destOrd="0" presId="urn:microsoft.com/office/officeart/2005/8/layout/hierarchy1"/>
    <dgm:cxn modelId="{6C9D5841-33AB-FE4B-A29E-50C01DEC2523}" type="presParOf" srcId="{07AF4E9A-7641-8545-9547-DD412E60EB27}" destId="{FE3D41CC-1B35-2145-B4E3-9C6F5F50F64C}" srcOrd="3" destOrd="0" presId="urn:microsoft.com/office/officeart/2005/8/layout/hierarchy1"/>
    <dgm:cxn modelId="{8A3A1166-7B30-C849-ADAA-EE2BF2BA9B06}" type="presParOf" srcId="{FE3D41CC-1B35-2145-B4E3-9C6F5F50F64C}" destId="{B2DC2D57-74A3-0942-B18F-B55557DD3339}" srcOrd="0" destOrd="0" presId="urn:microsoft.com/office/officeart/2005/8/layout/hierarchy1"/>
    <dgm:cxn modelId="{9AEBEA94-1CB1-E745-AB87-A24F595AD469}" type="presParOf" srcId="{B2DC2D57-74A3-0942-B18F-B55557DD3339}" destId="{8A361364-0F52-C640-8917-9A75DF2B7894}" srcOrd="0" destOrd="0" presId="urn:microsoft.com/office/officeart/2005/8/layout/hierarchy1"/>
    <dgm:cxn modelId="{35624F7D-09DB-C743-944F-8D34ED68E809}" type="presParOf" srcId="{B2DC2D57-74A3-0942-B18F-B55557DD3339}" destId="{7D46D589-CA9C-5D43-AC62-737BBB8CA375}" srcOrd="1" destOrd="0" presId="urn:microsoft.com/office/officeart/2005/8/layout/hierarchy1"/>
    <dgm:cxn modelId="{240D2C1E-D3E1-EF41-BEC2-47CA489D1BC5}" type="presParOf" srcId="{FE3D41CC-1B35-2145-B4E3-9C6F5F50F64C}" destId="{70329A73-04E1-6941-8372-54BAD9757A76}" srcOrd="1" destOrd="0" presId="urn:microsoft.com/office/officeart/2005/8/layout/hierarchy1"/>
    <dgm:cxn modelId="{4801C2CC-DFFB-F244-87B9-FD0FECCAAAAC}" type="presParOf" srcId="{07AF4E9A-7641-8545-9547-DD412E60EB27}" destId="{5713BEB0-812A-3D4F-8FFC-02AA05F90EEA}" srcOrd="4" destOrd="0" presId="urn:microsoft.com/office/officeart/2005/8/layout/hierarchy1"/>
    <dgm:cxn modelId="{D4BAFC8A-FEB4-884A-9837-77039017CFBB}" type="presParOf" srcId="{07AF4E9A-7641-8545-9547-DD412E60EB27}" destId="{1A42C0B1-679B-E144-BEDB-2AED7B7F659E}" srcOrd="5" destOrd="0" presId="urn:microsoft.com/office/officeart/2005/8/layout/hierarchy1"/>
    <dgm:cxn modelId="{7B9A9684-7000-9E41-A0A9-CABF4358FA3E}" type="presParOf" srcId="{1A42C0B1-679B-E144-BEDB-2AED7B7F659E}" destId="{F777DB13-1D84-D74D-B3BA-B1C0F43B73AF}" srcOrd="0" destOrd="0" presId="urn:microsoft.com/office/officeart/2005/8/layout/hierarchy1"/>
    <dgm:cxn modelId="{DF97BE69-2050-B94B-8672-018AF6B4C01C}" type="presParOf" srcId="{F777DB13-1D84-D74D-B3BA-B1C0F43B73AF}" destId="{F769790C-F0AC-6E45-8E33-D9A211F6CCAC}" srcOrd="0" destOrd="0" presId="urn:microsoft.com/office/officeart/2005/8/layout/hierarchy1"/>
    <dgm:cxn modelId="{39A99DFE-4A99-234F-91FB-E09DB6707290}" type="presParOf" srcId="{F777DB13-1D84-D74D-B3BA-B1C0F43B73AF}" destId="{329F8A62-CDD3-7C4B-8042-D71B676F59F0}" srcOrd="1" destOrd="0" presId="urn:microsoft.com/office/officeart/2005/8/layout/hierarchy1"/>
    <dgm:cxn modelId="{A9D26377-DA62-954A-B864-94C728664308}" type="presParOf" srcId="{1A42C0B1-679B-E144-BEDB-2AED7B7F659E}" destId="{8758ACBA-A5D3-B140-8210-E9E4E65DF26C}" srcOrd="1" destOrd="0" presId="urn:microsoft.com/office/officeart/2005/8/layout/hierarchy1"/>
    <dgm:cxn modelId="{901A3AAE-3CE4-124D-9B27-280D913ACADB}" type="presParOf" srcId="{07AF4E9A-7641-8545-9547-DD412E60EB27}" destId="{5F70FA04-340A-7C4B-A8D4-BE8E49313859}" srcOrd="6" destOrd="0" presId="urn:microsoft.com/office/officeart/2005/8/layout/hierarchy1"/>
    <dgm:cxn modelId="{4049B2F7-03C7-DE4F-BDA9-8AFBBEEFDA0D}" type="presParOf" srcId="{07AF4E9A-7641-8545-9547-DD412E60EB27}" destId="{E2B8E986-5A80-0B45-9829-D2F3AA69CDCE}" srcOrd="7" destOrd="0" presId="urn:microsoft.com/office/officeart/2005/8/layout/hierarchy1"/>
    <dgm:cxn modelId="{2198CC0E-9212-554D-B701-83BDA41E6F46}" type="presParOf" srcId="{E2B8E986-5A80-0B45-9829-D2F3AA69CDCE}" destId="{5160E7B9-FDE7-C94B-88A6-5D3DC69777D6}" srcOrd="0" destOrd="0" presId="urn:microsoft.com/office/officeart/2005/8/layout/hierarchy1"/>
    <dgm:cxn modelId="{19FE5C85-5E82-3C49-B193-85E6484846AF}" type="presParOf" srcId="{5160E7B9-FDE7-C94B-88A6-5D3DC69777D6}" destId="{39766B85-C514-9840-8AB7-37DE9F498332}" srcOrd="0" destOrd="0" presId="urn:microsoft.com/office/officeart/2005/8/layout/hierarchy1"/>
    <dgm:cxn modelId="{CB30060B-EB58-E940-A04F-47EB2E1C2ACB}" type="presParOf" srcId="{5160E7B9-FDE7-C94B-88A6-5D3DC69777D6}" destId="{209E3991-4836-044F-8DC5-40FFD10D49A2}" srcOrd="1" destOrd="0" presId="urn:microsoft.com/office/officeart/2005/8/layout/hierarchy1"/>
    <dgm:cxn modelId="{8127E9C7-A22F-974D-A0E8-3FABE41265A4}" type="presParOf" srcId="{E2B8E986-5A80-0B45-9829-D2F3AA69CDCE}" destId="{00F4AA27-03AB-6A48-A791-628C17BA65E4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DF7C7A9-20A6-004D-9AD9-F82E74AC6DD4}" type="doc">
      <dgm:prSet loTypeId="urn:microsoft.com/office/officeart/2005/8/layout/hierarchy1" loCatId="" qsTypeId="urn:microsoft.com/office/officeart/2005/8/quickstyle/simple4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0A3D8006-5ABB-C84A-A000-3FE2E1A93D96}">
      <dgm:prSet phldrT="[Text]"/>
      <dgm:spPr>
        <a:solidFill>
          <a:srgbClr val="FFFFFF">
            <a:alpha val="90000"/>
          </a:srgbClr>
        </a:solidFill>
      </dgm:spPr>
      <dgm:t>
        <a:bodyPr/>
        <a:lstStyle/>
        <a:p>
          <a:r>
            <a:rPr lang="en-US">
              <a:latin typeface="Copperplate"/>
              <a:cs typeface="Copperplate"/>
            </a:rPr>
            <a:t>The Gadfly Group's Centers of Excellence</a:t>
          </a:r>
        </a:p>
      </dgm:t>
    </dgm:pt>
    <dgm:pt modelId="{EF48BDF0-B4C1-7D48-994D-F69FDC6FE4F5}" type="parTrans" cxnId="{7C62AC45-7C34-214C-9B67-F8747EFD069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9365C2E1-29BF-024A-AE40-653554BA016E}" type="sibTrans" cxnId="{7C62AC45-7C34-214C-9B67-F8747EFD069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1A224487-E62F-7A4D-B42B-1701D3B65FA7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Financial Services</a:t>
          </a:r>
        </a:p>
      </dgm:t>
    </dgm:pt>
    <dgm:pt modelId="{1F8104CE-8945-C840-8A57-A0C640E7787D}" type="parTrans" cxnId="{F0C48813-0CC0-144C-89D0-F66222E08DF0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B024330-13F6-F748-93CF-1C75BDB16DD8}" type="sibTrans" cxnId="{F0C48813-0CC0-144C-89D0-F66222E08DF0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0EE1A78E-BE09-954A-B0AC-F2B50AE655EE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Financial Accounting</a:t>
          </a:r>
        </a:p>
      </dgm:t>
    </dgm:pt>
    <dgm:pt modelId="{660142BE-C715-244D-BF11-27BF44D40EC5}" type="parTrans" cxnId="{9D7DF21E-001A-884F-B0FD-3512983676B5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3E3BE840-B529-0C40-87AA-71DE30752578}" type="sibTrans" cxnId="{9D7DF21E-001A-884F-B0FD-3512983676B5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E206CA50-5397-2549-9FA4-C08563F42A46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Management Accounting</a:t>
          </a:r>
        </a:p>
      </dgm:t>
    </dgm:pt>
    <dgm:pt modelId="{9AE4B607-E2FF-F14B-B126-EC9BD858C70D}" type="parTrans" cxnId="{A5948521-3915-D843-956B-041B685ABDE7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98F5728C-BAA3-1744-98C6-6A7F835E7129}" type="sibTrans" cxnId="{A5948521-3915-D843-956B-041B685ABDE7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E3870B7-8782-9A49-B876-CF0D1A5434ED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Marketing &amp; Business Intelligence</a:t>
          </a:r>
        </a:p>
      </dgm:t>
    </dgm:pt>
    <dgm:pt modelId="{3426D80C-B047-C642-80BA-9F9065A271D4}" type="parTrans" cxnId="{0B10FDC7-561F-1747-ACB1-0D94F83FBF22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850E29B2-37A0-4846-BAF0-3D9C8AEF13C8}" type="sibTrans" cxnId="{0B10FDC7-561F-1747-ACB1-0D94F83FBF22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034931C5-5D16-E649-85BA-B0DC4574D5DB}">
      <dgm:prSet phldrT="[Text]"/>
      <dgm:spPr/>
      <dgm:t>
        <a:bodyPr/>
        <a:lstStyle/>
        <a:p>
          <a:r>
            <a:rPr lang="en-US">
              <a:latin typeface="Copperplate"/>
              <a:cs typeface="Copperplate"/>
            </a:rPr>
            <a:t>Analytics</a:t>
          </a:r>
        </a:p>
      </dgm:t>
    </dgm:pt>
    <dgm:pt modelId="{82043DE9-5420-504E-84C4-EAF99F2C8A36}" type="parTrans" cxnId="{FDC7A054-2817-664C-9B45-80DD3E90A0D9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23B55B6-4229-2D4C-AD0B-76304C9EADAC}" type="sibTrans" cxnId="{FDC7A054-2817-664C-9B45-80DD3E90A0D9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018FD8F3-03A7-EC47-B6BE-40745A299098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Project &amp; Program Related</a:t>
          </a:r>
        </a:p>
      </dgm:t>
    </dgm:pt>
    <dgm:pt modelId="{1DEEC177-406E-5347-AE01-A79DEC42EF9E}" type="parTrans" cxnId="{2B4F3328-B36F-E747-A440-88F09D3E4E2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DB897B64-5104-9247-AA5A-39092C30D179}" type="sibTrans" cxnId="{2B4F3328-B36F-E747-A440-88F09D3E4E2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204866C9-47FA-D444-B2CC-BB6A8FDB7A47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Entrepreneurial Incubator</a:t>
          </a:r>
        </a:p>
      </dgm:t>
    </dgm:pt>
    <dgm:pt modelId="{F8B5071A-8936-484F-A942-95CE4E33FE33}" type="parTrans" cxnId="{C4FABA85-2BB3-854C-9FD2-A28C5349407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0ACE37E4-D209-CB4E-8102-E37489860A9B}" type="sibTrans" cxnId="{C4FABA85-2BB3-854C-9FD2-A28C53494071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2B45A40E-74DC-3E44-BE6D-E81FC2EF85DD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Campaign Management</a:t>
          </a:r>
        </a:p>
      </dgm:t>
    </dgm:pt>
    <dgm:pt modelId="{6E628F65-CF2A-9147-A4B3-CD285683D9C6}" type="parTrans" cxnId="{7377B5DD-7D95-3C48-9B7C-F2677D7A8C36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5B3BEEE-E81C-1C44-A8F9-C60C683F613B}" type="sibTrans" cxnId="{7377B5DD-7D95-3C48-9B7C-F2677D7A8C36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C2441F08-4D28-0742-8DBA-E94BFAFE0273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Business Analysis</a:t>
          </a:r>
        </a:p>
      </dgm:t>
    </dgm:pt>
    <dgm:pt modelId="{ADA6CCC2-515E-2142-85DB-BAD3FD371355}" type="parTrans" cxnId="{A79143FB-CEA1-E449-B554-A257B2085A25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538CE808-D2D5-DC4B-926B-EE055E1358DA}" type="sibTrans" cxnId="{A79143FB-CEA1-E449-B554-A257B2085A25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BDADEBD9-8A33-D04E-A551-42965B3EE44B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Project Management</a:t>
          </a:r>
        </a:p>
      </dgm:t>
    </dgm:pt>
    <dgm:pt modelId="{04FED62C-58F6-2B4B-8193-DDDA93D172BA}" type="parTrans" cxnId="{1E7735EF-D50C-FE49-984A-A2A1DEF6EDAF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5FB2FC03-52F1-674A-9C34-E5AF9752D677}" type="sibTrans" cxnId="{1E7735EF-D50C-FE49-984A-A2A1DEF6EDAF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27DAECBE-319E-4A4C-883D-3D70C641B3DB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Cultivation &amp; Mentorship</a:t>
          </a:r>
        </a:p>
      </dgm:t>
    </dgm:pt>
    <dgm:pt modelId="{E1C5DF37-16E5-2C47-832E-4A0E3B02CFEA}" type="parTrans" cxnId="{3F097B68-DE45-C74B-8C6D-4E1BF005F072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4401CC5C-E774-8648-82A8-AA02E935F945}" type="sibTrans" cxnId="{3F097B68-DE45-C74B-8C6D-4E1BF005F072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C2DA3F45-60F8-B142-B68A-D3E44E6B6309}">
      <dgm:prSet/>
      <dgm:spPr/>
      <dgm:t>
        <a:bodyPr/>
        <a:lstStyle/>
        <a:p>
          <a:r>
            <a:rPr lang="en-US">
              <a:latin typeface="Copperplate"/>
              <a:cs typeface="Copperplate"/>
            </a:rPr>
            <a:t>Funding &amp; Sponsorship</a:t>
          </a:r>
        </a:p>
      </dgm:t>
    </dgm:pt>
    <dgm:pt modelId="{B7E60FD8-9370-7F43-9DA3-339E2539A0C7}" type="parTrans" cxnId="{47A358E6-7A85-E34D-B936-93D51AB46834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E4E9CCC0-D283-6F4D-B982-905A8215987C}" type="sibTrans" cxnId="{47A358E6-7A85-E34D-B936-93D51AB46834}">
      <dgm:prSet/>
      <dgm:spPr/>
      <dgm:t>
        <a:bodyPr/>
        <a:lstStyle/>
        <a:p>
          <a:endParaRPr lang="en-US">
            <a:latin typeface="Copperplate"/>
            <a:cs typeface="Copperplate"/>
          </a:endParaRPr>
        </a:p>
      </dgm:t>
    </dgm:pt>
    <dgm:pt modelId="{BDA9D07C-64EE-E745-AB5F-B43A8554CE18}" type="pres">
      <dgm:prSet presAssocID="{8DF7C7A9-20A6-004D-9AD9-F82E74AC6DD4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D10F932-97E6-714B-9FE7-2AD8BD4B511D}" type="pres">
      <dgm:prSet presAssocID="{0A3D8006-5ABB-C84A-A000-3FE2E1A93D96}" presName="hierRoot1" presStyleCnt="0"/>
      <dgm:spPr/>
    </dgm:pt>
    <dgm:pt modelId="{692AB49A-7386-C348-AC99-65C45687C669}" type="pres">
      <dgm:prSet presAssocID="{0A3D8006-5ABB-C84A-A000-3FE2E1A93D96}" presName="composite" presStyleCnt="0"/>
      <dgm:spPr/>
    </dgm:pt>
    <dgm:pt modelId="{D4FD5A76-A7DF-7345-B6A8-73149E36B5C5}" type="pres">
      <dgm:prSet presAssocID="{0A3D8006-5ABB-C84A-A000-3FE2E1A93D96}" presName="background" presStyleLbl="node0" presStyleIdx="0" presStyleCnt="1"/>
      <dgm:spPr/>
    </dgm:pt>
    <dgm:pt modelId="{B66078D3-7CBD-FA4F-A6B7-A3814C1A6DB7}" type="pres">
      <dgm:prSet presAssocID="{0A3D8006-5ABB-C84A-A000-3FE2E1A93D96}" presName="text" presStyleLbl="fgAcc0" presStyleIdx="0" presStyleCnt="1">
        <dgm:presLayoutVars>
          <dgm:chPref val="3"/>
        </dgm:presLayoutVars>
      </dgm:prSet>
      <dgm:spPr/>
    </dgm:pt>
    <dgm:pt modelId="{07AF4E9A-7641-8545-9547-DD412E60EB27}" type="pres">
      <dgm:prSet presAssocID="{0A3D8006-5ABB-C84A-A000-3FE2E1A93D96}" presName="hierChild2" presStyleCnt="0"/>
      <dgm:spPr/>
    </dgm:pt>
    <dgm:pt modelId="{3CAD44E3-B447-3F4A-AE34-D70B27978DC7}" type="pres">
      <dgm:prSet presAssocID="{1F8104CE-8945-C840-8A57-A0C640E7787D}" presName="Name10" presStyleLbl="parChTrans1D2" presStyleIdx="0" presStyleCnt="4"/>
      <dgm:spPr/>
    </dgm:pt>
    <dgm:pt modelId="{037931D2-B818-D645-AFE5-B967801C84AF}" type="pres">
      <dgm:prSet presAssocID="{1A224487-E62F-7A4D-B42B-1701D3B65FA7}" presName="hierRoot2" presStyleCnt="0"/>
      <dgm:spPr/>
    </dgm:pt>
    <dgm:pt modelId="{9BAE457E-68AE-E64F-AF7A-759F91C284CD}" type="pres">
      <dgm:prSet presAssocID="{1A224487-E62F-7A4D-B42B-1701D3B65FA7}" presName="composite2" presStyleCnt="0"/>
      <dgm:spPr/>
    </dgm:pt>
    <dgm:pt modelId="{42F922A8-35F4-2048-85D2-B926220DD798}" type="pres">
      <dgm:prSet presAssocID="{1A224487-E62F-7A4D-B42B-1701D3B65FA7}" presName="background2" presStyleLbl="node2" presStyleIdx="0" presStyleCnt="4"/>
      <dgm:spPr/>
    </dgm:pt>
    <dgm:pt modelId="{33FE8425-5AEF-9D4D-BC50-39F300FCB446}" type="pres">
      <dgm:prSet presAssocID="{1A224487-E62F-7A4D-B42B-1701D3B65FA7}" presName="text2" presStyleLbl="fgAcc2" presStyleIdx="0" presStyleCnt="4">
        <dgm:presLayoutVars>
          <dgm:chPref val="3"/>
        </dgm:presLayoutVars>
      </dgm:prSet>
      <dgm:spPr/>
    </dgm:pt>
    <dgm:pt modelId="{27C00277-5F64-D04F-95A1-243A86AC5EE1}" type="pres">
      <dgm:prSet presAssocID="{1A224487-E62F-7A4D-B42B-1701D3B65FA7}" presName="hierChild3" presStyleCnt="0"/>
      <dgm:spPr/>
    </dgm:pt>
    <dgm:pt modelId="{E7B6068B-26E9-BF4C-8684-1A0055A7D236}" type="pres">
      <dgm:prSet presAssocID="{660142BE-C715-244D-BF11-27BF44D40EC5}" presName="Name17" presStyleLbl="parChTrans1D3" presStyleIdx="0" presStyleCnt="8"/>
      <dgm:spPr/>
    </dgm:pt>
    <dgm:pt modelId="{411AD7C8-0217-094D-91BE-552609DB2F0F}" type="pres">
      <dgm:prSet presAssocID="{0EE1A78E-BE09-954A-B0AC-F2B50AE655EE}" presName="hierRoot3" presStyleCnt="0"/>
      <dgm:spPr/>
    </dgm:pt>
    <dgm:pt modelId="{E17496E4-F7AA-DD42-B7A3-B74B862C044C}" type="pres">
      <dgm:prSet presAssocID="{0EE1A78E-BE09-954A-B0AC-F2B50AE655EE}" presName="composite3" presStyleCnt="0"/>
      <dgm:spPr/>
    </dgm:pt>
    <dgm:pt modelId="{920838E6-1C72-9441-94E8-A365FDB8799B}" type="pres">
      <dgm:prSet presAssocID="{0EE1A78E-BE09-954A-B0AC-F2B50AE655EE}" presName="background3" presStyleLbl="node3" presStyleIdx="0" presStyleCnt="8"/>
      <dgm:spPr/>
    </dgm:pt>
    <dgm:pt modelId="{2B9FC31C-F504-4F46-9A74-0533CF04DEC6}" type="pres">
      <dgm:prSet presAssocID="{0EE1A78E-BE09-954A-B0AC-F2B50AE655EE}" presName="text3" presStyleLbl="fgAcc3" presStyleIdx="0" presStyleCnt="8">
        <dgm:presLayoutVars>
          <dgm:chPref val="3"/>
        </dgm:presLayoutVars>
      </dgm:prSet>
      <dgm:spPr/>
    </dgm:pt>
    <dgm:pt modelId="{4F67D390-7793-384B-9D44-EC5815056AF8}" type="pres">
      <dgm:prSet presAssocID="{0EE1A78E-BE09-954A-B0AC-F2B50AE655EE}" presName="hierChild4" presStyleCnt="0"/>
      <dgm:spPr/>
    </dgm:pt>
    <dgm:pt modelId="{C4402337-ADD3-8F41-B62B-A42D533796D8}" type="pres">
      <dgm:prSet presAssocID="{9AE4B607-E2FF-F14B-B126-EC9BD858C70D}" presName="Name17" presStyleLbl="parChTrans1D3" presStyleIdx="1" presStyleCnt="8"/>
      <dgm:spPr/>
    </dgm:pt>
    <dgm:pt modelId="{74000EA5-9412-A44D-99A2-1FA2F032DE3A}" type="pres">
      <dgm:prSet presAssocID="{E206CA50-5397-2549-9FA4-C08563F42A46}" presName="hierRoot3" presStyleCnt="0"/>
      <dgm:spPr/>
    </dgm:pt>
    <dgm:pt modelId="{1ABA1C14-F0D5-DF49-A746-B702298DDD64}" type="pres">
      <dgm:prSet presAssocID="{E206CA50-5397-2549-9FA4-C08563F42A46}" presName="composite3" presStyleCnt="0"/>
      <dgm:spPr/>
    </dgm:pt>
    <dgm:pt modelId="{825F44EB-245A-B94B-9096-37D4CA25A31E}" type="pres">
      <dgm:prSet presAssocID="{E206CA50-5397-2549-9FA4-C08563F42A46}" presName="background3" presStyleLbl="node3" presStyleIdx="1" presStyleCnt="8"/>
      <dgm:spPr/>
    </dgm:pt>
    <dgm:pt modelId="{59F5580D-B562-334A-8057-8046D3AA51AC}" type="pres">
      <dgm:prSet presAssocID="{E206CA50-5397-2549-9FA4-C08563F42A46}" presName="text3" presStyleLbl="fgAcc3" presStyleIdx="1" presStyleCnt="8">
        <dgm:presLayoutVars>
          <dgm:chPref val="3"/>
        </dgm:presLayoutVars>
      </dgm:prSet>
      <dgm:spPr/>
    </dgm:pt>
    <dgm:pt modelId="{807CBBD9-E9DE-4646-9C3A-4EA31F5C0FB6}" type="pres">
      <dgm:prSet presAssocID="{E206CA50-5397-2549-9FA4-C08563F42A46}" presName="hierChild4" presStyleCnt="0"/>
      <dgm:spPr/>
    </dgm:pt>
    <dgm:pt modelId="{35BEBC08-E8FB-2241-814E-F87A3F434A51}" type="pres">
      <dgm:prSet presAssocID="{3426D80C-B047-C642-80BA-9F9065A271D4}" presName="Name10" presStyleLbl="parChTrans1D2" presStyleIdx="1" presStyleCnt="4"/>
      <dgm:spPr/>
    </dgm:pt>
    <dgm:pt modelId="{FE3D41CC-1B35-2145-B4E3-9C6F5F50F64C}" type="pres">
      <dgm:prSet presAssocID="{4E3870B7-8782-9A49-B876-CF0D1A5434ED}" presName="hierRoot2" presStyleCnt="0"/>
      <dgm:spPr/>
    </dgm:pt>
    <dgm:pt modelId="{B2DC2D57-74A3-0942-B18F-B55557DD3339}" type="pres">
      <dgm:prSet presAssocID="{4E3870B7-8782-9A49-B876-CF0D1A5434ED}" presName="composite2" presStyleCnt="0"/>
      <dgm:spPr/>
    </dgm:pt>
    <dgm:pt modelId="{8A361364-0F52-C640-8917-9A75DF2B7894}" type="pres">
      <dgm:prSet presAssocID="{4E3870B7-8782-9A49-B876-CF0D1A5434ED}" presName="background2" presStyleLbl="node2" presStyleIdx="1" presStyleCnt="4"/>
      <dgm:spPr/>
    </dgm:pt>
    <dgm:pt modelId="{7D46D589-CA9C-5D43-AC62-737BBB8CA375}" type="pres">
      <dgm:prSet presAssocID="{4E3870B7-8782-9A49-B876-CF0D1A5434ED}" presName="text2" presStyleLbl="fgAcc2" presStyleIdx="1" presStyleCnt="4">
        <dgm:presLayoutVars>
          <dgm:chPref val="3"/>
        </dgm:presLayoutVars>
      </dgm:prSet>
      <dgm:spPr/>
    </dgm:pt>
    <dgm:pt modelId="{70329A73-04E1-6941-8372-54BAD9757A76}" type="pres">
      <dgm:prSet presAssocID="{4E3870B7-8782-9A49-B876-CF0D1A5434ED}" presName="hierChild3" presStyleCnt="0"/>
      <dgm:spPr/>
    </dgm:pt>
    <dgm:pt modelId="{E7A78E7E-A815-9B40-B9C3-33D4FA9A15DE}" type="pres">
      <dgm:prSet presAssocID="{82043DE9-5420-504E-84C4-EAF99F2C8A36}" presName="Name17" presStyleLbl="parChTrans1D3" presStyleIdx="2" presStyleCnt="8"/>
      <dgm:spPr/>
    </dgm:pt>
    <dgm:pt modelId="{80BE6E32-2FED-1645-BC9D-ACB8B7C1A255}" type="pres">
      <dgm:prSet presAssocID="{034931C5-5D16-E649-85BA-B0DC4574D5DB}" presName="hierRoot3" presStyleCnt="0"/>
      <dgm:spPr/>
    </dgm:pt>
    <dgm:pt modelId="{1FFABAD1-95D2-B543-9CFF-67C792843745}" type="pres">
      <dgm:prSet presAssocID="{034931C5-5D16-E649-85BA-B0DC4574D5DB}" presName="composite3" presStyleCnt="0"/>
      <dgm:spPr/>
    </dgm:pt>
    <dgm:pt modelId="{78118F28-DAE1-CD4B-BCFA-E0E45F6F6939}" type="pres">
      <dgm:prSet presAssocID="{034931C5-5D16-E649-85BA-B0DC4574D5DB}" presName="background3" presStyleLbl="node3" presStyleIdx="2" presStyleCnt="8"/>
      <dgm:spPr/>
    </dgm:pt>
    <dgm:pt modelId="{5C5DBDF1-51B2-F445-931B-571D0124F6BF}" type="pres">
      <dgm:prSet presAssocID="{034931C5-5D16-E649-85BA-B0DC4574D5DB}" presName="text3" presStyleLbl="fgAcc3" presStyleIdx="2" presStyleCnt="8">
        <dgm:presLayoutVars>
          <dgm:chPref val="3"/>
        </dgm:presLayoutVars>
      </dgm:prSet>
      <dgm:spPr/>
    </dgm:pt>
    <dgm:pt modelId="{7B21D324-9FC0-2846-8802-D9196C9C391D}" type="pres">
      <dgm:prSet presAssocID="{034931C5-5D16-E649-85BA-B0DC4574D5DB}" presName="hierChild4" presStyleCnt="0"/>
      <dgm:spPr/>
    </dgm:pt>
    <dgm:pt modelId="{CEFABA7F-A1FE-5548-8E96-851D3E10617E}" type="pres">
      <dgm:prSet presAssocID="{6E628F65-CF2A-9147-A4B3-CD285683D9C6}" presName="Name17" presStyleLbl="parChTrans1D3" presStyleIdx="3" presStyleCnt="8"/>
      <dgm:spPr/>
    </dgm:pt>
    <dgm:pt modelId="{171CBA50-7455-4442-9D9A-EA7B463C8391}" type="pres">
      <dgm:prSet presAssocID="{2B45A40E-74DC-3E44-BE6D-E81FC2EF85DD}" presName="hierRoot3" presStyleCnt="0"/>
      <dgm:spPr/>
    </dgm:pt>
    <dgm:pt modelId="{FB54D9CA-D773-3443-985A-082D4C48F359}" type="pres">
      <dgm:prSet presAssocID="{2B45A40E-74DC-3E44-BE6D-E81FC2EF85DD}" presName="composite3" presStyleCnt="0"/>
      <dgm:spPr/>
    </dgm:pt>
    <dgm:pt modelId="{3DC9656F-D364-8E41-A787-762A33DAEDC5}" type="pres">
      <dgm:prSet presAssocID="{2B45A40E-74DC-3E44-BE6D-E81FC2EF85DD}" presName="background3" presStyleLbl="node3" presStyleIdx="3" presStyleCnt="8"/>
      <dgm:spPr/>
    </dgm:pt>
    <dgm:pt modelId="{0B361B94-4B21-6F47-AFA3-CAA54F85E98F}" type="pres">
      <dgm:prSet presAssocID="{2B45A40E-74DC-3E44-BE6D-E81FC2EF85DD}" presName="text3" presStyleLbl="fgAcc3" presStyleIdx="3" presStyleCnt="8">
        <dgm:presLayoutVars>
          <dgm:chPref val="3"/>
        </dgm:presLayoutVars>
      </dgm:prSet>
      <dgm:spPr/>
    </dgm:pt>
    <dgm:pt modelId="{457CF359-F96B-8544-8944-A8453F7303C6}" type="pres">
      <dgm:prSet presAssocID="{2B45A40E-74DC-3E44-BE6D-E81FC2EF85DD}" presName="hierChild4" presStyleCnt="0"/>
      <dgm:spPr/>
    </dgm:pt>
    <dgm:pt modelId="{5713BEB0-812A-3D4F-8FFC-02AA05F90EEA}" type="pres">
      <dgm:prSet presAssocID="{1DEEC177-406E-5347-AE01-A79DEC42EF9E}" presName="Name10" presStyleLbl="parChTrans1D2" presStyleIdx="2" presStyleCnt="4"/>
      <dgm:spPr/>
    </dgm:pt>
    <dgm:pt modelId="{1A42C0B1-679B-E144-BEDB-2AED7B7F659E}" type="pres">
      <dgm:prSet presAssocID="{018FD8F3-03A7-EC47-B6BE-40745A299098}" presName="hierRoot2" presStyleCnt="0"/>
      <dgm:spPr/>
    </dgm:pt>
    <dgm:pt modelId="{F777DB13-1D84-D74D-B3BA-B1C0F43B73AF}" type="pres">
      <dgm:prSet presAssocID="{018FD8F3-03A7-EC47-B6BE-40745A299098}" presName="composite2" presStyleCnt="0"/>
      <dgm:spPr/>
    </dgm:pt>
    <dgm:pt modelId="{F769790C-F0AC-6E45-8E33-D9A211F6CCAC}" type="pres">
      <dgm:prSet presAssocID="{018FD8F3-03A7-EC47-B6BE-40745A299098}" presName="background2" presStyleLbl="node2" presStyleIdx="2" presStyleCnt="4"/>
      <dgm:spPr/>
    </dgm:pt>
    <dgm:pt modelId="{329F8A62-CDD3-7C4B-8042-D71B676F59F0}" type="pres">
      <dgm:prSet presAssocID="{018FD8F3-03A7-EC47-B6BE-40745A299098}" presName="text2" presStyleLbl="fgAcc2" presStyleIdx="2" presStyleCnt="4">
        <dgm:presLayoutVars>
          <dgm:chPref val="3"/>
        </dgm:presLayoutVars>
      </dgm:prSet>
      <dgm:spPr/>
    </dgm:pt>
    <dgm:pt modelId="{8758ACBA-A5D3-B140-8210-E9E4E65DF26C}" type="pres">
      <dgm:prSet presAssocID="{018FD8F3-03A7-EC47-B6BE-40745A299098}" presName="hierChild3" presStyleCnt="0"/>
      <dgm:spPr/>
    </dgm:pt>
    <dgm:pt modelId="{BD663774-8C93-FF4C-9907-50EDE2C78358}" type="pres">
      <dgm:prSet presAssocID="{ADA6CCC2-515E-2142-85DB-BAD3FD371355}" presName="Name17" presStyleLbl="parChTrans1D3" presStyleIdx="4" presStyleCnt="8"/>
      <dgm:spPr/>
    </dgm:pt>
    <dgm:pt modelId="{BB12EA32-4C53-CB4A-A267-D10296F7B9A8}" type="pres">
      <dgm:prSet presAssocID="{C2441F08-4D28-0742-8DBA-E94BFAFE0273}" presName="hierRoot3" presStyleCnt="0"/>
      <dgm:spPr/>
    </dgm:pt>
    <dgm:pt modelId="{23459639-0C9B-F645-85EE-A1E0AF85E7A4}" type="pres">
      <dgm:prSet presAssocID="{C2441F08-4D28-0742-8DBA-E94BFAFE0273}" presName="composite3" presStyleCnt="0"/>
      <dgm:spPr/>
    </dgm:pt>
    <dgm:pt modelId="{ECAA148A-841A-3547-AEA6-0B5057A008D9}" type="pres">
      <dgm:prSet presAssocID="{C2441F08-4D28-0742-8DBA-E94BFAFE0273}" presName="background3" presStyleLbl="node3" presStyleIdx="4" presStyleCnt="8"/>
      <dgm:spPr/>
    </dgm:pt>
    <dgm:pt modelId="{B88AC55B-44BA-984E-96F3-FAB20F533A7C}" type="pres">
      <dgm:prSet presAssocID="{C2441F08-4D28-0742-8DBA-E94BFAFE0273}" presName="text3" presStyleLbl="fgAcc3" presStyleIdx="4" presStyleCnt="8">
        <dgm:presLayoutVars>
          <dgm:chPref val="3"/>
        </dgm:presLayoutVars>
      </dgm:prSet>
      <dgm:spPr/>
    </dgm:pt>
    <dgm:pt modelId="{8B21F0C7-7D30-344B-9714-38DEE3EA1C00}" type="pres">
      <dgm:prSet presAssocID="{C2441F08-4D28-0742-8DBA-E94BFAFE0273}" presName="hierChild4" presStyleCnt="0"/>
      <dgm:spPr/>
    </dgm:pt>
    <dgm:pt modelId="{2A0985AD-2831-5940-88B8-8A4895B630C7}" type="pres">
      <dgm:prSet presAssocID="{04FED62C-58F6-2B4B-8193-DDDA93D172BA}" presName="Name17" presStyleLbl="parChTrans1D3" presStyleIdx="5" presStyleCnt="8"/>
      <dgm:spPr/>
    </dgm:pt>
    <dgm:pt modelId="{26B62A92-821E-4949-A9A1-04B918D0F849}" type="pres">
      <dgm:prSet presAssocID="{BDADEBD9-8A33-D04E-A551-42965B3EE44B}" presName="hierRoot3" presStyleCnt="0"/>
      <dgm:spPr/>
    </dgm:pt>
    <dgm:pt modelId="{8CEDF19B-3CE7-D849-A7C5-66D777457EE9}" type="pres">
      <dgm:prSet presAssocID="{BDADEBD9-8A33-D04E-A551-42965B3EE44B}" presName="composite3" presStyleCnt="0"/>
      <dgm:spPr/>
    </dgm:pt>
    <dgm:pt modelId="{E95DBB98-80DC-8C46-9D96-16754C8C2889}" type="pres">
      <dgm:prSet presAssocID="{BDADEBD9-8A33-D04E-A551-42965B3EE44B}" presName="background3" presStyleLbl="node3" presStyleIdx="5" presStyleCnt="8"/>
      <dgm:spPr/>
    </dgm:pt>
    <dgm:pt modelId="{709CFE86-779E-5E4C-8FFD-89E26C8A9D9D}" type="pres">
      <dgm:prSet presAssocID="{BDADEBD9-8A33-D04E-A551-42965B3EE44B}" presName="text3" presStyleLbl="fgAcc3" presStyleIdx="5" presStyleCnt="8">
        <dgm:presLayoutVars>
          <dgm:chPref val="3"/>
        </dgm:presLayoutVars>
      </dgm:prSet>
      <dgm:spPr/>
    </dgm:pt>
    <dgm:pt modelId="{ADB2690A-074B-264D-BE5D-8D1CA875E27D}" type="pres">
      <dgm:prSet presAssocID="{BDADEBD9-8A33-D04E-A551-42965B3EE44B}" presName="hierChild4" presStyleCnt="0"/>
      <dgm:spPr/>
    </dgm:pt>
    <dgm:pt modelId="{5F70FA04-340A-7C4B-A8D4-BE8E49313859}" type="pres">
      <dgm:prSet presAssocID="{F8B5071A-8936-484F-A942-95CE4E33FE33}" presName="Name10" presStyleLbl="parChTrans1D2" presStyleIdx="3" presStyleCnt="4"/>
      <dgm:spPr/>
    </dgm:pt>
    <dgm:pt modelId="{E2B8E986-5A80-0B45-9829-D2F3AA69CDCE}" type="pres">
      <dgm:prSet presAssocID="{204866C9-47FA-D444-B2CC-BB6A8FDB7A47}" presName="hierRoot2" presStyleCnt="0"/>
      <dgm:spPr/>
    </dgm:pt>
    <dgm:pt modelId="{5160E7B9-FDE7-C94B-88A6-5D3DC69777D6}" type="pres">
      <dgm:prSet presAssocID="{204866C9-47FA-D444-B2CC-BB6A8FDB7A47}" presName="composite2" presStyleCnt="0"/>
      <dgm:spPr/>
    </dgm:pt>
    <dgm:pt modelId="{39766B85-C514-9840-8AB7-37DE9F498332}" type="pres">
      <dgm:prSet presAssocID="{204866C9-47FA-D444-B2CC-BB6A8FDB7A47}" presName="background2" presStyleLbl="node2" presStyleIdx="3" presStyleCnt="4"/>
      <dgm:spPr/>
    </dgm:pt>
    <dgm:pt modelId="{209E3991-4836-044F-8DC5-40FFD10D49A2}" type="pres">
      <dgm:prSet presAssocID="{204866C9-47FA-D444-B2CC-BB6A8FDB7A47}" presName="text2" presStyleLbl="fgAcc2" presStyleIdx="3" presStyleCnt="4">
        <dgm:presLayoutVars>
          <dgm:chPref val="3"/>
        </dgm:presLayoutVars>
      </dgm:prSet>
      <dgm:spPr/>
    </dgm:pt>
    <dgm:pt modelId="{00F4AA27-03AB-6A48-A791-628C17BA65E4}" type="pres">
      <dgm:prSet presAssocID="{204866C9-47FA-D444-B2CC-BB6A8FDB7A47}" presName="hierChild3" presStyleCnt="0"/>
      <dgm:spPr/>
    </dgm:pt>
    <dgm:pt modelId="{6C037D0E-B36B-DA4B-B471-6FB252875429}" type="pres">
      <dgm:prSet presAssocID="{E1C5DF37-16E5-2C47-832E-4A0E3B02CFEA}" presName="Name17" presStyleLbl="parChTrans1D3" presStyleIdx="6" presStyleCnt="8"/>
      <dgm:spPr/>
    </dgm:pt>
    <dgm:pt modelId="{5F4F30C4-6FC9-5640-B3F9-AB9FC2C575B7}" type="pres">
      <dgm:prSet presAssocID="{27DAECBE-319E-4A4C-883D-3D70C641B3DB}" presName="hierRoot3" presStyleCnt="0"/>
      <dgm:spPr/>
    </dgm:pt>
    <dgm:pt modelId="{FA809F30-E553-7C4E-8E51-0D086E33E167}" type="pres">
      <dgm:prSet presAssocID="{27DAECBE-319E-4A4C-883D-3D70C641B3DB}" presName="composite3" presStyleCnt="0"/>
      <dgm:spPr/>
    </dgm:pt>
    <dgm:pt modelId="{24A7E97A-9C38-3D4F-8D05-843B1DE6B343}" type="pres">
      <dgm:prSet presAssocID="{27DAECBE-319E-4A4C-883D-3D70C641B3DB}" presName="background3" presStyleLbl="node3" presStyleIdx="6" presStyleCnt="8"/>
      <dgm:spPr/>
    </dgm:pt>
    <dgm:pt modelId="{D1EB6AEE-90BD-1A44-A047-A0E190D915C3}" type="pres">
      <dgm:prSet presAssocID="{27DAECBE-319E-4A4C-883D-3D70C641B3DB}" presName="text3" presStyleLbl="fgAcc3" presStyleIdx="6" presStyleCnt="8">
        <dgm:presLayoutVars>
          <dgm:chPref val="3"/>
        </dgm:presLayoutVars>
      </dgm:prSet>
      <dgm:spPr/>
    </dgm:pt>
    <dgm:pt modelId="{E5D0F3A4-24B2-EC4F-A725-457117AE1993}" type="pres">
      <dgm:prSet presAssocID="{27DAECBE-319E-4A4C-883D-3D70C641B3DB}" presName="hierChild4" presStyleCnt="0"/>
      <dgm:spPr/>
    </dgm:pt>
    <dgm:pt modelId="{7D4CEDF8-EE3D-384F-B412-688B02A55461}" type="pres">
      <dgm:prSet presAssocID="{B7E60FD8-9370-7F43-9DA3-339E2539A0C7}" presName="Name17" presStyleLbl="parChTrans1D3" presStyleIdx="7" presStyleCnt="8"/>
      <dgm:spPr/>
    </dgm:pt>
    <dgm:pt modelId="{739D0D5A-626B-C643-B85E-E21ECC56CAA5}" type="pres">
      <dgm:prSet presAssocID="{C2DA3F45-60F8-B142-B68A-D3E44E6B6309}" presName="hierRoot3" presStyleCnt="0"/>
      <dgm:spPr/>
    </dgm:pt>
    <dgm:pt modelId="{C4FD0A6F-0D25-AC41-B42F-5148A9A9541C}" type="pres">
      <dgm:prSet presAssocID="{C2DA3F45-60F8-B142-B68A-D3E44E6B6309}" presName="composite3" presStyleCnt="0"/>
      <dgm:spPr/>
    </dgm:pt>
    <dgm:pt modelId="{13CFDA96-3C29-DD46-80A5-0A20F5CC5129}" type="pres">
      <dgm:prSet presAssocID="{C2DA3F45-60F8-B142-B68A-D3E44E6B6309}" presName="background3" presStyleLbl="node3" presStyleIdx="7" presStyleCnt="8"/>
      <dgm:spPr/>
    </dgm:pt>
    <dgm:pt modelId="{01F1BAB3-EA52-EF4F-BD77-06A157761AEB}" type="pres">
      <dgm:prSet presAssocID="{C2DA3F45-60F8-B142-B68A-D3E44E6B6309}" presName="text3" presStyleLbl="fgAcc3" presStyleIdx="7" presStyleCnt="8">
        <dgm:presLayoutVars>
          <dgm:chPref val="3"/>
        </dgm:presLayoutVars>
      </dgm:prSet>
      <dgm:spPr/>
    </dgm:pt>
    <dgm:pt modelId="{77073325-D0E5-F14E-8198-9D3554BE7196}" type="pres">
      <dgm:prSet presAssocID="{C2DA3F45-60F8-B142-B68A-D3E44E6B6309}" presName="hierChild4" presStyleCnt="0"/>
      <dgm:spPr/>
    </dgm:pt>
  </dgm:ptLst>
  <dgm:cxnLst>
    <dgm:cxn modelId="{7407BA07-AFAD-E34A-B68C-7E345BE104F7}" type="presOf" srcId="{BDADEBD9-8A33-D04E-A551-42965B3EE44B}" destId="{709CFE86-779E-5E4C-8FFD-89E26C8A9D9D}" srcOrd="0" destOrd="0" presId="urn:microsoft.com/office/officeart/2005/8/layout/hierarchy1"/>
    <dgm:cxn modelId="{FEF4E90E-75CB-6043-B3E8-9188E09E6B5B}" type="presOf" srcId="{8DF7C7A9-20A6-004D-9AD9-F82E74AC6DD4}" destId="{BDA9D07C-64EE-E745-AB5F-B43A8554CE18}" srcOrd="0" destOrd="0" presId="urn:microsoft.com/office/officeart/2005/8/layout/hierarchy1"/>
    <dgm:cxn modelId="{F0C48813-0CC0-144C-89D0-F66222E08DF0}" srcId="{0A3D8006-5ABB-C84A-A000-3FE2E1A93D96}" destId="{1A224487-E62F-7A4D-B42B-1701D3B65FA7}" srcOrd="0" destOrd="0" parTransId="{1F8104CE-8945-C840-8A57-A0C640E7787D}" sibTransId="{4B024330-13F6-F748-93CF-1C75BDB16DD8}"/>
    <dgm:cxn modelId="{1E9E2A18-C997-284E-B95C-4CD3B01C1EB9}" type="presOf" srcId="{F8B5071A-8936-484F-A942-95CE4E33FE33}" destId="{5F70FA04-340A-7C4B-A8D4-BE8E49313859}" srcOrd="0" destOrd="0" presId="urn:microsoft.com/office/officeart/2005/8/layout/hierarchy1"/>
    <dgm:cxn modelId="{9ABE0219-705B-6E49-831E-8C7E7CC0B606}" type="presOf" srcId="{204866C9-47FA-D444-B2CC-BB6A8FDB7A47}" destId="{209E3991-4836-044F-8DC5-40FFD10D49A2}" srcOrd="0" destOrd="0" presId="urn:microsoft.com/office/officeart/2005/8/layout/hierarchy1"/>
    <dgm:cxn modelId="{9D7DF21E-001A-884F-B0FD-3512983676B5}" srcId="{1A224487-E62F-7A4D-B42B-1701D3B65FA7}" destId="{0EE1A78E-BE09-954A-B0AC-F2B50AE655EE}" srcOrd="0" destOrd="0" parTransId="{660142BE-C715-244D-BF11-27BF44D40EC5}" sibTransId="{3E3BE840-B529-0C40-87AA-71DE30752578}"/>
    <dgm:cxn modelId="{E27D0820-17F2-9A46-B97E-18C61A361A9F}" type="presOf" srcId="{0A3D8006-5ABB-C84A-A000-3FE2E1A93D96}" destId="{B66078D3-7CBD-FA4F-A6B7-A3814C1A6DB7}" srcOrd="0" destOrd="0" presId="urn:microsoft.com/office/officeart/2005/8/layout/hierarchy1"/>
    <dgm:cxn modelId="{14CF6620-F890-5148-832F-A6060E73BFD2}" type="presOf" srcId="{018FD8F3-03A7-EC47-B6BE-40745A299098}" destId="{329F8A62-CDD3-7C4B-8042-D71B676F59F0}" srcOrd="0" destOrd="0" presId="urn:microsoft.com/office/officeart/2005/8/layout/hierarchy1"/>
    <dgm:cxn modelId="{A5948521-3915-D843-956B-041B685ABDE7}" srcId="{1A224487-E62F-7A4D-B42B-1701D3B65FA7}" destId="{E206CA50-5397-2549-9FA4-C08563F42A46}" srcOrd="1" destOrd="0" parTransId="{9AE4B607-E2FF-F14B-B126-EC9BD858C70D}" sibTransId="{98F5728C-BAA3-1744-98C6-6A7F835E7129}"/>
    <dgm:cxn modelId="{2B4F3328-B36F-E747-A440-88F09D3E4E21}" srcId="{0A3D8006-5ABB-C84A-A000-3FE2E1A93D96}" destId="{018FD8F3-03A7-EC47-B6BE-40745A299098}" srcOrd="2" destOrd="0" parTransId="{1DEEC177-406E-5347-AE01-A79DEC42EF9E}" sibTransId="{DB897B64-5104-9247-AA5A-39092C30D179}"/>
    <dgm:cxn modelId="{7C62AC45-7C34-214C-9B67-F8747EFD0691}" srcId="{8DF7C7A9-20A6-004D-9AD9-F82E74AC6DD4}" destId="{0A3D8006-5ABB-C84A-A000-3FE2E1A93D96}" srcOrd="0" destOrd="0" parTransId="{EF48BDF0-B4C1-7D48-994D-F69FDC6FE4F5}" sibTransId="{9365C2E1-29BF-024A-AE40-653554BA016E}"/>
    <dgm:cxn modelId="{FDC7A054-2817-664C-9B45-80DD3E90A0D9}" srcId="{4E3870B7-8782-9A49-B876-CF0D1A5434ED}" destId="{034931C5-5D16-E649-85BA-B0DC4574D5DB}" srcOrd="0" destOrd="0" parTransId="{82043DE9-5420-504E-84C4-EAF99F2C8A36}" sibTransId="{423B55B6-4229-2D4C-AD0B-76304C9EADAC}"/>
    <dgm:cxn modelId="{3F097B68-DE45-C74B-8C6D-4E1BF005F072}" srcId="{204866C9-47FA-D444-B2CC-BB6A8FDB7A47}" destId="{27DAECBE-319E-4A4C-883D-3D70C641B3DB}" srcOrd="0" destOrd="0" parTransId="{E1C5DF37-16E5-2C47-832E-4A0E3B02CFEA}" sibTransId="{4401CC5C-E774-8648-82A8-AA02E935F945}"/>
    <dgm:cxn modelId="{A67CCE6A-493F-1E40-B51F-21CE98E6EE5E}" type="presOf" srcId="{27DAECBE-319E-4A4C-883D-3D70C641B3DB}" destId="{D1EB6AEE-90BD-1A44-A047-A0E190D915C3}" srcOrd="0" destOrd="0" presId="urn:microsoft.com/office/officeart/2005/8/layout/hierarchy1"/>
    <dgm:cxn modelId="{FAF5897E-3152-9B4C-9136-96388F95667A}" type="presOf" srcId="{9AE4B607-E2FF-F14B-B126-EC9BD858C70D}" destId="{C4402337-ADD3-8F41-B62B-A42D533796D8}" srcOrd="0" destOrd="0" presId="urn:microsoft.com/office/officeart/2005/8/layout/hierarchy1"/>
    <dgm:cxn modelId="{9ECAC380-B1CF-F049-9FF3-9D553EA503BC}" type="presOf" srcId="{660142BE-C715-244D-BF11-27BF44D40EC5}" destId="{E7B6068B-26E9-BF4C-8684-1A0055A7D236}" srcOrd="0" destOrd="0" presId="urn:microsoft.com/office/officeart/2005/8/layout/hierarchy1"/>
    <dgm:cxn modelId="{C4FABA85-2BB3-854C-9FD2-A28C53494071}" srcId="{0A3D8006-5ABB-C84A-A000-3FE2E1A93D96}" destId="{204866C9-47FA-D444-B2CC-BB6A8FDB7A47}" srcOrd="3" destOrd="0" parTransId="{F8B5071A-8936-484F-A942-95CE4E33FE33}" sibTransId="{0ACE37E4-D209-CB4E-8102-E37489860A9B}"/>
    <dgm:cxn modelId="{3557438A-2A80-E848-A5ED-55326031C52A}" type="presOf" srcId="{3426D80C-B047-C642-80BA-9F9065A271D4}" destId="{35BEBC08-E8FB-2241-814E-F87A3F434A51}" srcOrd="0" destOrd="0" presId="urn:microsoft.com/office/officeart/2005/8/layout/hierarchy1"/>
    <dgm:cxn modelId="{6835B28A-2E91-1A4E-BA11-0674CF96C55F}" type="presOf" srcId="{04FED62C-58F6-2B4B-8193-DDDA93D172BA}" destId="{2A0985AD-2831-5940-88B8-8A4895B630C7}" srcOrd="0" destOrd="0" presId="urn:microsoft.com/office/officeart/2005/8/layout/hierarchy1"/>
    <dgm:cxn modelId="{53A4DA8B-ACE1-494C-8900-FC0AC5A24E95}" type="presOf" srcId="{0EE1A78E-BE09-954A-B0AC-F2B50AE655EE}" destId="{2B9FC31C-F504-4F46-9A74-0533CF04DEC6}" srcOrd="0" destOrd="0" presId="urn:microsoft.com/office/officeart/2005/8/layout/hierarchy1"/>
    <dgm:cxn modelId="{40BDED91-21DD-2C41-8606-B4261EC1CC36}" type="presOf" srcId="{B7E60FD8-9370-7F43-9DA3-339E2539A0C7}" destId="{7D4CEDF8-EE3D-384F-B412-688B02A55461}" srcOrd="0" destOrd="0" presId="urn:microsoft.com/office/officeart/2005/8/layout/hierarchy1"/>
    <dgm:cxn modelId="{9D301C92-9E74-514C-93AA-74E1B225ACCA}" type="presOf" srcId="{1DEEC177-406E-5347-AE01-A79DEC42EF9E}" destId="{5713BEB0-812A-3D4F-8FFC-02AA05F90EEA}" srcOrd="0" destOrd="0" presId="urn:microsoft.com/office/officeart/2005/8/layout/hierarchy1"/>
    <dgm:cxn modelId="{7E9AB2A0-63EB-BF46-A24D-E0BA2C0C8031}" type="presOf" srcId="{E206CA50-5397-2549-9FA4-C08563F42A46}" destId="{59F5580D-B562-334A-8057-8046D3AA51AC}" srcOrd="0" destOrd="0" presId="urn:microsoft.com/office/officeart/2005/8/layout/hierarchy1"/>
    <dgm:cxn modelId="{9A0C20A3-0879-214F-8EFA-C2A98A680895}" type="presOf" srcId="{4E3870B7-8782-9A49-B876-CF0D1A5434ED}" destId="{7D46D589-CA9C-5D43-AC62-737BBB8CA375}" srcOrd="0" destOrd="0" presId="urn:microsoft.com/office/officeart/2005/8/layout/hierarchy1"/>
    <dgm:cxn modelId="{D41F35A6-98D8-8548-B348-79D35CC384D6}" type="presOf" srcId="{1F8104CE-8945-C840-8A57-A0C640E7787D}" destId="{3CAD44E3-B447-3F4A-AE34-D70B27978DC7}" srcOrd="0" destOrd="0" presId="urn:microsoft.com/office/officeart/2005/8/layout/hierarchy1"/>
    <dgm:cxn modelId="{961D66B3-226F-664E-B5BE-2E20A7689531}" type="presOf" srcId="{82043DE9-5420-504E-84C4-EAF99F2C8A36}" destId="{E7A78E7E-A815-9B40-B9C3-33D4FA9A15DE}" srcOrd="0" destOrd="0" presId="urn:microsoft.com/office/officeart/2005/8/layout/hierarchy1"/>
    <dgm:cxn modelId="{EB3B5CC6-A50B-F145-ABC3-4C5DC4237706}" type="presOf" srcId="{ADA6CCC2-515E-2142-85DB-BAD3FD371355}" destId="{BD663774-8C93-FF4C-9907-50EDE2C78358}" srcOrd="0" destOrd="0" presId="urn:microsoft.com/office/officeart/2005/8/layout/hierarchy1"/>
    <dgm:cxn modelId="{0B10FDC7-561F-1747-ACB1-0D94F83FBF22}" srcId="{0A3D8006-5ABB-C84A-A000-3FE2E1A93D96}" destId="{4E3870B7-8782-9A49-B876-CF0D1A5434ED}" srcOrd="1" destOrd="0" parTransId="{3426D80C-B047-C642-80BA-9F9065A271D4}" sibTransId="{850E29B2-37A0-4846-BAF0-3D9C8AEF13C8}"/>
    <dgm:cxn modelId="{351B01CF-2075-F04C-90CC-258721F1D59E}" type="presOf" srcId="{6E628F65-CF2A-9147-A4B3-CD285683D9C6}" destId="{CEFABA7F-A1FE-5548-8E96-851D3E10617E}" srcOrd="0" destOrd="0" presId="urn:microsoft.com/office/officeart/2005/8/layout/hierarchy1"/>
    <dgm:cxn modelId="{961529D6-10DE-F745-B454-0DB5EF51FDE4}" type="presOf" srcId="{E1C5DF37-16E5-2C47-832E-4A0E3B02CFEA}" destId="{6C037D0E-B36B-DA4B-B471-6FB252875429}" srcOrd="0" destOrd="0" presId="urn:microsoft.com/office/officeart/2005/8/layout/hierarchy1"/>
    <dgm:cxn modelId="{7377B5DD-7D95-3C48-9B7C-F2677D7A8C36}" srcId="{4E3870B7-8782-9A49-B876-CF0D1A5434ED}" destId="{2B45A40E-74DC-3E44-BE6D-E81FC2EF85DD}" srcOrd="1" destOrd="0" parTransId="{6E628F65-CF2A-9147-A4B3-CD285683D9C6}" sibTransId="{45B3BEEE-E81C-1C44-A8F9-C60C683F613B}"/>
    <dgm:cxn modelId="{3CDFE3DD-21ED-6145-B9C7-EDBB8E2AF822}" type="presOf" srcId="{1A224487-E62F-7A4D-B42B-1701D3B65FA7}" destId="{33FE8425-5AEF-9D4D-BC50-39F300FCB446}" srcOrd="0" destOrd="0" presId="urn:microsoft.com/office/officeart/2005/8/layout/hierarchy1"/>
    <dgm:cxn modelId="{55A938DF-ED6E-E84D-8E37-4F5C841F5C6A}" type="presOf" srcId="{C2DA3F45-60F8-B142-B68A-D3E44E6B6309}" destId="{01F1BAB3-EA52-EF4F-BD77-06A157761AEB}" srcOrd="0" destOrd="0" presId="urn:microsoft.com/office/officeart/2005/8/layout/hierarchy1"/>
    <dgm:cxn modelId="{884AB6DF-BAFE-2E47-84BF-D1AFB6E85467}" type="presOf" srcId="{C2441F08-4D28-0742-8DBA-E94BFAFE0273}" destId="{B88AC55B-44BA-984E-96F3-FAB20F533A7C}" srcOrd="0" destOrd="0" presId="urn:microsoft.com/office/officeart/2005/8/layout/hierarchy1"/>
    <dgm:cxn modelId="{47A358E6-7A85-E34D-B936-93D51AB46834}" srcId="{204866C9-47FA-D444-B2CC-BB6A8FDB7A47}" destId="{C2DA3F45-60F8-B142-B68A-D3E44E6B6309}" srcOrd="1" destOrd="0" parTransId="{B7E60FD8-9370-7F43-9DA3-339E2539A0C7}" sibTransId="{E4E9CCC0-D283-6F4D-B982-905A8215987C}"/>
    <dgm:cxn modelId="{1E7735EF-D50C-FE49-984A-A2A1DEF6EDAF}" srcId="{018FD8F3-03A7-EC47-B6BE-40745A299098}" destId="{BDADEBD9-8A33-D04E-A551-42965B3EE44B}" srcOrd="1" destOrd="0" parTransId="{04FED62C-58F6-2B4B-8193-DDDA93D172BA}" sibTransId="{5FB2FC03-52F1-674A-9C34-E5AF9752D677}"/>
    <dgm:cxn modelId="{6CC5D2F2-1BEA-7E46-8249-DE6E5237430A}" type="presOf" srcId="{034931C5-5D16-E649-85BA-B0DC4574D5DB}" destId="{5C5DBDF1-51B2-F445-931B-571D0124F6BF}" srcOrd="0" destOrd="0" presId="urn:microsoft.com/office/officeart/2005/8/layout/hierarchy1"/>
    <dgm:cxn modelId="{5DA03AFB-D0D5-3546-8DB8-09B21AF4B76C}" type="presOf" srcId="{2B45A40E-74DC-3E44-BE6D-E81FC2EF85DD}" destId="{0B361B94-4B21-6F47-AFA3-CAA54F85E98F}" srcOrd="0" destOrd="0" presId="urn:microsoft.com/office/officeart/2005/8/layout/hierarchy1"/>
    <dgm:cxn modelId="{A79143FB-CEA1-E449-B554-A257B2085A25}" srcId="{018FD8F3-03A7-EC47-B6BE-40745A299098}" destId="{C2441F08-4D28-0742-8DBA-E94BFAFE0273}" srcOrd="0" destOrd="0" parTransId="{ADA6CCC2-515E-2142-85DB-BAD3FD371355}" sibTransId="{538CE808-D2D5-DC4B-926B-EE055E1358DA}"/>
    <dgm:cxn modelId="{8BB69E94-6BDD-2045-9606-D8264EECC3D7}" type="presParOf" srcId="{BDA9D07C-64EE-E745-AB5F-B43A8554CE18}" destId="{1D10F932-97E6-714B-9FE7-2AD8BD4B511D}" srcOrd="0" destOrd="0" presId="urn:microsoft.com/office/officeart/2005/8/layout/hierarchy1"/>
    <dgm:cxn modelId="{9E7B7046-170E-1749-960C-04D67E734259}" type="presParOf" srcId="{1D10F932-97E6-714B-9FE7-2AD8BD4B511D}" destId="{692AB49A-7386-C348-AC99-65C45687C669}" srcOrd="0" destOrd="0" presId="urn:microsoft.com/office/officeart/2005/8/layout/hierarchy1"/>
    <dgm:cxn modelId="{52FD0FA0-18A0-F941-ACCC-A87553172965}" type="presParOf" srcId="{692AB49A-7386-C348-AC99-65C45687C669}" destId="{D4FD5A76-A7DF-7345-B6A8-73149E36B5C5}" srcOrd="0" destOrd="0" presId="urn:microsoft.com/office/officeart/2005/8/layout/hierarchy1"/>
    <dgm:cxn modelId="{A5714713-6864-0348-ACBA-B50C4B3F0ADC}" type="presParOf" srcId="{692AB49A-7386-C348-AC99-65C45687C669}" destId="{B66078D3-7CBD-FA4F-A6B7-A3814C1A6DB7}" srcOrd="1" destOrd="0" presId="urn:microsoft.com/office/officeart/2005/8/layout/hierarchy1"/>
    <dgm:cxn modelId="{17040260-86F6-974C-B9B1-40E8E5097524}" type="presParOf" srcId="{1D10F932-97E6-714B-9FE7-2AD8BD4B511D}" destId="{07AF4E9A-7641-8545-9547-DD412E60EB27}" srcOrd="1" destOrd="0" presId="urn:microsoft.com/office/officeart/2005/8/layout/hierarchy1"/>
    <dgm:cxn modelId="{22652531-4670-4445-AF6A-EE262FD2DA1F}" type="presParOf" srcId="{07AF4E9A-7641-8545-9547-DD412E60EB27}" destId="{3CAD44E3-B447-3F4A-AE34-D70B27978DC7}" srcOrd="0" destOrd="0" presId="urn:microsoft.com/office/officeart/2005/8/layout/hierarchy1"/>
    <dgm:cxn modelId="{DD8E690D-B2B1-C84E-B89B-7C2C271C3AD9}" type="presParOf" srcId="{07AF4E9A-7641-8545-9547-DD412E60EB27}" destId="{037931D2-B818-D645-AFE5-B967801C84AF}" srcOrd="1" destOrd="0" presId="urn:microsoft.com/office/officeart/2005/8/layout/hierarchy1"/>
    <dgm:cxn modelId="{F10FCA5D-D6C9-4049-9A36-CE29F56AC128}" type="presParOf" srcId="{037931D2-B818-D645-AFE5-B967801C84AF}" destId="{9BAE457E-68AE-E64F-AF7A-759F91C284CD}" srcOrd="0" destOrd="0" presId="urn:microsoft.com/office/officeart/2005/8/layout/hierarchy1"/>
    <dgm:cxn modelId="{8F6591FD-1CD6-D649-B692-086912279E04}" type="presParOf" srcId="{9BAE457E-68AE-E64F-AF7A-759F91C284CD}" destId="{42F922A8-35F4-2048-85D2-B926220DD798}" srcOrd="0" destOrd="0" presId="urn:microsoft.com/office/officeart/2005/8/layout/hierarchy1"/>
    <dgm:cxn modelId="{CEB03EA8-0FBE-FD44-A9CB-347A302FDE5A}" type="presParOf" srcId="{9BAE457E-68AE-E64F-AF7A-759F91C284CD}" destId="{33FE8425-5AEF-9D4D-BC50-39F300FCB446}" srcOrd="1" destOrd="0" presId="urn:microsoft.com/office/officeart/2005/8/layout/hierarchy1"/>
    <dgm:cxn modelId="{14588ACC-FF63-084F-B76E-476271C81EE3}" type="presParOf" srcId="{037931D2-B818-D645-AFE5-B967801C84AF}" destId="{27C00277-5F64-D04F-95A1-243A86AC5EE1}" srcOrd="1" destOrd="0" presId="urn:microsoft.com/office/officeart/2005/8/layout/hierarchy1"/>
    <dgm:cxn modelId="{944A092B-88E5-7547-A326-DA14A3E3B28C}" type="presParOf" srcId="{27C00277-5F64-D04F-95A1-243A86AC5EE1}" destId="{E7B6068B-26E9-BF4C-8684-1A0055A7D236}" srcOrd="0" destOrd="0" presId="urn:microsoft.com/office/officeart/2005/8/layout/hierarchy1"/>
    <dgm:cxn modelId="{4CB82D18-6CAB-CB4E-A020-748D8E8DAE5D}" type="presParOf" srcId="{27C00277-5F64-D04F-95A1-243A86AC5EE1}" destId="{411AD7C8-0217-094D-91BE-552609DB2F0F}" srcOrd="1" destOrd="0" presId="urn:microsoft.com/office/officeart/2005/8/layout/hierarchy1"/>
    <dgm:cxn modelId="{D92E1B57-443F-3449-9A08-835B22062A01}" type="presParOf" srcId="{411AD7C8-0217-094D-91BE-552609DB2F0F}" destId="{E17496E4-F7AA-DD42-B7A3-B74B862C044C}" srcOrd="0" destOrd="0" presId="urn:microsoft.com/office/officeart/2005/8/layout/hierarchy1"/>
    <dgm:cxn modelId="{0A7ACC51-232A-494E-8EAC-16884EFE3D13}" type="presParOf" srcId="{E17496E4-F7AA-DD42-B7A3-B74B862C044C}" destId="{920838E6-1C72-9441-94E8-A365FDB8799B}" srcOrd="0" destOrd="0" presId="urn:microsoft.com/office/officeart/2005/8/layout/hierarchy1"/>
    <dgm:cxn modelId="{A2A209A9-BC54-2A4C-933F-91DD6765F903}" type="presParOf" srcId="{E17496E4-F7AA-DD42-B7A3-B74B862C044C}" destId="{2B9FC31C-F504-4F46-9A74-0533CF04DEC6}" srcOrd="1" destOrd="0" presId="urn:microsoft.com/office/officeart/2005/8/layout/hierarchy1"/>
    <dgm:cxn modelId="{001BA58B-CE2D-8B4E-A5B1-9CF1DB2D4AFC}" type="presParOf" srcId="{411AD7C8-0217-094D-91BE-552609DB2F0F}" destId="{4F67D390-7793-384B-9D44-EC5815056AF8}" srcOrd="1" destOrd="0" presId="urn:microsoft.com/office/officeart/2005/8/layout/hierarchy1"/>
    <dgm:cxn modelId="{8362326A-21B9-3643-8C41-A322A9B89B89}" type="presParOf" srcId="{27C00277-5F64-D04F-95A1-243A86AC5EE1}" destId="{C4402337-ADD3-8F41-B62B-A42D533796D8}" srcOrd="2" destOrd="0" presId="urn:microsoft.com/office/officeart/2005/8/layout/hierarchy1"/>
    <dgm:cxn modelId="{06010EE2-AABA-CC45-8AAC-8F300A875958}" type="presParOf" srcId="{27C00277-5F64-D04F-95A1-243A86AC5EE1}" destId="{74000EA5-9412-A44D-99A2-1FA2F032DE3A}" srcOrd="3" destOrd="0" presId="urn:microsoft.com/office/officeart/2005/8/layout/hierarchy1"/>
    <dgm:cxn modelId="{1D295487-4FA7-184E-9BA5-BD6AE8B27FCE}" type="presParOf" srcId="{74000EA5-9412-A44D-99A2-1FA2F032DE3A}" destId="{1ABA1C14-F0D5-DF49-A746-B702298DDD64}" srcOrd="0" destOrd="0" presId="urn:microsoft.com/office/officeart/2005/8/layout/hierarchy1"/>
    <dgm:cxn modelId="{DBB66096-3DD6-DE47-942B-84D792F7D803}" type="presParOf" srcId="{1ABA1C14-F0D5-DF49-A746-B702298DDD64}" destId="{825F44EB-245A-B94B-9096-37D4CA25A31E}" srcOrd="0" destOrd="0" presId="urn:microsoft.com/office/officeart/2005/8/layout/hierarchy1"/>
    <dgm:cxn modelId="{79B76744-C125-2D4F-B982-A80CC02C0AE0}" type="presParOf" srcId="{1ABA1C14-F0D5-DF49-A746-B702298DDD64}" destId="{59F5580D-B562-334A-8057-8046D3AA51AC}" srcOrd="1" destOrd="0" presId="urn:microsoft.com/office/officeart/2005/8/layout/hierarchy1"/>
    <dgm:cxn modelId="{DE86B1AC-1F02-D945-85D3-F1CE4240BE6B}" type="presParOf" srcId="{74000EA5-9412-A44D-99A2-1FA2F032DE3A}" destId="{807CBBD9-E9DE-4646-9C3A-4EA31F5C0FB6}" srcOrd="1" destOrd="0" presId="urn:microsoft.com/office/officeart/2005/8/layout/hierarchy1"/>
    <dgm:cxn modelId="{00BA7700-1A98-0143-ABFB-6225A504169D}" type="presParOf" srcId="{07AF4E9A-7641-8545-9547-DD412E60EB27}" destId="{35BEBC08-E8FB-2241-814E-F87A3F434A51}" srcOrd="2" destOrd="0" presId="urn:microsoft.com/office/officeart/2005/8/layout/hierarchy1"/>
    <dgm:cxn modelId="{EE0DA90A-1598-3F42-AD3F-E6305160E9DF}" type="presParOf" srcId="{07AF4E9A-7641-8545-9547-DD412E60EB27}" destId="{FE3D41CC-1B35-2145-B4E3-9C6F5F50F64C}" srcOrd="3" destOrd="0" presId="urn:microsoft.com/office/officeart/2005/8/layout/hierarchy1"/>
    <dgm:cxn modelId="{4D98A138-5658-784E-AF1A-0D10DA8154B0}" type="presParOf" srcId="{FE3D41CC-1B35-2145-B4E3-9C6F5F50F64C}" destId="{B2DC2D57-74A3-0942-B18F-B55557DD3339}" srcOrd="0" destOrd="0" presId="urn:microsoft.com/office/officeart/2005/8/layout/hierarchy1"/>
    <dgm:cxn modelId="{D18C6C29-6C06-AD47-9544-246EE2F88549}" type="presParOf" srcId="{B2DC2D57-74A3-0942-B18F-B55557DD3339}" destId="{8A361364-0F52-C640-8917-9A75DF2B7894}" srcOrd="0" destOrd="0" presId="urn:microsoft.com/office/officeart/2005/8/layout/hierarchy1"/>
    <dgm:cxn modelId="{13A81A79-1C7B-5E4A-8E0F-994B8F3110B4}" type="presParOf" srcId="{B2DC2D57-74A3-0942-B18F-B55557DD3339}" destId="{7D46D589-CA9C-5D43-AC62-737BBB8CA375}" srcOrd="1" destOrd="0" presId="urn:microsoft.com/office/officeart/2005/8/layout/hierarchy1"/>
    <dgm:cxn modelId="{539F0713-4FE7-1F45-BAFA-3F8277A8200A}" type="presParOf" srcId="{FE3D41CC-1B35-2145-B4E3-9C6F5F50F64C}" destId="{70329A73-04E1-6941-8372-54BAD9757A76}" srcOrd="1" destOrd="0" presId="urn:microsoft.com/office/officeart/2005/8/layout/hierarchy1"/>
    <dgm:cxn modelId="{A5620B72-1CFF-6A43-9D5B-32C9BEC88D9B}" type="presParOf" srcId="{70329A73-04E1-6941-8372-54BAD9757A76}" destId="{E7A78E7E-A815-9B40-B9C3-33D4FA9A15DE}" srcOrd="0" destOrd="0" presId="urn:microsoft.com/office/officeart/2005/8/layout/hierarchy1"/>
    <dgm:cxn modelId="{CEB25D35-7790-9745-A5BD-3FABA4AE7549}" type="presParOf" srcId="{70329A73-04E1-6941-8372-54BAD9757A76}" destId="{80BE6E32-2FED-1645-BC9D-ACB8B7C1A255}" srcOrd="1" destOrd="0" presId="urn:microsoft.com/office/officeart/2005/8/layout/hierarchy1"/>
    <dgm:cxn modelId="{430FECAC-BF2B-5F45-8B33-5BB53AAE61FB}" type="presParOf" srcId="{80BE6E32-2FED-1645-BC9D-ACB8B7C1A255}" destId="{1FFABAD1-95D2-B543-9CFF-67C792843745}" srcOrd="0" destOrd="0" presId="urn:microsoft.com/office/officeart/2005/8/layout/hierarchy1"/>
    <dgm:cxn modelId="{09F6AF70-C0FE-4046-A466-6B9513299C96}" type="presParOf" srcId="{1FFABAD1-95D2-B543-9CFF-67C792843745}" destId="{78118F28-DAE1-CD4B-BCFA-E0E45F6F6939}" srcOrd="0" destOrd="0" presId="urn:microsoft.com/office/officeart/2005/8/layout/hierarchy1"/>
    <dgm:cxn modelId="{523C9C4F-1B8A-1E4D-A1B0-0C6AC8F95024}" type="presParOf" srcId="{1FFABAD1-95D2-B543-9CFF-67C792843745}" destId="{5C5DBDF1-51B2-F445-931B-571D0124F6BF}" srcOrd="1" destOrd="0" presId="urn:microsoft.com/office/officeart/2005/8/layout/hierarchy1"/>
    <dgm:cxn modelId="{2661B214-3B1F-8C46-AC28-BC966AC5002E}" type="presParOf" srcId="{80BE6E32-2FED-1645-BC9D-ACB8B7C1A255}" destId="{7B21D324-9FC0-2846-8802-D9196C9C391D}" srcOrd="1" destOrd="0" presId="urn:microsoft.com/office/officeart/2005/8/layout/hierarchy1"/>
    <dgm:cxn modelId="{65F239F6-532D-634D-A549-3A473E4D2780}" type="presParOf" srcId="{70329A73-04E1-6941-8372-54BAD9757A76}" destId="{CEFABA7F-A1FE-5548-8E96-851D3E10617E}" srcOrd="2" destOrd="0" presId="urn:microsoft.com/office/officeart/2005/8/layout/hierarchy1"/>
    <dgm:cxn modelId="{251175F2-C43E-E041-B638-C0EFA0443E68}" type="presParOf" srcId="{70329A73-04E1-6941-8372-54BAD9757A76}" destId="{171CBA50-7455-4442-9D9A-EA7B463C8391}" srcOrd="3" destOrd="0" presId="urn:microsoft.com/office/officeart/2005/8/layout/hierarchy1"/>
    <dgm:cxn modelId="{1BD5DCAE-4ACE-1E49-90EF-127EC630E83D}" type="presParOf" srcId="{171CBA50-7455-4442-9D9A-EA7B463C8391}" destId="{FB54D9CA-D773-3443-985A-082D4C48F359}" srcOrd="0" destOrd="0" presId="urn:microsoft.com/office/officeart/2005/8/layout/hierarchy1"/>
    <dgm:cxn modelId="{E0D9F302-C270-6E46-997C-FCBF7F1572BA}" type="presParOf" srcId="{FB54D9CA-D773-3443-985A-082D4C48F359}" destId="{3DC9656F-D364-8E41-A787-762A33DAEDC5}" srcOrd="0" destOrd="0" presId="urn:microsoft.com/office/officeart/2005/8/layout/hierarchy1"/>
    <dgm:cxn modelId="{AA3152CC-39BE-3246-81B4-20CC1E1F70A7}" type="presParOf" srcId="{FB54D9CA-D773-3443-985A-082D4C48F359}" destId="{0B361B94-4B21-6F47-AFA3-CAA54F85E98F}" srcOrd="1" destOrd="0" presId="urn:microsoft.com/office/officeart/2005/8/layout/hierarchy1"/>
    <dgm:cxn modelId="{4C545EF6-8E7F-0945-B1B4-EC8FBF74F5EA}" type="presParOf" srcId="{171CBA50-7455-4442-9D9A-EA7B463C8391}" destId="{457CF359-F96B-8544-8944-A8453F7303C6}" srcOrd="1" destOrd="0" presId="urn:microsoft.com/office/officeart/2005/8/layout/hierarchy1"/>
    <dgm:cxn modelId="{5E2CB665-E4A4-3B46-99BB-F4B29285C84D}" type="presParOf" srcId="{07AF4E9A-7641-8545-9547-DD412E60EB27}" destId="{5713BEB0-812A-3D4F-8FFC-02AA05F90EEA}" srcOrd="4" destOrd="0" presId="urn:microsoft.com/office/officeart/2005/8/layout/hierarchy1"/>
    <dgm:cxn modelId="{FAB27D23-841B-AE4A-ACAC-CBEEA760F222}" type="presParOf" srcId="{07AF4E9A-7641-8545-9547-DD412E60EB27}" destId="{1A42C0B1-679B-E144-BEDB-2AED7B7F659E}" srcOrd="5" destOrd="0" presId="urn:microsoft.com/office/officeart/2005/8/layout/hierarchy1"/>
    <dgm:cxn modelId="{F2CFC8E7-2F0F-2048-8EDE-ECE16AD8FB9B}" type="presParOf" srcId="{1A42C0B1-679B-E144-BEDB-2AED7B7F659E}" destId="{F777DB13-1D84-D74D-B3BA-B1C0F43B73AF}" srcOrd="0" destOrd="0" presId="urn:microsoft.com/office/officeart/2005/8/layout/hierarchy1"/>
    <dgm:cxn modelId="{B99F9F66-7D5C-5A4D-AF93-99032B249100}" type="presParOf" srcId="{F777DB13-1D84-D74D-B3BA-B1C0F43B73AF}" destId="{F769790C-F0AC-6E45-8E33-D9A211F6CCAC}" srcOrd="0" destOrd="0" presId="urn:microsoft.com/office/officeart/2005/8/layout/hierarchy1"/>
    <dgm:cxn modelId="{BA68A920-448F-9A43-95B4-162AE39A1868}" type="presParOf" srcId="{F777DB13-1D84-D74D-B3BA-B1C0F43B73AF}" destId="{329F8A62-CDD3-7C4B-8042-D71B676F59F0}" srcOrd="1" destOrd="0" presId="urn:microsoft.com/office/officeart/2005/8/layout/hierarchy1"/>
    <dgm:cxn modelId="{2B40F52F-0E4A-4644-BADC-6C852C64731D}" type="presParOf" srcId="{1A42C0B1-679B-E144-BEDB-2AED7B7F659E}" destId="{8758ACBA-A5D3-B140-8210-E9E4E65DF26C}" srcOrd="1" destOrd="0" presId="urn:microsoft.com/office/officeart/2005/8/layout/hierarchy1"/>
    <dgm:cxn modelId="{4FB231E5-A9F5-A741-9805-E2297DB11695}" type="presParOf" srcId="{8758ACBA-A5D3-B140-8210-E9E4E65DF26C}" destId="{BD663774-8C93-FF4C-9907-50EDE2C78358}" srcOrd="0" destOrd="0" presId="urn:microsoft.com/office/officeart/2005/8/layout/hierarchy1"/>
    <dgm:cxn modelId="{26CE5192-E7F9-9C44-8AB2-6221B8702777}" type="presParOf" srcId="{8758ACBA-A5D3-B140-8210-E9E4E65DF26C}" destId="{BB12EA32-4C53-CB4A-A267-D10296F7B9A8}" srcOrd="1" destOrd="0" presId="urn:microsoft.com/office/officeart/2005/8/layout/hierarchy1"/>
    <dgm:cxn modelId="{2350A135-18BA-E043-98CA-7C2CF3AB1591}" type="presParOf" srcId="{BB12EA32-4C53-CB4A-A267-D10296F7B9A8}" destId="{23459639-0C9B-F645-85EE-A1E0AF85E7A4}" srcOrd="0" destOrd="0" presId="urn:microsoft.com/office/officeart/2005/8/layout/hierarchy1"/>
    <dgm:cxn modelId="{CF3525E7-A91D-F141-B73E-66A19EA94011}" type="presParOf" srcId="{23459639-0C9B-F645-85EE-A1E0AF85E7A4}" destId="{ECAA148A-841A-3547-AEA6-0B5057A008D9}" srcOrd="0" destOrd="0" presId="urn:microsoft.com/office/officeart/2005/8/layout/hierarchy1"/>
    <dgm:cxn modelId="{9BC05DD6-B98E-5A44-8363-74E648B14AC8}" type="presParOf" srcId="{23459639-0C9B-F645-85EE-A1E0AF85E7A4}" destId="{B88AC55B-44BA-984E-96F3-FAB20F533A7C}" srcOrd="1" destOrd="0" presId="urn:microsoft.com/office/officeart/2005/8/layout/hierarchy1"/>
    <dgm:cxn modelId="{085328C7-8D3F-8D49-A7C3-665735AC2AC3}" type="presParOf" srcId="{BB12EA32-4C53-CB4A-A267-D10296F7B9A8}" destId="{8B21F0C7-7D30-344B-9714-38DEE3EA1C00}" srcOrd="1" destOrd="0" presId="urn:microsoft.com/office/officeart/2005/8/layout/hierarchy1"/>
    <dgm:cxn modelId="{111992EF-18D7-1E41-B31E-DC7185180B32}" type="presParOf" srcId="{8758ACBA-A5D3-B140-8210-E9E4E65DF26C}" destId="{2A0985AD-2831-5940-88B8-8A4895B630C7}" srcOrd="2" destOrd="0" presId="urn:microsoft.com/office/officeart/2005/8/layout/hierarchy1"/>
    <dgm:cxn modelId="{794DDAF7-B0B7-C849-8993-09A12BDC750D}" type="presParOf" srcId="{8758ACBA-A5D3-B140-8210-E9E4E65DF26C}" destId="{26B62A92-821E-4949-A9A1-04B918D0F849}" srcOrd="3" destOrd="0" presId="urn:microsoft.com/office/officeart/2005/8/layout/hierarchy1"/>
    <dgm:cxn modelId="{BC045495-21B2-7C40-9F50-1457D909A25C}" type="presParOf" srcId="{26B62A92-821E-4949-A9A1-04B918D0F849}" destId="{8CEDF19B-3CE7-D849-A7C5-66D777457EE9}" srcOrd="0" destOrd="0" presId="urn:microsoft.com/office/officeart/2005/8/layout/hierarchy1"/>
    <dgm:cxn modelId="{5CAED88B-B25B-1342-922F-FF6F730B07C6}" type="presParOf" srcId="{8CEDF19B-3CE7-D849-A7C5-66D777457EE9}" destId="{E95DBB98-80DC-8C46-9D96-16754C8C2889}" srcOrd="0" destOrd="0" presId="urn:microsoft.com/office/officeart/2005/8/layout/hierarchy1"/>
    <dgm:cxn modelId="{8878EE5D-B36C-4F4D-BC50-E0626BED4463}" type="presParOf" srcId="{8CEDF19B-3CE7-D849-A7C5-66D777457EE9}" destId="{709CFE86-779E-5E4C-8FFD-89E26C8A9D9D}" srcOrd="1" destOrd="0" presId="urn:microsoft.com/office/officeart/2005/8/layout/hierarchy1"/>
    <dgm:cxn modelId="{68A1930A-D5B2-B846-A5E4-DA3C3AC206C5}" type="presParOf" srcId="{26B62A92-821E-4949-A9A1-04B918D0F849}" destId="{ADB2690A-074B-264D-BE5D-8D1CA875E27D}" srcOrd="1" destOrd="0" presId="urn:microsoft.com/office/officeart/2005/8/layout/hierarchy1"/>
    <dgm:cxn modelId="{66C9DB1C-881C-0B4D-BFF8-4B62C9F20861}" type="presParOf" srcId="{07AF4E9A-7641-8545-9547-DD412E60EB27}" destId="{5F70FA04-340A-7C4B-A8D4-BE8E49313859}" srcOrd="6" destOrd="0" presId="urn:microsoft.com/office/officeart/2005/8/layout/hierarchy1"/>
    <dgm:cxn modelId="{254F9956-9E96-364B-8E02-2BC2CAAC138D}" type="presParOf" srcId="{07AF4E9A-7641-8545-9547-DD412E60EB27}" destId="{E2B8E986-5A80-0B45-9829-D2F3AA69CDCE}" srcOrd="7" destOrd="0" presId="urn:microsoft.com/office/officeart/2005/8/layout/hierarchy1"/>
    <dgm:cxn modelId="{AFDBBD6D-CFFA-CE4F-B67B-0AEFD4B3145D}" type="presParOf" srcId="{E2B8E986-5A80-0B45-9829-D2F3AA69CDCE}" destId="{5160E7B9-FDE7-C94B-88A6-5D3DC69777D6}" srcOrd="0" destOrd="0" presId="urn:microsoft.com/office/officeart/2005/8/layout/hierarchy1"/>
    <dgm:cxn modelId="{B389448A-5230-A94F-A48C-EA514BAEFD1A}" type="presParOf" srcId="{5160E7B9-FDE7-C94B-88A6-5D3DC69777D6}" destId="{39766B85-C514-9840-8AB7-37DE9F498332}" srcOrd="0" destOrd="0" presId="urn:microsoft.com/office/officeart/2005/8/layout/hierarchy1"/>
    <dgm:cxn modelId="{04C29F3F-D546-F442-B086-7048A62F978E}" type="presParOf" srcId="{5160E7B9-FDE7-C94B-88A6-5D3DC69777D6}" destId="{209E3991-4836-044F-8DC5-40FFD10D49A2}" srcOrd="1" destOrd="0" presId="urn:microsoft.com/office/officeart/2005/8/layout/hierarchy1"/>
    <dgm:cxn modelId="{DD1F26B0-1C36-6542-A244-31FDEA194864}" type="presParOf" srcId="{E2B8E986-5A80-0B45-9829-D2F3AA69CDCE}" destId="{00F4AA27-03AB-6A48-A791-628C17BA65E4}" srcOrd="1" destOrd="0" presId="urn:microsoft.com/office/officeart/2005/8/layout/hierarchy1"/>
    <dgm:cxn modelId="{17CFA6EF-EB74-1044-88E5-E5E5532BD766}" type="presParOf" srcId="{00F4AA27-03AB-6A48-A791-628C17BA65E4}" destId="{6C037D0E-B36B-DA4B-B471-6FB252875429}" srcOrd="0" destOrd="0" presId="urn:microsoft.com/office/officeart/2005/8/layout/hierarchy1"/>
    <dgm:cxn modelId="{72CB7427-A4E6-4A49-8FDD-E557DDF9F344}" type="presParOf" srcId="{00F4AA27-03AB-6A48-A791-628C17BA65E4}" destId="{5F4F30C4-6FC9-5640-B3F9-AB9FC2C575B7}" srcOrd="1" destOrd="0" presId="urn:microsoft.com/office/officeart/2005/8/layout/hierarchy1"/>
    <dgm:cxn modelId="{DCBFC646-3033-D542-91BE-36A5C43324F5}" type="presParOf" srcId="{5F4F30C4-6FC9-5640-B3F9-AB9FC2C575B7}" destId="{FA809F30-E553-7C4E-8E51-0D086E33E167}" srcOrd="0" destOrd="0" presId="urn:microsoft.com/office/officeart/2005/8/layout/hierarchy1"/>
    <dgm:cxn modelId="{CA210C5B-83FB-C64F-8DD6-DCF2B05B55D7}" type="presParOf" srcId="{FA809F30-E553-7C4E-8E51-0D086E33E167}" destId="{24A7E97A-9C38-3D4F-8D05-843B1DE6B343}" srcOrd="0" destOrd="0" presId="urn:microsoft.com/office/officeart/2005/8/layout/hierarchy1"/>
    <dgm:cxn modelId="{392B6CBB-71E9-BA47-A845-44C98C896EB2}" type="presParOf" srcId="{FA809F30-E553-7C4E-8E51-0D086E33E167}" destId="{D1EB6AEE-90BD-1A44-A047-A0E190D915C3}" srcOrd="1" destOrd="0" presId="urn:microsoft.com/office/officeart/2005/8/layout/hierarchy1"/>
    <dgm:cxn modelId="{43D72DF6-C865-CC47-9490-F113023AB108}" type="presParOf" srcId="{5F4F30C4-6FC9-5640-B3F9-AB9FC2C575B7}" destId="{E5D0F3A4-24B2-EC4F-A725-457117AE1993}" srcOrd="1" destOrd="0" presId="urn:microsoft.com/office/officeart/2005/8/layout/hierarchy1"/>
    <dgm:cxn modelId="{593F4445-2BEF-B942-89F1-A5201D0628EC}" type="presParOf" srcId="{00F4AA27-03AB-6A48-A791-628C17BA65E4}" destId="{7D4CEDF8-EE3D-384F-B412-688B02A55461}" srcOrd="2" destOrd="0" presId="urn:microsoft.com/office/officeart/2005/8/layout/hierarchy1"/>
    <dgm:cxn modelId="{FB05644B-4151-1741-964B-44482277A846}" type="presParOf" srcId="{00F4AA27-03AB-6A48-A791-628C17BA65E4}" destId="{739D0D5A-626B-C643-B85E-E21ECC56CAA5}" srcOrd="3" destOrd="0" presId="urn:microsoft.com/office/officeart/2005/8/layout/hierarchy1"/>
    <dgm:cxn modelId="{C9804199-7690-3C4E-9AFD-EB8D8661BBA9}" type="presParOf" srcId="{739D0D5A-626B-C643-B85E-E21ECC56CAA5}" destId="{C4FD0A6F-0D25-AC41-B42F-5148A9A9541C}" srcOrd="0" destOrd="0" presId="urn:microsoft.com/office/officeart/2005/8/layout/hierarchy1"/>
    <dgm:cxn modelId="{FFB98949-B50F-6D42-898C-3079607673A5}" type="presParOf" srcId="{C4FD0A6F-0D25-AC41-B42F-5148A9A9541C}" destId="{13CFDA96-3C29-DD46-80A5-0A20F5CC5129}" srcOrd="0" destOrd="0" presId="urn:microsoft.com/office/officeart/2005/8/layout/hierarchy1"/>
    <dgm:cxn modelId="{0350EBF8-B8AB-FF41-A7CD-F82CE16F60FF}" type="presParOf" srcId="{C4FD0A6F-0D25-AC41-B42F-5148A9A9541C}" destId="{01F1BAB3-EA52-EF4F-BD77-06A157761AEB}" srcOrd="1" destOrd="0" presId="urn:microsoft.com/office/officeart/2005/8/layout/hierarchy1"/>
    <dgm:cxn modelId="{11CC570C-2189-3446-B239-D452C81AEF34}" type="presParOf" srcId="{739D0D5A-626B-C643-B85E-E21ECC56CAA5}" destId="{77073325-D0E5-F14E-8198-9D3554BE71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899B554-C8CA-CD4E-B99C-C7C7C62F0340}">
      <dsp:nvSpPr>
        <dsp:cNvPr id="0" name=""/>
        <dsp:cNvSpPr/>
      </dsp:nvSpPr>
      <dsp:spPr>
        <a:xfrm>
          <a:off x="1043391" y="740893"/>
          <a:ext cx="2891616" cy="2891616"/>
        </a:xfrm>
        <a:prstGeom prst="ellipse">
          <a:avLst/>
        </a:prstGeom>
        <a:gradFill rotWithShape="0">
          <a:gsLst>
            <a:gs pos="0">
              <a:schemeClr val="accent2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latin typeface="Copperplate"/>
              <a:cs typeface="Copperplate"/>
            </a:rPr>
            <a:t>The Gadfly Group</a:t>
          </a:r>
        </a:p>
      </dsp:txBody>
      <dsp:txXfrm>
        <a:off x="1428940" y="1246926"/>
        <a:ext cx="2120518" cy="1301227"/>
      </dsp:txXfrm>
    </dsp:sp>
    <dsp:sp modelId="{3AAF09BB-920F-4044-863A-87C6921D0F9D}">
      <dsp:nvSpPr>
        <dsp:cNvPr id="0" name=""/>
        <dsp:cNvSpPr/>
      </dsp:nvSpPr>
      <dsp:spPr>
        <a:xfrm>
          <a:off x="2086783" y="2548153"/>
          <a:ext cx="2891616" cy="2891616"/>
        </a:xfrm>
        <a:prstGeom prst="ellipse">
          <a:avLst/>
        </a:prstGeom>
        <a:gradFill rotWithShape="0">
          <a:gsLst>
            <a:gs pos="0">
              <a:schemeClr val="accent2">
                <a:alpha val="50000"/>
                <a:hueOff val="2340759"/>
                <a:satOff val="-2919"/>
                <a:lumOff val="686"/>
                <a:alphaOff val="0"/>
                <a:shade val="51000"/>
                <a:satMod val="130000"/>
              </a:schemeClr>
            </a:gs>
            <a:gs pos="80000">
              <a:schemeClr val="accent2">
                <a:alpha val="50000"/>
                <a:hueOff val="2340759"/>
                <a:satOff val="-2919"/>
                <a:lumOff val="686"/>
                <a:alphaOff val="0"/>
                <a:shade val="93000"/>
                <a:satMod val="130000"/>
              </a:schemeClr>
            </a:gs>
            <a:gs pos="100000">
              <a:schemeClr val="accent2">
                <a:alpha val="50000"/>
                <a:hueOff val="2340759"/>
                <a:satOff val="-2919"/>
                <a:lumOff val="686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ERP Vendors</a:t>
          </a:r>
        </a:p>
      </dsp:txBody>
      <dsp:txXfrm>
        <a:off x="2971136" y="3295154"/>
        <a:ext cx="1734969" cy="1590389"/>
      </dsp:txXfrm>
    </dsp:sp>
    <dsp:sp modelId="{15066493-5AA5-D945-A5BE-E9706A5CBE10}">
      <dsp:nvSpPr>
        <dsp:cNvPr id="0" name=""/>
        <dsp:cNvSpPr/>
      </dsp:nvSpPr>
      <dsp:spPr>
        <a:xfrm>
          <a:off x="0" y="2548153"/>
          <a:ext cx="2891616" cy="2891616"/>
        </a:xfrm>
        <a:prstGeom prst="ellipse">
          <a:avLst/>
        </a:prstGeom>
        <a:gradFill rotWithShape="0">
          <a:gsLst>
            <a:gs pos="0">
              <a:schemeClr val="accent2">
                <a:alpha val="50000"/>
                <a:hueOff val="4681519"/>
                <a:satOff val="-5839"/>
                <a:lumOff val="1373"/>
                <a:alphaOff val="0"/>
                <a:shade val="51000"/>
                <a:satMod val="130000"/>
              </a:schemeClr>
            </a:gs>
            <a:gs pos="80000">
              <a:schemeClr val="accent2">
                <a:alpha val="50000"/>
                <a:hueOff val="4681519"/>
                <a:satOff val="-5839"/>
                <a:lumOff val="1373"/>
                <a:alphaOff val="0"/>
                <a:shade val="93000"/>
                <a:satMod val="130000"/>
              </a:schemeClr>
            </a:gs>
            <a:gs pos="100000">
              <a:schemeClr val="accent2">
                <a:alpha val="50000"/>
                <a:hueOff val="4681519"/>
                <a:satOff val="-5839"/>
                <a:lumOff val="1373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>
              <a:latin typeface="Copperplate"/>
              <a:cs typeface="Copperplate"/>
            </a:rPr>
            <a:t>Employers</a:t>
          </a:r>
          <a:endParaRPr lang="en-US" sz="3600" kern="1200">
            <a:latin typeface="Copperplate"/>
            <a:cs typeface="Copperplate"/>
          </a:endParaRPr>
        </a:p>
      </dsp:txBody>
      <dsp:txXfrm>
        <a:off x="272293" y="3295154"/>
        <a:ext cx="1734969" cy="159038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70FA04-340A-7C4B-A8D4-BE8E49313859}">
      <dsp:nvSpPr>
        <dsp:cNvPr id="0" name=""/>
        <dsp:cNvSpPr/>
      </dsp:nvSpPr>
      <dsp:spPr>
        <a:xfrm>
          <a:off x="4923740" y="1732074"/>
          <a:ext cx="3866332" cy="613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974"/>
              </a:lnTo>
              <a:lnTo>
                <a:pt x="3866332" y="417974"/>
              </a:lnTo>
              <a:lnTo>
                <a:pt x="3866332" y="613340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13BEB0-812A-3D4F-8FFC-02AA05F90EEA}">
      <dsp:nvSpPr>
        <dsp:cNvPr id="0" name=""/>
        <dsp:cNvSpPr/>
      </dsp:nvSpPr>
      <dsp:spPr>
        <a:xfrm>
          <a:off x="4923740" y="1732074"/>
          <a:ext cx="1288777" cy="613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974"/>
              </a:lnTo>
              <a:lnTo>
                <a:pt x="1288777" y="417974"/>
              </a:lnTo>
              <a:lnTo>
                <a:pt x="1288777" y="613340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BEBC08-E8FB-2241-814E-F87A3F434A51}">
      <dsp:nvSpPr>
        <dsp:cNvPr id="0" name=""/>
        <dsp:cNvSpPr/>
      </dsp:nvSpPr>
      <dsp:spPr>
        <a:xfrm>
          <a:off x="3634963" y="1732074"/>
          <a:ext cx="1288777" cy="613340"/>
        </a:xfrm>
        <a:custGeom>
          <a:avLst/>
          <a:gdLst/>
          <a:ahLst/>
          <a:cxnLst/>
          <a:rect l="0" t="0" r="0" b="0"/>
          <a:pathLst>
            <a:path>
              <a:moveTo>
                <a:pt x="1288777" y="0"/>
              </a:moveTo>
              <a:lnTo>
                <a:pt x="1288777" y="417974"/>
              </a:lnTo>
              <a:lnTo>
                <a:pt x="0" y="417974"/>
              </a:lnTo>
              <a:lnTo>
                <a:pt x="0" y="613340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AD44E3-B447-3F4A-AE34-D70B27978DC7}">
      <dsp:nvSpPr>
        <dsp:cNvPr id="0" name=""/>
        <dsp:cNvSpPr/>
      </dsp:nvSpPr>
      <dsp:spPr>
        <a:xfrm>
          <a:off x="1057408" y="1732074"/>
          <a:ext cx="3866332" cy="613340"/>
        </a:xfrm>
        <a:custGeom>
          <a:avLst/>
          <a:gdLst/>
          <a:ahLst/>
          <a:cxnLst/>
          <a:rect l="0" t="0" r="0" b="0"/>
          <a:pathLst>
            <a:path>
              <a:moveTo>
                <a:pt x="3866332" y="0"/>
              </a:moveTo>
              <a:lnTo>
                <a:pt x="3866332" y="417974"/>
              </a:lnTo>
              <a:lnTo>
                <a:pt x="0" y="417974"/>
              </a:lnTo>
              <a:lnTo>
                <a:pt x="0" y="613340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FD5A76-A7DF-7345-B6A8-73149E36B5C5}">
      <dsp:nvSpPr>
        <dsp:cNvPr id="0" name=""/>
        <dsp:cNvSpPr/>
      </dsp:nvSpPr>
      <dsp:spPr>
        <a:xfrm>
          <a:off x="3869286" y="392917"/>
          <a:ext cx="2108908" cy="1339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66078D3-7CBD-FA4F-A6B7-A3814C1A6DB7}">
      <dsp:nvSpPr>
        <dsp:cNvPr id="0" name=""/>
        <dsp:cNvSpPr/>
      </dsp:nvSpPr>
      <dsp:spPr>
        <a:xfrm>
          <a:off x="4103609" y="615524"/>
          <a:ext cx="2108908" cy="133915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latin typeface="Copperplate"/>
              <a:cs typeface="Copperplate"/>
            </a:rPr>
            <a:t>The Gadfly Group's 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latin typeface="Copperplate"/>
              <a:cs typeface="Copperplate"/>
            </a:rPr>
            <a:t>Centers of Excellence</a:t>
          </a:r>
        </a:p>
      </dsp:txBody>
      <dsp:txXfrm>
        <a:off x="4142832" y="654747"/>
        <a:ext cx="2030462" cy="1260711"/>
      </dsp:txXfrm>
    </dsp:sp>
    <dsp:sp modelId="{42F922A8-35F4-2048-85D2-B926220DD798}">
      <dsp:nvSpPr>
        <dsp:cNvPr id="0" name=""/>
        <dsp:cNvSpPr/>
      </dsp:nvSpPr>
      <dsp:spPr>
        <a:xfrm>
          <a:off x="2953" y="2345415"/>
          <a:ext cx="2108908" cy="1339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3FE8425-5AEF-9D4D-BC50-39F300FCB446}">
      <dsp:nvSpPr>
        <dsp:cNvPr id="0" name=""/>
        <dsp:cNvSpPr/>
      </dsp:nvSpPr>
      <dsp:spPr>
        <a:xfrm>
          <a:off x="237276" y="2568022"/>
          <a:ext cx="2108908" cy="133915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latin typeface="Copperplate"/>
              <a:cs typeface="Copperplate"/>
            </a:rPr>
            <a:t>Financial Services</a:t>
          </a:r>
        </a:p>
      </dsp:txBody>
      <dsp:txXfrm>
        <a:off x="276499" y="2607245"/>
        <a:ext cx="2030462" cy="1260711"/>
      </dsp:txXfrm>
    </dsp:sp>
    <dsp:sp modelId="{8A361364-0F52-C640-8917-9A75DF2B7894}">
      <dsp:nvSpPr>
        <dsp:cNvPr id="0" name=""/>
        <dsp:cNvSpPr/>
      </dsp:nvSpPr>
      <dsp:spPr>
        <a:xfrm>
          <a:off x="2580508" y="2345415"/>
          <a:ext cx="2108908" cy="1339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D46D589-CA9C-5D43-AC62-737BBB8CA375}">
      <dsp:nvSpPr>
        <dsp:cNvPr id="0" name=""/>
        <dsp:cNvSpPr/>
      </dsp:nvSpPr>
      <dsp:spPr>
        <a:xfrm>
          <a:off x="2814832" y="2568022"/>
          <a:ext cx="2108908" cy="133915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latin typeface="Copperplate"/>
              <a:cs typeface="Copperplate"/>
            </a:rPr>
            <a:t>Marketing &amp; Business Intelligence</a:t>
          </a:r>
        </a:p>
      </dsp:txBody>
      <dsp:txXfrm>
        <a:off x="2854055" y="2607245"/>
        <a:ext cx="2030462" cy="1260711"/>
      </dsp:txXfrm>
    </dsp:sp>
    <dsp:sp modelId="{F769790C-F0AC-6E45-8E33-D9A211F6CCAC}">
      <dsp:nvSpPr>
        <dsp:cNvPr id="0" name=""/>
        <dsp:cNvSpPr/>
      </dsp:nvSpPr>
      <dsp:spPr>
        <a:xfrm>
          <a:off x="5158064" y="2345415"/>
          <a:ext cx="2108908" cy="1339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29F8A62-CDD3-7C4B-8042-D71B676F59F0}">
      <dsp:nvSpPr>
        <dsp:cNvPr id="0" name=""/>
        <dsp:cNvSpPr/>
      </dsp:nvSpPr>
      <dsp:spPr>
        <a:xfrm>
          <a:off x="5392387" y="2568022"/>
          <a:ext cx="2108908" cy="133915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latin typeface="Copperplate"/>
              <a:cs typeface="Copperplate"/>
            </a:rPr>
            <a:t>Project &amp; Program Management</a:t>
          </a:r>
        </a:p>
      </dsp:txBody>
      <dsp:txXfrm>
        <a:off x="5431610" y="2607245"/>
        <a:ext cx="2030462" cy="1260711"/>
      </dsp:txXfrm>
    </dsp:sp>
    <dsp:sp modelId="{39766B85-C514-9840-8AB7-37DE9F498332}">
      <dsp:nvSpPr>
        <dsp:cNvPr id="0" name=""/>
        <dsp:cNvSpPr/>
      </dsp:nvSpPr>
      <dsp:spPr>
        <a:xfrm>
          <a:off x="7735619" y="2345415"/>
          <a:ext cx="2108908" cy="1339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09E3991-4836-044F-8DC5-40FFD10D49A2}">
      <dsp:nvSpPr>
        <dsp:cNvPr id="0" name=""/>
        <dsp:cNvSpPr/>
      </dsp:nvSpPr>
      <dsp:spPr>
        <a:xfrm>
          <a:off x="7969942" y="2568022"/>
          <a:ext cx="2108908" cy="133915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latin typeface="Copperplate"/>
              <a:cs typeface="Copperplate"/>
            </a:rPr>
            <a:t>Entrepreneurial Incubator</a:t>
          </a:r>
        </a:p>
      </dsp:txBody>
      <dsp:txXfrm>
        <a:off x="8009165" y="2607245"/>
        <a:ext cx="2030462" cy="1260711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D4CEDF8-EE3D-384F-B412-688B02A55461}">
      <dsp:nvSpPr>
        <dsp:cNvPr id="0" name=""/>
        <dsp:cNvSpPr/>
      </dsp:nvSpPr>
      <dsp:spPr>
        <a:xfrm>
          <a:off x="8739852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051"/>
              </a:lnTo>
              <a:lnTo>
                <a:pt x="632255" y="205051"/>
              </a:lnTo>
              <a:lnTo>
                <a:pt x="632255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037D0E-B36B-DA4B-B471-6FB252875429}">
      <dsp:nvSpPr>
        <dsp:cNvPr id="0" name=""/>
        <dsp:cNvSpPr/>
      </dsp:nvSpPr>
      <dsp:spPr>
        <a:xfrm>
          <a:off x="8107597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632255" y="0"/>
              </a:moveTo>
              <a:lnTo>
                <a:pt x="632255" y="205051"/>
              </a:lnTo>
              <a:lnTo>
                <a:pt x="0" y="205051"/>
              </a:lnTo>
              <a:lnTo>
                <a:pt x="0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70FA04-340A-7C4B-A8D4-BE8E49313859}">
      <dsp:nvSpPr>
        <dsp:cNvPr id="0" name=""/>
        <dsp:cNvSpPr/>
      </dsp:nvSpPr>
      <dsp:spPr>
        <a:xfrm>
          <a:off x="4946322" y="2154464"/>
          <a:ext cx="3793530" cy="300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051"/>
              </a:lnTo>
              <a:lnTo>
                <a:pt x="3793530" y="205051"/>
              </a:lnTo>
              <a:lnTo>
                <a:pt x="3793530" y="300895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0985AD-2831-5940-88B8-8A4895B630C7}">
      <dsp:nvSpPr>
        <dsp:cNvPr id="0" name=""/>
        <dsp:cNvSpPr/>
      </dsp:nvSpPr>
      <dsp:spPr>
        <a:xfrm>
          <a:off x="6210832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051"/>
              </a:lnTo>
              <a:lnTo>
                <a:pt x="632255" y="205051"/>
              </a:lnTo>
              <a:lnTo>
                <a:pt x="632255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663774-8C93-FF4C-9907-50EDE2C78358}">
      <dsp:nvSpPr>
        <dsp:cNvPr id="0" name=""/>
        <dsp:cNvSpPr/>
      </dsp:nvSpPr>
      <dsp:spPr>
        <a:xfrm>
          <a:off x="5578577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632255" y="0"/>
              </a:moveTo>
              <a:lnTo>
                <a:pt x="632255" y="205051"/>
              </a:lnTo>
              <a:lnTo>
                <a:pt x="0" y="205051"/>
              </a:lnTo>
              <a:lnTo>
                <a:pt x="0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13BEB0-812A-3D4F-8FFC-02AA05F90EEA}">
      <dsp:nvSpPr>
        <dsp:cNvPr id="0" name=""/>
        <dsp:cNvSpPr/>
      </dsp:nvSpPr>
      <dsp:spPr>
        <a:xfrm>
          <a:off x="4946322" y="2154464"/>
          <a:ext cx="1264510" cy="300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051"/>
              </a:lnTo>
              <a:lnTo>
                <a:pt x="1264510" y="205051"/>
              </a:lnTo>
              <a:lnTo>
                <a:pt x="1264510" y="300895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FABA7F-A1FE-5548-8E96-851D3E10617E}">
      <dsp:nvSpPr>
        <dsp:cNvPr id="0" name=""/>
        <dsp:cNvSpPr/>
      </dsp:nvSpPr>
      <dsp:spPr>
        <a:xfrm>
          <a:off x="3681812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051"/>
              </a:lnTo>
              <a:lnTo>
                <a:pt x="632255" y="205051"/>
              </a:lnTo>
              <a:lnTo>
                <a:pt x="632255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A78E7E-A815-9B40-B9C3-33D4FA9A15DE}">
      <dsp:nvSpPr>
        <dsp:cNvPr id="0" name=""/>
        <dsp:cNvSpPr/>
      </dsp:nvSpPr>
      <dsp:spPr>
        <a:xfrm>
          <a:off x="3049557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632255" y="0"/>
              </a:moveTo>
              <a:lnTo>
                <a:pt x="632255" y="205051"/>
              </a:lnTo>
              <a:lnTo>
                <a:pt x="0" y="205051"/>
              </a:lnTo>
              <a:lnTo>
                <a:pt x="0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BEBC08-E8FB-2241-814E-F87A3F434A51}">
      <dsp:nvSpPr>
        <dsp:cNvPr id="0" name=""/>
        <dsp:cNvSpPr/>
      </dsp:nvSpPr>
      <dsp:spPr>
        <a:xfrm>
          <a:off x="3681812" y="2154464"/>
          <a:ext cx="1264510" cy="300895"/>
        </a:xfrm>
        <a:custGeom>
          <a:avLst/>
          <a:gdLst/>
          <a:ahLst/>
          <a:cxnLst/>
          <a:rect l="0" t="0" r="0" b="0"/>
          <a:pathLst>
            <a:path>
              <a:moveTo>
                <a:pt x="1264510" y="0"/>
              </a:moveTo>
              <a:lnTo>
                <a:pt x="1264510" y="205051"/>
              </a:lnTo>
              <a:lnTo>
                <a:pt x="0" y="205051"/>
              </a:lnTo>
              <a:lnTo>
                <a:pt x="0" y="300895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402337-ADD3-8F41-B62B-A42D533796D8}">
      <dsp:nvSpPr>
        <dsp:cNvPr id="0" name=""/>
        <dsp:cNvSpPr/>
      </dsp:nvSpPr>
      <dsp:spPr>
        <a:xfrm>
          <a:off x="1152791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051"/>
              </a:lnTo>
              <a:lnTo>
                <a:pt x="632255" y="205051"/>
              </a:lnTo>
              <a:lnTo>
                <a:pt x="632255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B6068B-26E9-BF4C-8684-1A0055A7D236}">
      <dsp:nvSpPr>
        <dsp:cNvPr id="0" name=""/>
        <dsp:cNvSpPr/>
      </dsp:nvSpPr>
      <dsp:spPr>
        <a:xfrm>
          <a:off x="520536" y="3112331"/>
          <a:ext cx="632255" cy="300895"/>
        </a:xfrm>
        <a:custGeom>
          <a:avLst/>
          <a:gdLst/>
          <a:ahLst/>
          <a:cxnLst/>
          <a:rect l="0" t="0" r="0" b="0"/>
          <a:pathLst>
            <a:path>
              <a:moveTo>
                <a:pt x="632255" y="0"/>
              </a:moveTo>
              <a:lnTo>
                <a:pt x="632255" y="205051"/>
              </a:lnTo>
              <a:lnTo>
                <a:pt x="0" y="205051"/>
              </a:lnTo>
              <a:lnTo>
                <a:pt x="0" y="300895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AD44E3-B447-3F4A-AE34-D70B27978DC7}">
      <dsp:nvSpPr>
        <dsp:cNvPr id="0" name=""/>
        <dsp:cNvSpPr/>
      </dsp:nvSpPr>
      <dsp:spPr>
        <a:xfrm>
          <a:off x="1152791" y="2154464"/>
          <a:ext cx="3793530" cy="300895"/>
        </a:xfrm>
        <a:custGeom>
          <a:avLst/>
          <a:gdLst/>
          <a:ahLst/>
          <a:cxnLst/>
          <a:rect l="0" t="0" r="0" b="0"/>
          <a:pathLst>
            <a:path>
              <a:moveTo>
                <a:pt x="3793530" y="0"/>
              </a:moveTo>
              <a:lnTo>
                <a:pt x="3793530" y="205051"/>
              </a:lnTo>
              <a:lnTo>
                <a:pt x="0" y="205051"/>
              </a:lnTo>
              <a:lnTo>
                <a:pt x="0" y="300895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FD5A76-A7DF-7345-B6A8-73149E36B5C5}">
      <dsp:nvSpPr>
        <dsp:cNvPr id="0" name=""/>
        <dsp:cNvSpPr/>
      </dsp:nvSpPr>
      <dsp:spPr>
        <a:xfrm>
          <a:off x="4429022" y="1497494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66078D3-7CBD-FA4F-A6B7-A3814C1A6DB7}">
      <dsp:nvSpPr>
        <dsp:cNvPr id="0" name=""/>
        <dsp:cNvSpPr/>
      </dsp:nvSpPr>
      <dsp:spPr>
        <a:xfrm>
          <a:off x="4543978" y="1606702"/>
          <a:ext cx="1034599" cy="656970"/>
        </a:xfrm>
        <a:prstGeom prst="roundRect">
          <a:avLst>
            <a:gd name="adj" fmla="val 10000"/>
          </a:avLst>
        </a:prstGeom>
        <a:solidFill>
          <a:srgbClr val="FFFFFF">
            <a:alpha val="90000"/>
          </a:srgb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The Gadfly Group's Centers of Excellence</a:t>
          </a:r>
        </a:p>
      </dsp:txBody>
      <dsp:txXfrm>
        <a:off x="4563220" y="1625944"/>
        <a:ext cx="996115" cy="618486"/>
      </dsp:txXfrm>
    </dsp:sp>
    <dsp:sp modelId="{42F922A8-35F4-2048-85D2-B926220DD798}">
      <dsp:nvSpPr>
        <dsp:cNvPr id="0" name=""/>
        <dsp:cNvSpPr/>
      </dsp:nvSpPr>
      <dsp:spPr>
        <a:xfrm>
          <a:off x="635492" y="2455360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3FE8425-5AEF-9D4D-BC50-39F300FCB446}">
      <dsp:nvSpPr>
        <dsp:cNvPr id="0" name=""/>
        <dsp:cNvSpPr/>
      </dsp:nvSpPr>
      <dsp:spPr>
        <a:xfrm>
          <a:off x="750447" y="2564568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Financial Services</a:t>
          </a:r>
        </a:p>
      </dsp:txBody>
      <dsp:txXfrm>
        <a:off x="769689" y="2583810"/>
        <a:ext cx="996115" cy="618486"/>
      </dsp:txXfrm>
    </dsp:sp>
    <dsp:sp modelId="{920838E6-1C72-9441-94E8-A365FDB8799B}">
      <dsp:nvSpPr>
        <dsp:cNvPr id="0" name=""/>
        <dsp:cNvSpPr/>
      </dsp:nvSpPr>
      <dsp:spPr>
        <a:xfrm>
          <a:off x="323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B9FC31C-F504-4F46-9A74-0533CF04DEC6}">
      <dsp:nvSpPr>
        <dsp:cNvPr id="0" name=""/>
        <dsp:cNvSpPr/>
      </dsp:nvSpPr>
      <dsp:spPr>
        <a:xfrm>
          <a:off x="118192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Financial Accounting</a:t>
          </a:r>
        </a:p>
      </dsp:txBody>
      <dsp:txXfrm>
        <a:off x="137434" y="3541677"/>
        <a:ext cx="996115" cy="618486"/>
      </dsp:txXfrm>
    </dsp:sp>
    <dsp:sp modelId="{825F44EB-245A-B94B-9096-37D4CA25A31E}">
      <dsp:nvSpPr>
        <dsp:cNvPr id="0" name=""/>
        <dsp:cNvSpPr/>
      </dsp:nvSpPr>
      <dsp:spPr>
        <a:xfrm>
          <a:off x="126774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9F5580D-B562-334A-8057-8046D3AA51AC}">
      <dsp:nvSpPr>
        <dsp:cNvPr id="0" name=""/>
        <dsp:cNvSpPr/>
      </dsp:nvSpPr>
      <dsp:spPr>
        <a:xfrm>
          <a:off x="1382702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Management Accounting</a:t>
          </a:r>
        </a:p>
      </dsp:txBody>
      <dsp:txXfrm>
        <a:off x="1401944" y="3541677"/>
        <a:ext cx="996115" cy="618486"/>
      </dsp:txXfrm>
    </dsp:sp>
    <dsp:sp modelId="{8A361364-0F52-C640-8917-9A75DF2B7894}">
      <dsp:nvSpPr>
        <dsp:cNvPr id="0" name=""/>
        <dsp:cNvSpPr/>
      </dsp:nvSpPr>
      <dsp:spPr>
        <a:xfrm>
          <a:off x="3164512" y="2455360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D46D589-CA9C-5D43-AC62-737BBB8CA375}">
      <dsp:nvSpPr>
        <dsp:cNvPr id="0" name=""/>
        <dsp:cNvSpPr/>
      </dsp:nvSpPr>
      <dsp:spPr>
        <a:xfrm>
          <a:off x="3279468" y="2564568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Marketing &amp; Business Intelligence</a:t>
          </a:r>
        </a:p>
      </dsp:txBody>
      <dsp:txXfrm>
        <a:off x="3298710" y="2583810"/>
        <a:ext cx="996115" cy="618486"/>
      </dsp:txXfrm>
    </dsp:sp>
    <dsp:sp modelId="{78118F28-DAE1-CD4B-BCFA-E0E45F6F6939}">
      <dsp:nvSpPr>
        <dsp:cNvPr id="0" name=""/>
        <dsp:cNvSpPr/>
      </dsp:nvSpPr>
      <dsp:spPr>
        <a:xfrm>
          <a:off x="253225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C5DBDF1-51B2-F445-931B-571D0124F6BF}">
      <dsp:nvSpPr>
        <dsp:cNvPr id="0" name=""/>
        <dsp:cNvSpPr/>
      </dsp:nvSpPr>
      <dsp:spPr>
        <a:xfrm>
          <a:off x="2647212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Analytics</a:t>
          </a:r>
        </a:p>
      </dsp:txBody>
      <dsp:txXfrm>
        <a:off x="2666454" y="3541677"/>
        <a:ext cx="996115" cy="618486"/>
      </dsp:txXfrm>
    </dsp:sp>
    <dsp:sp modelId="{3DC9656F-D364-8E41-A787-762A33DAEDC5}">
      <dsp:nvSpPr>
        <dsp:cNvPr id="0" name=""/>
        <dsp:cNvSpPr/>
      </dsp:nvSpPr>
      <dsp:spPr>
        <a:xfrm>
          <a:off x="379676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B361B94-4B21-6F47-AFA3-CAA54F85E98F}">
      <dsp:nvSpPr>
        <dsp:cNvPr id="0" name=""/>
        <dsp:cNvSpPr/>
      </dsp:nvSpPr>
      <dsp:spPr>
        <a:xfrm>
          <a:off x="3911723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Campaign Management</a:t>
          </a:r>
        </a:p>
      </dsp:txBody>
      <dsp:txXfrm>
        <a:off x="3930965" y="3541677"/>
        <a:ext cx="996115" cy="618486"/>
      </dsp:txXfrm>
    </dsp:sp>
    <dsp:sp modelId="{F769790C-F0AC-6E45-8E33-D9A211F6CCAC}">
      <dsp:nvSpPr>
        <dsp:cNvPr id="0" name=""/>
        <dsp:cNvSpPr/>
      </dsp:nvSpPr>
      <dsp:spPr>
        <a:xfrm>
          <a:off x="5693532" y="2455360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29F8A62-CDD3-7C4B-8042-D71B676F59F0}">
      <dsp:nvSpPr>
        <dsp:cNvPr id="0" name=""/>
        <dsp:cNvSpPr/>
      </dsp:nvSpPr>
      <dsp:spPr>
        <a:xfrm>
          <a:off x="5808488" y="2564568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Project &amp; Program Related</a:t>
          </a:r>
        </a:p>
      </dsp:txBody>
      <dsp:txXfrm>
        <a:off x="5827730" y="2583810"/>
        <a:ext cx="996115" cy="618486"/>
      </dsp:txXfrm>
    </dsp:sp>
    <dsp:sp modelId="{ECAA148A-841A-3547-AEA6-0B5057A008D9}">
      <dsp:nvSpPr>
        <dsp:cNvPr id="0" name=""/>
        <dsp:cNvSpPr/>
      </dsp:nvSpPr>
      <dsp:spPr>
        <a:xfrm>
          <a:off x="506127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88AC55B-44BA-984E-96F3-FAB20F533A7C}">
      <dsp:nvSpPr>
        <dsp:cNvPr id="0" name=""/>
        <dsp:cNvSpPr/>
      </dsp:nvSpPr>
      <dsp:spPr>
        <a:xfrm>
          <a:off x="5176233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Business Analysis</a:t>
          </a:r>
        </a:p>
      </dsp:txBody>
      <dsp:txXfrm>
        <a:off x="5195475" y="3541677"/>
        <a:ext cx="996115" cy="618486"/>
      </dsp:txXfrm>
    </dsp:sp>
    <dsp:sp modelId="{E95DBB98-80DC-8C46-9D96-16754C8C2889}">
      <dsp:nvSpPr>
        <dsp:cNvPr id="0" name=""/>
        <dsp:cNvSpPr/>
      </dsp:nvSpPr>
      <dsp:spPr>
        <a:xfrm>
          <a:off x="632578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09CFE86-779E-5E4C-8FFD-89E26C8A9D9D}">
      <dsp:nvSpPr>
        <dsp:cNvPr id="0" name=""/>
        <dsp:cNvSpPr/>
      </dsp:nvSpPr>
      <dsp:spPr>
        <a:xfrm>
          <a:off x="6440743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Project Management</a:t>
          </a:r>
        </a:p>
      </dsp:txBody>
      <dsp:txXfrm>
        <a:off x="6459985" y="3541677"/>
        <a:ext cx="996115" cy="618486"/>
      </dsp:txXfrm>
    </dsp:sp>
    <dsp:sp modelId="{39766B85-C514-9840-8AB7-37DE9F498332}">
      <dsp:nvSpPr>
        <dsp:cNvPr id="0" name=""/>
        <dsp:cNvSpPr/>
      </dsp:nvSpPr>
      <dsp:spPr>
        <a:xfrm>
          <a:off x="8222552" y="2455360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09E3991-4836-044F-8DC5-40FFD10D49A2}">
      <dsp:nvSpPr>
        <dsp:cNvPr id="0" name=""/>
        <dsp:cNvSpPr/>
      </dsp:nvSpPr>
      <dsp:spPr>
        <a:xfrm>
          <a:off x="8337508" y="2564568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Entrepreneurial Incubator</a:t>
          </a:r>
        </a:p>
      </dsp:txBody>
      <dsp:txXfrm>
        <a:off x="8356750" y="2583810"/>
        <a:ext cx="996115" cy="618486"/>
      </dsp:txXfrm>
    </dsp:sp>
    <dsp:sp modelId="{24A7E97A-9C38-3D4F-8D05-843B1DE6B343}">
      <dsp:nvSpPr>
        <dsp:cNvPr id="0" name=""/>
        <dsp:cNvSpPr/>
      </dsp:nvSpPr>
      <dsp:spPr>
        <a:xfrm>
          <a:off x="7590297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1EB6AEE-90BD-1A44-A047-A0E190D915C3}">
      <dsp:nvSpPr>
        <dsp:cNvPr id="0" name=""/>
        <dsp:cNvSpPr/>
      </dsp:nvSpPr>
      <dsp:spPr>
        <a:xfrm>
          <a:off x="7705253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Cultivation &amp; Mentorship</a:t>
          </a:r>
        </a:p>
      </dsp:txBody>
      <dsp:txXfrm>
        <a:off x="7724495" y="3541677"/>
        <a:ext cx="996115" cy="618486"/>
      </dsp:txXfrm>
    </dsp:sp>
    <dsp:sp modelId="{13CFDA96-3C29-DD46-80A5-0A20F5CC5129}">
      <dsp:nvSpPr>
        <dsp:cNvPr id="0" name=""/>
        <dsp:cNvSpPr/>
      </dsp:nvSpPr>
      <dsp:spPr>
        <a:xfrm>
          <a:off x="8854808" y="3413227"/>
          <a:ext cx="1034599" cy="6569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F1BAB3-EA52-EF4F-BD77-06A157761AEB}">
      <dsp:nvSpPr>
        <dsp:cNvPr id="0" name=""/>
        <dsp:cNvSpPr/>
      </dsp:nvSpPr>
      <dsp:spPr>
        <a:xfrm>
          <a:off x="8969763" y="3522435"/>
          <a:ext cx="1034599" cy="65697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Copperplate"/>
              <a:cs typeface="Copperplate"/>
            </a:rPr>
            <a:t>Funding &amp; Sponsorship</a:t>
          </a:r>
        </a:p>
      </dsp:txBody>
      <dsp:txXfrm>
        <a:off x="8989005" y="3541677"/>
        <a:ext cx="996115" cy="61848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diagramQuickStyle" Target="../diagrams/quickStyle2.xml"/><Relationship Id="rId7" Type="http://schemas.openxmlformats.org/officeDocument/2006/relationships/image" Target="../media/image3.png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2.png"/><Relationship Id="rId5" Type="http://schemas.microsoft.com/office/2007/relationships/diagramDrawing" Target="../diagrams/drawing2.xml"/><Relationship Id="rId10" Type="http://schemas.openxmlformats.org/officeDocument/2006/relationships/image" Target="../media/image6.png"/><Relationship Id="rId4" Type="http://schemas.openxmlformats.org/officeDocument/2006/relationships/diagramColors" Target="../diagrams/colors2.xml"/><Relationship Id="rId9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50802</xdr:rowOff>
    </xdr:from>
    <xdr:to>
      <xdr:col>6</xdr:col>
      <xdr:colOff>0</xdr:colOff>
      <xdr:row>30</xdr:row>
      <xdr:rowOff>50800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0" y="440269"/>
          <a:ext cx="4978400" cy="6180664"/>
          <a:chOff x="2794000" y="372533"/>
          <a:chExt cx="8940800" cy="6282267"/>
        </a:xfrm>
      </xdr:grpSpPr>
      <xdr:graphicFrame macro="">
        <xdr:nvGraphicFramePr>
          <xdr:cNvPr id="50" name="Diagram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GraphicFramePr/>
        </xdr:nvGraphicFramePr>
        <xdr:xfrm>
          <a:off x="2794000" y="372533"/>
          <a:ext cx="8940800" cy="6282267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 txBox="1"/>
        </xdr:nvSpPr>
        <xdr:spPr>
          <a:xfrm>
            <a:off x="4538134" y="3251200"/>
            <a:ext cx="1828799" cy="643467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rgbClr val="000000"/>
                </a:solidFill>
              </a:rPr>
              <a:t>Independent</a:t>
            </a:r>
            <a:r>
              <a:rPr lang="en-US" sz="1200" b="1" baseline="0">
                <a:solidFill>
                  <a:srgbClr val="000000"/>
                </a:solidFill>
              </a:rPr>
              <a:t> Contractors</a:t>
            </a:r>
            <a:endParaRPr lang="en-US" sz="1200" b="1">
              <a:solidFill>
                <a:srgbClr val="000000"/>
              </a:solidFill>
            </a:endParaRPr>
          </a:p>
        </xdr:txBody>
      </xdr: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 flipV="1">
            <a:off x="5723467" y="2760134"/>
            <a:ext cx="1540933" cy="2201333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 txBox="1"/>
        </xdr:nvSpPr>
        <xdr:spPr>
          <a:xfrm>
            <a:off x="7992532" y="3234267"/>
            <a:ext cx="2012646" cy="609601"/>
          </a:xfrm>
          <a:prstGeom prst="rect">
            <a:avLst/>
          </a:prstGeom>
          <a:ln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Strategic</a:t>
            </a:r>
            <a:r>
              <a:rPr lang="en-US" sz="1200" b="1" baseline="0">
                <a:solidFill>
                  <a:schemeClr val="bg1"/>
                </a:solidFill>
              </a:rPr>
              <a:t> Partnership</a:t>
            </a:r>
            <a:endParaRPr lang="en-US" sz="1200" b="1">
              <a:solidFill>
                <a:schemeClr val="bg1"/>
              </a:solidFill>
            </a:endParaRPr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/>
        </xdr:nvCxnSpPr>
        <xdr:spPr>
          <a:xfrm flipH="1" flipV="1">
            <a:off x="7145866" y="2726267"/>
            <a:ext cx="1727200" cy="2201335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CxnSpPr/>
        </xdr:nvCxnSpPr>
        <xdr:spPr>
          <a:xfrm>
            <a:off x="5520267" y="4961467"/>
            <a:ext cx="3674533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>
            <a:off x="6096000" y="4639733"/>
            <a:ext cx="2455333" cy="6603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1200" b="1"/>
              <a:t>Existing</a:t>
            </a:r>
          </a:p>
          <a:p>
            <a:pPr algn="ctr"/>
            <a:r>
              <a:rPr lang="en-US" sz="1600" b="1"/>
              <a:t> </a:t>
            </a:r>
            <a:r>
              <a:rPr lang="en-US" sz="1200" b="1"/>
              <a:t>Relationship</a:t>
            </a:r>
          </a:p>
        </xdr:txBody>
      </xdr:sp>
    </xdr:grpSp>
    <xdr:clientData/>
  </xdr:twoCellAnchor>
  <xdr:absoluteAnchor>
    <xdr:pos x="10058398" y="728134"/>
    <xdr:ext cx="8128000" cy="4470400"/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12700</xdr:rowOff>
    </xdr:from>
    <xdr:to>
      <xdr:col>3</xdr:col>
      <xdr:colOff>12700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6350</xdr:rowOff>
    </xdr:from>
    <xdr:to>
      <xdr:col>10</xdr:col>
      <xdr:colOff>25400</xdr:colOff>
      <xdr:row>11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11</xdr:row>
      <xdr:rowOff>171450</xdr:rowOff>
    </xdr:from>
    <xdr:to>
      <xdr:col>10</xdr:col>
      <xdr:colOff>38100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25</xdr:row>
      <xdr:rowOff>25400</xdr:rowOff>
    </xdr:from>
    <xdr:to>
      <xdr:col>6</xdr:col>
      <xdr:colOff>63500</xdr:colOff>
      <xdr:row>34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</xdr:colOff>
      <xdr:row>25</xdr:row>
      <xdr:rowOff>25400</xdr:rowOff>
    </xdr:from>
    <xdr:to>
      <xdr:col>8</xdr:col>
      <xdr:colOff>165100</xdr:colOff>
      <xdr:row>34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254000</xdr:colOff>
      <xdr:row>25</xdr:row>
      <xdr:rowOff>44450</xdr:rowOff>
    </xdr:from>
    <xdr:to>
      <xdr:col>10</xdr:col>
      <xdr:colOff>38100</xdr:colOff>
      <xdr:row>34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17</xdr:row>
      <xdr:rowOff>133350</xdr:rowOff>
    </xdr:from>
    <xdr:to>
      <xdr:col>3</xdr:col>
      <xdr:colOff>12700</xdr:colOff>
      <xdr:row>35</xdr:row>
      <xdr:rowOff>12700</xdr:rowOff>
    </xdr:to>
    <xdr:graphicFrame macro="">
      <xdr:nvGraphicFramePr>
        <xdr:cNvPr id="18" name="Chart 17" title="Startup Expens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82804</xdr:colOff>
      <xdr:row>11</xdr:row>
      <xdr:rowOff>139700</xdr:rowOff>
    </xdr:from>
    <xdr:to>
      <xdr:col>15</xdr:col>
      <xdr:colOff>698500</xdr:colOff>
      <xdr:row>34</xdr:row>
      <xdr:rowOff>177800</xdr:rowOff>
    </xdr:to>
    <xdr:pic>
      <xdr:nvPicPr>
        <xdr:cNvPr id="21" name="Picture 20" descr="Timeline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192002" y="2048002"/>
          <a:ext cx="4419600" cy="4565396"/>
        </a:xfrm>
        <a:prstGeom prst="rect">
          <a:avLst/>
        </a:prstGeom>
      </xdr:spPr>
    </xdr:pic>
    <xdr:clientData/>
  </xdr:twoCellAnchor>
  <xdr:oneCellAnchor>
    <xdr:from>
      <xdr:col>10</xdr:col>
      <xdr:colOff>88900</xdr:colOff>
      <xdr:row>11</xdr:row>
      <xdr:rowOff>88899</xdr:rowOff>
    </xdr:from>
    <xdr:ext cx="4559300" cy="59690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1125200" y="2070099"/>
          <a:ext cx="4559300" cy="5969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>
              <a:latin typeface="Copperplate"/>
              <a:cs typeface="Copperplate"/>
            </a:rPr>
            <a:t>The</a:t>
          </a:r>
          <a:r>
            <a:rPr lang="en-US" sz="2400" baseline="0">
              <a:latin typeface="Copperplate"/>
              <a:cs typeface="Copperplate"/>
            </a:rPr>
            <a:t> Gadfly Group </a:t>
          </a:r>
        </a:p>
        <a:p>
          <a:pPr algn="ctr"/>
          <a:r>
            <a:rPr lang="en-US" sz="1100" baseline="0"/>
            <a:t>Major Milestones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410635</xdr:colOff>
      <xdr:row>1</xdr:row>
      <xdr:rowOff>21165</xdr:rowOff>
    </xdr:from>
    <xdr:to>
      <xdr:col>11</xdr:col>
      <xdr:colOff>16933</xdr:colOff>
      <xdr:row>49</xdr:row>
      <xdr:rowOff>118533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GrpSpPr/>
      </xdr:nvGrpSpPr>
      <xdr:grpSpPr>
        <a:xfrm>
          <a:off x="410635" y="224365"/>
          <a:ext cx="10460565" cy="9850968"/>
          <a:chOff x="4339167" y="464527"/>
          <a:chExt cx="10405533" cy="8960972"/>
        </a:xfrm>
      </xdr:grpSpPr>
      <xdr:grpSp>
        <xdr:nvGrpSpPr>
          <xdr:cNvPr id="88" name="Group 87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GrpSpPr/>
        </xdr:nvGrpSpPr>
        <xdr:grpSpPr>
          <a:xfrm>
            <a:off x="4339167" y="464527"/>
            <a:ext cx="10405533" cy="8960972"/>
            <a:chOff x="4339167" y="464527"/>
            <a:chExt cx="10405533" cy="8960972"/>
          </a:xfrm>
        </xdr:grpSpPr>
        <xdr:sp macro="" textlink="">
          <xdr:nvSpPr>
            <xdr:cNvPr id="39" name="Rounded Rectangl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4339167" y="4574064"/>
              <a:ext cx="10405533" cy="2747434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2400">
                  <a:latin typeface="Copperplate"/>
                  <a:cs typeface="Copperplate"/>
                </a:rPr>
                <a:t>Secure</a:t>
              </a:r>
              <a:r>
                <a:rPr lang="en-US" sz="2400" baseline="0">
                  <a:latin typeface="Copperplate"/>
                  <a:cs typeface="Copperplate"/>
                </a:rPr>
                <a:t> Cloud Based Gateway</a:t>
              </a:r>
              <a:endParaRPr lang="en-US" sz="2400">
                <a:latin typeface="Copperplate"/>
                <a:cs typeface="Copperplate"/>
              </a:endParaRPr>
            </a:p>
          </xdr:txBody>
        </xdr:sp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4504267" y="464527"/>
            <a:ext cx="10028766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CxnSpPr/>
          </xdr:nvCxnSpPr>
          <xdr:spPr>
            <a:xfrm flipV="1">
              <a:off x="5787457" y="3973944"/>
              <a:ext cx="3743" cy="918605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CxnSpPr/>
          </xdr:nvCxnSpPr>
          <xdr:spPr>
            <a:xfrm flipH="1" flipV="1">
              <a:off x="8153400" y="3969855"/>
              <a:ext cx="18579" cy="956271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CxnSpPr/>
          </xdr:nvCxnSpPr>
          <xdr:spPr>
            <a:xfrm flipH="1" flipV="1">
              <a:off x="10854267" y="3969855"/>
              <a:ext cx="7942" cy="922694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Arrow Connector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CxnSpPr/>
          </xdr:nvCxnSpPr>
          <xdr:spPr>
            <a:xfrm flipV="1">
              <a:off x="13567724" y="3940367"/>
              <a:ext cx="109" cy="952183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GrpSpPr/>
          </xdr:nvGrpSpPr>
          <xdr:grpSpPr>
            <a:xfrm>
              <a:off x="4618567" y="5173742"/>
              <a:ext cx="9850965" cy="1566338"/>
              <a:chOff x="4660900" y="5391580"/>
              <a:chExt cx="9817099" cy="1600204"/>
            </a:xfrm>
          </xdr:grpSpPr>
          <xdr:sp macro="" textlink="">
            <xdr:nvSpPr>
              <xdr:cNvPr id="28" name="Rounded Rectangle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4660900" y="5391580"/>
                <a:ext cx="9817099" cy="1600204"/>
              </a:xfrm>
              <a:prstGeom prst="roundRect">
                <a:avLst>
                  <a:gd name="adj" fmla="val 10000"/>
                </a:avLst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</xdr:sp>
          <xdr:sp macro="" textlink="">
            <xdr:nvSpPr>
              <xdr:cNvPr id="29" name="Rounded Rectangle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175540" y="5632261"/>
                <a:ext cx="1317974" cy="905256"/>
              </a:xfrm>
              <a:prstGeom prst="roundRect">
                <a:avLst>
                  <a:gd name="adj" fmla="val 10000"/>
                </a:avLst>
              </a:prstGeom>
              <a:blipFill rotWithShape="1">
                <a:blip xmlns:r="http://schemas.openxmlformats.org/officeDocument/2006/relationships" r:embed="rId6"/>
                <a:stretch>
                  <a:fillRect/>
                </a:stretch>
              </a:blipFill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1">
                <a:scrgbClr r="0" g="0" b="0"/>
              </a:fillRef>
              <a:effectRef idx="2">
                <a:schemeClr val="accent1">
                  <a:tint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31" name="Rounded Rectangle 30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SpPr/>
            </xdr:nvSpPr>
            <xdr:spPr>
              <a:xfrm>
                <a:off x="7049911" y="5638609"/>
                <a:ext cx="1317974" cy="905256"/>
              </a:xfrm>
              <a:prstGeom prst="roundRect">
                <a:avLst>
                  <a:gd name="adj" fmla="val 10000"/>
                </a:avLst>
              </a:prstGeom>
              <a:blipFill rotWithShape="1">
                <a:blip xmlns:r="http://schemas.openxmlformats.org/officeDocument/2006/relationships" r:embed="rId7"/>
                <a:stretch>
                  <a:fillRect/>
                </a:stretch>
              </a:blipFill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1">
                <a:scrgbClr r="0" g="0" b="0"/>
              </a:fillRef>
              <a:effectRef idx="2">
                <a:schemeClr val="accent1">
                  <a:tint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33" name="Rounded Rectangle 32">
                <a:extLst>
                  <a:ext uri="{FF2B5EF4-FFF2-40B4-BE49-F238E27FC236}">
                    <a16:creationId xmlns:a16="http://schemas.microsoft.com/office/drawing/2014/main" id="{00000000-0008-0000-0200-000021000000}"/>
                  </a:ext>
                </a:extLst>
              </xdr:cNvPr>
              <xdr:cNvSpPr/>
            </xdr:nvSpPr>
            <xdr:spPr>
              <a:xfrm>
                <a:off x="8970885" y="5635274"/>
                <a:ext cx="1317974" cy="905256"/>
              </a:xfrm>
              <a:prstGeom prst="roundRect">
                <a:avLst>
                  <a:gd name="adj" fmla="val 10000"/>
                </a:avLst>
              </a:prstGeom>
              <a:blipFill rotWithShape="1">
                <a:blip xmlns:r="http://schemas.openxmlformats.org/officeDocument/2006/relationships" r:embed="rId8"/>
                <a:stretch>
                  <a:fillRect/>
                </a:stretch>
              </a:blipFill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1">
                <a:scrgbClr r="0" g="0" b="0"/>
              </a:fillRef>
              <a:effectRef idx="2">
                <a:schemeClr val="accent1">
                  <a:tint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35" name="Rounded Rectangle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/>
            </xdr:nvSpPr>
            <xdr:spPr>
              <a:xfrm>
                <a:off x="10890238" y="5635821"/>
                <a:ext cx="1317974" cy="905256"/>
              </a:xfrm>
              <a:prstGeom prst="roundRect">
                <a:avLst>
                  <a:gd name="adj" fmla="val 10000"/>
                </a:avLst>
              </a:prstGeom>
              <a:blipFill rotWithShape="1">
                <a:blip xmlns:r="http://schemas.openxmlformats.org/officeDocument/2006/relationships" r:embed="rId9"/>
                <a:stretch>
                  <a:fillRect/>
                </a:stretch>
              </a:blipFill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1">
                <a:scrgbClr r="0" g="0" b="0"/>
              </a:fillRef>
              <a:effectRef idx="2">
                <a:schemeClr val="accent1">
                  <a:tint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37" name="Rounded Rectangle 36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/>
            </xdr:nvSpPr>
            <xdr:spPr>
              <a:xfrm>
                <a:off x="12704186" y="5633370"/>
                <a:ext cx="1317974" cy="905256"/>
              </a:xfrm>
              <a:prstGeom prst="roundRect">
                <a:avLst>
                  <a:gd name="adj" fmla="val 10000"/>
                </a:avLst>
              </a:prstGeom>
              <a:blipFill rotWithShape="1">
                <a:blip xmlns:r="http://schemas.openxmlformats.org/officeDocument/2006/relationships" r:embed="rId10"/>
                <a:stretch>
                  <a:fillRect/>
                </a:stretch>
              </a:blipFill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1">
                <a:scrgbClr r="0" g="0" b="0"/>
              </a:fillRef>
              <a:effectRef idx="2">
                <a:schemeClr val="accent1">
                  <a:tint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lt1">
                  <a:hueOff val="0"/>
                  <a:satOff val="0"/>
                  <a:lumOff val="0"/>
                  <a:alphaOff val="0"/>
                </a:schemeClr>
              </a:fontRef>
            </xdr:style>
          </xdr:sp>
        </xdr:grpSp>
        <xdr:grpSp>
          <xdr:nvGrpSpPr>
            <xdr:cNvPr id="43" name="Group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GrpSpPr/>
          </xdr:nvGrpSpPr>
          <xdr:grpSpPr>
            <a:xfrm>
              <a:off x="4596671" y="7876133"/>
              <a:ext cx="4586156" cy="1549366"/>
              <a:chOff x="6721804" y="8015833"/>
              <a:chExt cx="4564990" cy="1583233"/>
            </a:xfrm>
          </xdr:grpSpPr>
          <xdr:sp macro="" textlink="">
            <xdr:nvSpPr>
              <xdr:cNvPr id="44" name="Rectangle 43">
                <a:extLst>
                  <a:ext uri="{FF2B5EF4-FFF2-40B4-BE49-F238E27FC236}">
                    <a16:creationId xmlns:a16="http://schemas.microsoft.com/office/drawing/2014/main" id="{00000000-0008-0000-0200-00002C000000}"/>
                  </a:ext>
                </a:extLst>
              </xdr:cNvPr>
              <xdr:cNvSpPr/>
            </xdr:nvSpPr>
            <xdr:spPr>
              <a:xfrm>
                <a:off x="6721804" y="8015833"/>
                <a:ext cx="1345748" cy="1583233"/>
              </a:xfrm>
              <a:prstGeom prst="rect">
                <a:avLst/>
              </a:prstGeom>
            </xdr:spPr>
            <xdr:style>
              <a:lnRef idx="1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45" name="Rectangle 44">
                <a:extLst>
                  <a:ext uri="{FF2B5EF4-FFF2-40B4-BE49-F238E27FC236}">
                    <a16:creationId xmlns:a16="http://schemas.microsoft.com/office/drawing/2014/main" id="{00000000-0008-0000-0200-00002D000000}"/>
                  </a:ext>
                </a:extLst>
              </xdr:cNvPr>
              <xdr:cNvSpPr/>
            </xdr:nvSpPr>
            <xdr:spPr>
              <a:xfrm>
                <a:off x="6789092" y="8079162"/>
                <a:ext cx="1211173" cy="1029101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/>
              <a:lstStyle/>
              <a:p>
                <a:pPr algn="ctr"/>
                <a:r>
                  <a:rPr lang="en-US" b="1">
                    <a:latin typeface="Copperplate"/>
                    <a:cs typeface="Copperplate"/>
                  </a:rPr>
                  <a:t>Publicly</a:t>
                </a:r>
                <a:r>
                  <a:rPr lang="en-US" b="1" baseline="0">
                    <a:latin typeface="Copperplate"/>
                    <a:cs typeface="Copperplate"/>
                  </a:rPr>
                  <a:t> Traded Firm 1</a:t>
                </a:r>
                <a:endParaRPr lang="en-US" b="1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46" name="Freeform 45">
                <a:extLst>
                  <a:ext uri="{FF2B5EF4-FFF2-40B4-BE49-F238E27FC236}">
                    <a16:creationId xmlns:a16="http://schemas.microsoft.com/office/drawing/2014/main" id="{00000000-0008-0000-0200-00002E000000}"/>
                  </a:ext>
                </a:extLst>
              </xdr:cNvPr>
              <xdr:cNvSpPr/>
            </xdr:nvSpPr>
            <xdr:spPr>
              <a:xfrm>
                <a:off x="6789092" y="9266600"/>
                <a:ext cx="1211173" cy="269137"/>
              </a:xfrm>
              <a:custGeom>
                <a:avLst/>
                <a:gdLst>
                  <a:gd name="connsiteX0" fmla="*/ 0 w 1211173"/>
                  <a:gd name="connsiteY0" fmla="*/ 0 h 269137"/>
                  <a:gd name="connsiteX1" fmla="*/ 1211173 w 1211173"/>
                  <a:gd name="connsiteY1" fmla="*/ 0 h 269137"/>
                  <a:gd name="connsiteX2" fmla="*/ 1211173 w 1211173"/>
                  <a:gd name="connsiteY2" fmla="*/ 269137 h 269137"/>
                  <a:gd name="connsiteX3" fmla="*/ 0 w 1211173"/>
                  <a:gd name="connsiteY3" fmla="*/ 269137 h 269137"/>
                  <a:gd name="connsiteX4" fmla="*/ 0 w 1211173"/>
                  <a:gd name="connsiteY4" fmla="*/ 0 h 2691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269137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269137"/>
                    </a:lnTo>
                    <a:lnTo>
                      <a:pt x="0" y="269137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45720" tIns="45720" rIns="45720" bIns="45720" numCol="1" spcCol="1270" anchor="ctr" anchorCtr="0">
                <a:noAutofit/>
              </a:bodyPr>
              <a:lstStyle/>
              <a:p>
                <a:pPr lvl="0" algn="ctr" defTabSz="5334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en-US" sz="1200" b="1" kern="1200">
                    <a:latin typeface="Copperplate"/>
                    <a:cs typeface="Copperplate"/>
                  </a:rPr>
                  <a:t>Industry</a:t>
                </a:r>
                <a:r>
                  <a:rPr lang="en-US" sz="1200" b="1" kern="1200" baseline="0">
                    <a:latin typeface="Copperplate"/>
                    <a:cs typeface="Copperplate"/>
                  </a:rPr>
                  <a:t> Leader</a:t>
                </a:r>
                <a:endParaRPr lang="en-US" sz="12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47" name="Freeform 46">
                <a:extLst>
                  <a:ext uri="{FF2B5EF4-FFF2-40B4-BE49-F238E27FC236}">
                    <a16:creationId xmlns:a16="http://schemas.microsoft.com/office/drawing/2014/main" id="{00000000-0008-0000-0200-00002F000000}"/>
                  </a:ext>
                </a:extLst>
              </xdr:cNvPr>
              <xdr:cNvSpPr/>
            </xdr:nvSpPr>
            <xdr:spPr>
              <a:xfrm>
                <a:off x="6789092" y="9108264"/>
                <a:ext cx="1211173" cy="158336"/>
              </a:xfrm>
              <a:custGeom>
                <a:avLst/>
                <a:gdLst>
                  <a:gd name="connsiteX0" fmla="*/ 0 w 1211173"/>
                  <a:gd name="connsiteY0" fmla="*/ 0 h 158336"/>
                  <a:gd name="connsiteX1" fmla="*/ 1211173 w 1211173"/>
                  <a:gd name="connsiteY1" fmla="*/ 0 h 158336"/>
                  <a:gd name="connsiteX2" fmla="*/ 1211173 w 1211173"/>
                  <a:gd name="connsiteY2" fmla="*/ 158336 h 158336"/>
                  <a:gd name="connsiteX3" fmla="*/ 0 w 1211173"/>
                  <a:gd name="connsiteY3" fmla="*/ 158336 h 158336"/>
                  <a:gd name="connsiteX4" fmla="*/ 0 w 1211173"/>
                  <a:gd name="connsiteY4" fmla="*/ 0 h 158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158336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158336"/>
                    </a:lnTo>
                    <a:lnTo>
                      <a:pt x="0" y="158336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0">
                <a:schemeClr val="dk1">
                  <a:alpha val="0"/>
                  <a:hueOff val="0"/>
                  <a:satOff val="0"/>
                  <a:lumOff val="0"/>
                  <a:alphaOff val="0"/>
                </a:schemeClr>
              </a:lnRef>
              <a:fill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tx1">
                  <a:hueOff val="0"/>
                  <a:satOff val="0"/>
                  <a:lumOff val="0"/>
                  <a:alphaOff val="0"/>
                </a:schemeClr>
              </a:fontRef>
            </xdr:style>
            <xdr:txBody>
              <a:bodyPr spcFirstLastPara="0" vert="horz" wrap="square" lIns="26670" tIns="26670" rIns="26670" bIns="26670" numCol="1" spcCol="1270" anchor="ctr" anchorCtr="0">
                <a:noAutofit/>
              </a:bodyPr>
              <a:lstStyle/>
              <a:p>
                <a:pPr lvl="0" algn="ctr" defTabSz="311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endParaRPr lang="en-US" sz="7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48" name="Rectangle 47">
                <a:extLst>
                  <a:ext uri="{FF2B5EF4-FFF2-40B4-BE49-F238E27FC236}">
                    <a16:creationId xmlns:a16="http://schemas.microsoft.com/office/drawing/2014/main" id="{00000000-0008-0000-0200-000030000000}"/>
                  </a:ext>
                </a:extLst>
              </xdr:cNvPr>
              <xdr:cNvSpPr/>
            </xdr:nvSpPr>
            <xdr:spPr>
              <a:xfrm>
                <a:off x="8331425" y="8015833"/>
                <a:ext cx="1345748" cy="1583233"/>
              </a:xfrm>
              <a:prstGeom prst="rect">
                <a:avLst/>
              </a:prstGeom>
            </xdr:spPr>
            <xdr:style>
              <a:lnRef idx="1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49" name="Rectangle 48">
                <a:extLst>
                  <a:ext uri="{FF2B5EF4-FFF2-40B4-BE49-F238E27FC236}">
                    <a16:creationId xmlns:a16="http://schemas.microsoft.com/office/drawing/2014/main" id="{00000000-0008-0000-0200-000031000000}"/>
                  </a:ext>
                </a:extLst>
              </xdr:cNvPr>
              <xdr:cNvSpPr/>
            </xdr:nvSpPr>
            <xdr:spPr>
              <a:xfrm>
                <a:off x="8398713" y="8079162"/>
                <a:ext cx="1211173" cy="1029101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/>
              <a:lstStyle/>
              <a:p>
                <a:pPr algn="ctr"/>
                <a:r>
                  <a:rPr lang="en-US" b="1">
                    <a:latin typeface="Copperplate"/>
                    <a:cs typeface="Copperplate"/>
                  </a:rPr>
                  <a:t>Publicly</a:t>
                </a:r>
                <a:r>
                  <a:rPr lang="en-US" b="1" baseline="0">
                    <a:latin typeface="Copperplate"/>
                    <a:cs typeface="Copperplate"/>
                  </a:rPr>
                  <a:t> Traded Firm 2</a:t>
                </a:r>
                <a:endParaRPr lang="en-US" b="1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50" name="Freeform 49">
                <a:extLst>
                  <a:ext uri="{FF2B5EF4-FFF2-40B4-BE49-F238E27FC236}">
                    <a16:creationId xmlns:a16="http://schemas.microsoft.com/office/drawing/2014/main" id="{00000000-0008-0000-0200-000032000000}"/>
                  </a:ext>
                </a:extLst>
              </xdr:cNvPr>
              <xdr:cNvSpPr/>
            </xdr:nvSpPr>
            <xdr:spPr>
              <a:xfrm>
                <a:off x="8398713" y="9266600"/>
                <a:ext cx="1211173" cy="269137"/>
              </a:xfrm>
              <a:custGeom>
                <a:avLst/>
                <a:gdLst>
                  <a:gd name="connsiteX0" fmla="*/ 0 w 1211173"/>
                  <a:gd name="connsiteY0" fmla="*/ 0 h 269137"/>
                  <a:gd name="connsiteX1" fmla="*/ 1211173 w 1211173"/>
                  <a:gd name="connsiteY1" fmla="*/ 0 h 269137"/>
                  <a:gd name="connsiteX2" fmla="*/ 1211173 w 1211173"/>
                  <a:gd name="connsiteY2" fmla="*/ 269137 h 269137"/>
                  <a:gd name="connsiteX3" fmla="*/ 0 w 1211173"/>
                  <a:gd name="connsiteY3" fmla="*/ 269137 h 269137"/>
                  <a:gd name="connsiteX4" fmla="*/ 0 w 1211173"/>
                  <a:gd name="connsiteY4" fmla="*/ 0 h 2691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269137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269137"/>
                    </a:lnTo>
                    <a:lnTo>
                      <a:pt x="0" y="269137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45720" tIns="45720" rIns="45720" bIns="45720" numCol="1" spcCol="1270" anchor="ctr" anchorCtr="0">
                <a:noAutofit/>
              </a:bodyPr>
              <a:lstStyle/>
              <a:p>
                <a:pPr lvl="0" algn="ctr" defTabSz="5334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en-US" sz="1200" b="1" kern="1200">
                    <a:latin typeface="Copperplate"/>
                    <a:cs typeface="Copperplate"/>
                  </a:rPr>
                  <a:t>Industry Leader</a:t>
                </a:r>
              </a:p>
            </xdr:txBody>
          </xdr:sp>
          <xdr:sp macro="" textlink="">
            <xdr:nvSpPr>
              <xdr:cNvPr id="51" name="Freeform 50">
                <a:extLst>
                  <a:ext uri="{FF2B5EF4-FFF2-40B4-BE49-F238E27FC236}">
                    <a16:creationId xmlns:a16="http://schemas.microsoft.com/office/drawing/2014/main" id="{00000000-0008-0000-0200-000033000000}"/>
                  </a:ext>
                </a:extLst>
              </xdr:cNvPr>
              <xdr:cNvSpPr/>
            </xdr:nvSpPr>
            <xdr:spPr>
              <a:xfrm>
                <a:off x="8398713" y="9108264"/>
                <a:ext cx="1211173" cy="158336"/>
              </a:xfrm>
              <a:custGeom>
                <a:avLst/>
                <a:gdLst>
                  <a:gd name="connsiteX0" fmla="*/ 0 w 1211173"/>
                  <a:gd name="connsiteY0" fmla="*/ 0 h 158336"/>
                  <a:gd name="connsiteX1" fmla="*/ 1211173 w 1211173"/>
                  <a:gd name="connsiteY1" fmla="*/ 0 h 158336"/>
                  <a:gd name="connsiteX2" fmla="*/ 1211173 w 1211173"/>
                  <a:gd name="connsiteY2" fmla="*/ 158336 h 158336"/>
                  <a:gd name="connsiteX3" fmla="*/ 0 w 1211173"/>
                  <a:gd name="connsiteY3" fmla="*/ 158336 h 158336"/>
                  <a:gd name="connsiteX4" fmla="*/ 0 w 1211173"/>
                  <a:gd name="connsiteY4" fmla="*/ 0 h 158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158336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158336"/>
                    </a:lnTo>
                    <a:lnTo>
                      <a:pt x="0" y="158336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0">
                <a:schemeClr val="dk1">
                  <a:alpha val="0"/>
                  <a:hueOff val="0"/>
                  <a:satOff val="0"/>
                  <a:lumOff val="0"/>
                  <a:alphaOff val="0"/>
                </a:schemeClr>
              </a:lnRef>
              <a:fill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tx1">
                  <a:hueOff val="0"/>
                  <a:satOff val="0"/>
                  <a:lumOff val="0"/>
                  <a:alphaOff val="0"/>
                </a:schemeClr>
              </a:fontRef>
            </xdr:style>
            <xdr:txBody>
              <a:bodyPr spcFirstLastPara="0" vert="horz" wrap="square" lIns="26670" tIns="26670" rIns="26670" bIns="26670" numCol="1" spcCol="1270" anchor="ctr" anchorCtr="0">
                <a:noAutofit/>
              </a:bodyPr>
              <a:lstStyle/>
              <a:p>
                <a:pPr lvl="0" algn="ctr" defTabSz="311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endParaRPr lang="en-US" sz="7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52" name="Rectangle 51">
                <a:extLst>
                  <a:ext uri="{FF2B5EF4-FFF2-40B4-BE49-F238E27FC236}">
                    <a16:creationId xmlns:a16="http://schemas.microsoft.com/office/drawing/2014/main" id="{00000000-0008-0000-0200-000034000000}"/>
                  </a:ext>
                </a:extLst>
              </xdr:cNvPr>
              <xdr:cNvSpPr/>
            </xdr:nvSpPr>
            <xdr:spPr>
              <a:xfrm>
                <a:off x="9941046" y="8015833"/>
                <a:ext cx="1345748" cy="1583233"/>
              </a:xfrm>
              <a:prstGeom prst="rect">
                <a:avLst/>
              </a:prstGeom>
            </xdr:spPr>
            <xdr:style>
              <a:lnRef idx="1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53" name="Rectangle 52">
                <a:extLst>
                  <a:ext uri="{FF2B5EF4-FFF2-40B4-BE49-F238E27FC236}">
                    <a16:creationId xmlns:a16="http://schemas.microsoft.com/office/drawing/2014/main" id="{00000000-0008-0000-0200-000035000000}"/>
                  </a:ext>
                </a:extLst>
              </xdr:cNvPr>
              <xdr:cNvSpPr/>
            </xdr:nvSpPr>
            <xdr:spPr>
              <a:xfrm>
                <a:off x="10008333" y="8079162"/>
                <a:ext cx="1211173" cy="1029101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/>
              <a:lstStyle/>
              <a:p>
                <a:pPr algn="ctr"/>
                <a:r>
                  <a:rPr lang="en-US" b="1">
                    <a:latin typeface="Copperplate"/>
                    <a:cs typeface="Copperplate"/>
                  </a:rPr>
                  <a:t>Publicly Traded Firm n</a:t>
                </a:r>
              </a:p>
            </xdr:txBody>
          </xdr:sp>
          <xdr:sp macro="" textlink="">
            <xdr:nvSpPr>
              <xdr:cNvPr id="54" name="Freeform 53">
                <a:extLst>
                  <a:ext uri="{FF2B5EF4-FFF2-40B4-BE49-F238E27FC236}">
                    <a16:creationId xmlns:a16="http://schemas.microsoft.com/office/drawing/2014/main" id="{00000000-0008-0000-0200-000036000000}"/>
                  </a:ext>
                </a:extLst>
              </xdr:cNvPr>
              <xdr:cNvSpPr/>
            </xdr:nvSpPr>
            <xdr:spPr>
              <a:xfrm>
                <a:off x="10008333" y="9266600"/>
                <a:ext cx="1211173" cy="269137"/>
              </a:xfrm>
              <a:custGeom>
                <a:avLst/>
                <a:gdLst>
                  <a:gd name="connsiteX0" fmla="*/ 0 w 1211173"/>
                  <a:gd name="connsiteY0" fmla="*/ 0 h 269137"/>
                  <a:gd name="connsiteX1" fmla="*/ 1211173 w 1211173"/>
                  <a:gd name="connsiteY1" fmla="*/ 0 h 269137"/>
                  <a:gd name="connsiteX2" fmla="*/ 1211173 w 1211173"/>
                  <a:gd name="connsiteY2" fmla="*/ 269137 h 269137"/>
                  <a:gd name="connsiteX3" fmla="*/ 0 w 1211173"/>
                  <a:gd name="connsiteY3" fmla="*/ 269137 h 269137"/>
                  <a:gd name="connsiteX4" fmla="*/ 0 w 1211173"/>
                  <a:gd name="connsiteY4" fmla="*/ 0 h 2691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269137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269137"/>
                    </a:lnTo>
                    <a:lnTo>
                      <a:pt x="0" y="269137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spcFirstLastPara="0" vert="horz" wrap="square" lIns="45720" tIns="45720" rIns="45720" bIns="45720" numCol="1" spcCol="1270" anchor="ctr" anchorCtr="0">
                <a:noAutofit/>
              </a:bodyPr>
              <a:lstStyle/>
              <a:p>
                <a:pPr lvl="0" algn="ctr" defTabSz="5334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en-US" sz="1200" b="1" kern="1200">
                    <a:latin typeface="Copperplate"/>
                    <a:cs typeface="Copperplate"/>
                  </a:rPr>
                  <a:t>Industry</a:t>
                </a:r>
                <a:r>
                  <a:rPr lang="en-US" sz="1200" b="1" kern="1200" baseline="0">
                    <a:latin typeface="Copperplate"/>
                    <a:cs typeface="Copperplate"/>
                  </a:rPr>
                  <a:t> Leader</a:t>
                </a:r>
                <a:endParaRPr lang="en-US" sz="12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55" name="Freeform 54">
                <a:extLst>
                  <a:ext uri="{FF2B5EF4-FFF2-40B4-BE49-F238E27FC236}">
                    <a16:creationId xmlns:a16="http://schemas.microsoft.com/office/drawing/2014/main" id="{00000000-0008-0000-0200-000037000000}"/>
                  </a:ext>
                </a:extLst>
              </xdr:cNvPr>
              <xdr:cNvSpPr/>
            </xdr:nvSpPr>
            <xdr:spPr>
              <a:xfrm>
                <a:off x="10008333" y="9108264"/>
                <a:ext cx="1211173" cy="158336"/>
              </a:xfrm>
              <a:custGeom>
                <a:avLst/>
                <a:gdLst>
                  <a:gd name="connsiteX0" fmla="*/ 0 w 1211173"/>
                  <a:gd name="connsiteY0" fmla="*/ 0 h 158336"/>
                  <a:gd name="connsiteX1" fmla="*/ 1211173 w 1211173"/>
                  <a:gd name="connsiteY1" fmla="*/ 0 h 158336"/>
                  <a:gd name="connsiteX2" fmla="*/ 1211173 w 1211173"/>
                  <a:gd name="connsiteY2" fmla="*/ 158336 h 158336"/>
                  <a:gd name="connsiteX3" fmla="*/ 0 w 1211173"/>
                  <a:gd name="connsiteY3" fmla="*/ 158336 h 158336"/>
                  <a:gd name="connsiteX4" fmla="*/ 0 w 1211173"/>
                  <a:gd name="connsiteY4" fmla="*/ 0 h 158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158336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158336"/>
                    </a:lnTo>
                    <a:lnTo>
                      <a:pt x="0" y="158336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0">
                <a:schemeClr val="dk1">
                  <a:alpha val="0"/>
                  <a:hueOff val="0"/>
                  <a:satOff val="0"/>
                  <a:lumOff val="0"/>
                  <a:alphaOff val="0"/>
                </a:schemeClr>
              </a:lnRef>
              <a:fill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tx1">
                  <a:hueOff val="0"/>
                  <a:satOff val="0"/>
                  <a:lumOff val="0"/>
                  <a:alphaOff val="0"/>
                </a:schemeClr>
              </a:fontRef>
            </xdr:style>
            <xdr:txBody>
              <a:bodyPr spcFirstLastPara="0" vert="horz" wrap="square" lIns="26670" tIns="26670" rIns="26670" bIns="26670" numCol="1" spcCol="1270" anchor="ctr" anchorCtr="0">
                <a:noAutofit/>
              </a:bodyPr>
              <a:lstStyle/>
              <a:p>
                <a:pPr lvl="0" algn="ctr" defTabSz="311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endParaRPr lang="en-US" sz="700" b="1" kern="1200">
                  <a:latin typeface="Copperplate"/>
                  <a:cs typeface="Copperplate"/>
                </a:endParaRPr>
              </a:p>
            </xdr:txBody>
          </xdr:sp>
        </xdr:grpSp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GrpSpPr/>
          </xdr:nvGrpSpPr>
          <xdr:grpSpPr>
            <a:xfrm>
              <a:off x="9643534" y="7874000"/>
              <a:ext cx="4614332" cy="1549366"/>
              <a:chOff x="6721804" y="8015833"/>
              <a:chExt cx="4601530" cy="1583233"/>
            </a:xfrm>
          </xdr:grpSpPr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00000000-0008-0000-0200-000039000000}"/>
                  </a:ext>
                </a:extLst>
              </xdr:cNvPr>
              <xdr:cNvSpPr/>
            </xdr:nvSpPr>
            <xdr:spPr>
              <a:xfrm>
                <a:off x="6721804" y="8015833"/>
                <a:ext cx="1345748" cy="1583233"/>
              </a:xfrm>
              <a:prstGeom prst="rect">
                <a:avLst/>
              </a:prstGeom>
            </xdr:spPr>
            <xdr:style>
              <a:lnRef idx="1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58" name="Rectangle 57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SpPr/>
            </xdr:nvSpPr>
            <xdr:spPr>
              <a:xfrm>
                <a:off x="6789092" y="8079162"/>
                <a:ext cx="1211173" cy="1029101"/>
              </a:xfrm>
              <a:prstGeom prst="rect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/>
              <a:lstStyle/>
              <a:p>
                <a:pPr algn="ctr"/>
                <a:r>
                  <a:rPr lang="en-US" b="1">
                    <a:latin typeface="Copperplate"/>
                    <a:cs typeface="Copperplate"/>
                  </a:rPr>
                  <a:t>Mid Sized Business</a:t>
                </a:r>
              </a:p>
            </xdr:txBody>
          </xdr:sp>
          <xdr:sp macro="" textlink="">
            <xdr:nvSpPr>
              <xdr:cNvPr id="59" name="Freeform 58">
                <a:extLst>
                  <a:ext uri="{FF2B5EF4-FFF2-40B4-BE49-F238E27FC236}">
                    <a16:creationId xmlns:a16="http://schemas.microsoft.com/office/drawing/2014/main" id="{00000000-0008-0000-0200-00003B000000}"/>
                  </a:ext>
                </a:extLst>
              </xdr:cNvPr>
              <xdr:cNvSpPr/>
            </xdr:nvSpPr>
            <xdr:spPr>
              <a:xfrm>
                <a:off x="6789092" y="9266600"/>
                <a:ext cx="1211173" cy="269137"/>
              </a:xfrm>
              <a:custGeom>
                <a:avLst/>
                <a:gdLst>
                  <a:gd name="connsiteX0" fmla="*/ 0 w 1211173"/>
                  <a:gd name="connsiteY0" fmla="*/ 0 h 269137"/>
                  <a:gd name="connsiteX1" fmla="*/ 1211173 w 1211173"/>
                  <a:gd name="connsiteY1" fmla="*/ 0 h 269137"/>
                  <a:gd name="connsiteX2" fmla="*/ 1211173 w 1211173"/>
                  <a:gd name="connsiteY2" fmla="*/ 269137 h 269137"/>
                  <a:gd name="connsiteX3" fmla="*/ 0 w 1211173"/>
                  <a:gd name="connsiteY3" fmla="*/ 269137 h 269137"/>
                  <a:gd name="connsiteX4" fmla="*/ 0 w 1211173"/>
                  <a:gd name="connsiteY4" fmla="*/ 0 h 2691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269137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269137"/>
                    </a:lnTo>
                    <a:lnTo>
                      <a:pt x="0" y="269137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spcFirstLastPara="0" vert="horz" wrap="square" lIns="45720" tIns="45720" rIns="45720" bIns="45720" numCol="1" spcCol="1270" anchor="ctr" anchorCtr="0">
                <a:noAutofit/>
              </a:bodyPr>
              <a:lstStyle/>
              <a:p>
                <a:pPr lvl="0" algn="ctr" defTabSz="5334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en-US" sz="1200" b="1" kern="1200">
                    <a:latin typeface="Copperplate"/>
                    <a:cs typeface="Copperplate"/>
                  </a:rPr>
                  <a:t>Growing</a:t>
                </a:r>
                <a:r>
                  <a:rPr lang="en-US" sz="1200" b="1" kern="1200" baseline="0">
                    <a:latin typeface="Copperplate"/>
                    <a:cs typeface="Copperplate"/>
                  </a:rPr>
                  <a:t> Firm</a:t>
                </a:r>
                <a:endParaRPr lang="en-US" sz="12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60" name="Freeform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SpPr/>
            </xdr:nvSpPr>
            <xdr:spPr>
              <a:xfrm>
                <a:off x="6789092" y="9108264"/>
                <a:ext cx="1211173" cy="158336"/>
              </a:xfrm>
              <a:custGeom>
                <a:avLst/>
                <a:gdLst>
                  <a:gd name="connsiteX0" fmla="*/ 0 w 1211173"/>
                  <a:gd name="connsiteY0" fmla="*/ 0 h 158336"/>
                  <a:gd name="connsiteX1" fmla="*/ 1211173 w 1211173"/>
                  <a:gd name="connsiteY1" fmla="*/ 0 h 158336"/>
                  <a:gd name="connsiteX2" fmla="*/ 1211173 w 1211173"/>
                  <a:gd name="connsiteY2" fmla="*/ 158336 h 158336"/>
                  <a:gd name="connsiteX3" fmla="*/ 0 w 1211173"/>
                  <a:gd name="connsiteY3" fmla="*/ 158336 h 158336"/>
                  <a:gd name="connsiteX4" fmla="*/ 0 w 1211173"/>
                  <a:gd name="connsiteY4" fmla="*/ 0 h 158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158336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158336"/>
                    </a:lnTo>
                    <a:lnTo>
                      <a:pt x="0" y="158336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0">
                <a:schemeClr val="dk1">
                  <a:alpha val="0"/>
                  <a:hueOff val="0"/>
                  <a:satOff val="0"/>
                  <a:lumOff val="0"/>
                  <a:alphaOff val="0"/>
                </a:schemeClr>
              </a:lnRef>
              <a:fill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tx1">
                  <a:hueOff val="0"/>
                  <a:satOff val="0"/>
                  <a:lumOff val="0"/>
                  <a:alphaOff val="0"/>
                </a:schemeClr>
              </a:fontRef>
            </xdr:style>
            <xdr:txBody>
              <a:bodyPr spcFirstLastPara="0" vert="horz" wrap="square" lIns="26670" tIns="26670" rIns="26670" bIns="26670" numCol="1" spcCol="1270" anchor="ctr" anchorCtr="0">
                <a:noAutofit/>
              </a:bodyPr>
              <a:lstStyle/>
              <a:p>
                <a:pPr lvl="0" algn="ctr" defTabSz="311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endParaRPr lang="en-US" sz="7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61" name="Rectangle 60">
                <a:extLst>
                  <a:ext uri="{FF2B5EF4-FFF2-40B4-BE49-F238E27FC236}">
                    <a16:creationId xmlns:a16="http://schemas.microsoft.com/office/drawing/2014/main" id="{00000000-0008-0000-0200-00003D000000}"/>
                  </a:ext>
                </a:extLst>
              </xdr:cNvPr>
              <xdr:cNvSpPr/>
            </xdr:nvSpPr>
            <xdr:spPr>
              <a:xfrm>
                <a:off x="8331425" y="8015833"/>
                <a:ext cx="1345748" cy="1583233"/>
              </a:xfrm>
              <a:prstGeom prst="rect">
                <a:avLst/>
              </a:prstGeom>
            </xdr:spPr>
            <xdr:style>
              <a:lnRef idx="1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62" name="Rectangle 61">
                <a:extLst>
                  <a:ext uri="{FF2B5EF4-FFF2-40B4-BE49-F238E27FC236}">
                    <a16:creationId xmlns:a16="http://schemas.microsoft.com/office/drawing/2014/main" id="{00000000-0008-0000-0200-00003E000000}"/>
                  </a:ext>
                </a:extLst>
              </xdr:cNvPr>
              <xdr:cNvSpPr/>
            </xdr:nvSpPr>
            <xdr:spPr>
              <a:xfrm>
                <a:off x="8398713" y="8079162"/>
                <a:ext cx="1211173" cy="1029101"/>
              </a:xfrm>
              <a:prstGeom prst="rect">
                <a:avLst/>
              </a:prstGeom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/>
              <a:lstStyle/>
              <a:p>
                <a:pPr algn="ctr"/>
                <a:r>
                  <a:rPr lang="en-US" b="1">
                    <a:latin typeface="Copperplate"/>
                    <a:cs typeface="Copperplate"/>
                  </a:rPr>
                  <a:t>Small</a:t>
                </a:r>
                <a:r>
                  <a:rPr lang="en-US" b="1" baseline="0">
                    <a:latin typeface="Copperplate"/>
                    <a:cs typeface="Copperplate"/>
                  </a:rPr>
                  <a:t> Business</a:t>
                </a:r>
                <a:endParaRPr lang="en-US" b="1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63" name="Freeform 62">
                <a:extLst>
                  <a:ext uri="{FF2B5EF4-FFF2-40B4-BE49-F238E27FC236}">
                    <a16:creationId xmlns:a16="http://schemas.microsoft.com/office/drawing/2014/main" id="{00000000-0008-0000-0200-00003F000000}"/>
                  </a:ext>
                </a:extLst>
              </xdr:cNvPr>
              <xdr:cNvSpPr/>
            </xdr:nvSpPr>
            <xdr:spPr>
              <a:xfrm>
                <a:off x="8398713" y="9266600"/>
                <a:ext cx="1211173" cy="269137"/>
              </a:xfrm>
              <a:custGeom>
                <a:avLst/>
                <a:gdLst>
                  <a:gd name="connsiteX0" fmla="*/ 0 w 1211173"/>
                  <a:gd name="connsiteY0" fmla="*/ 0 h 269137"/>
                  <a:gd name="connsiteX1" fmla="*/ 1211173 w 1211173"/>
                  <a:gd name="connsiteY1" fmla="*/ 0 h 269137"/>
                  <a:gd name="connsiteX2" fmla="*/ 1211173 w 1211173"/>
                  <a:gd name="connsiteY2" fmla="*/ 269137 h 269137"/>
                  <a:gd name="connsiteX3" fmla="*/ 0 w 1211173"/>
                  <a:gd name="connsiteY3" fmla="*/ 269137 h 269137"/>
                  <a:gd name="connsiteX4" fmla="*/ 0 w 1211173"/>
                  <a:gd name="connsiteY4" fmla="*/ 0 h 2691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269137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269137"/>
                    </a:lnTo>
                    <a:lnTo>
                      <a:pt x="0" y="269137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spcFirstLastPara="0" vert="horz" wrap="square" lIns="45720" tIns="45720" rIns="45720" bIns="45720" numCol="1" spcCol="1270" anchor="ctr" anchorCtr="0">
                <a:noAutofit/>
              </a:bodyPr>
              <a:lstStyle/>
              <a:p>
                <a:pPr lvl="0" algn="ctr" defTabSz="5334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en-US" sz="1200" b="1" kern="1200">
                    <a:latin typeface="Copperplate"/>
                    <a:cs typeface="Copperplate"/>
                  </a:rPr>
                  <a:t>Startup</a:t>
                </a:r>
              </a:p>
            </xdr:txBody>
          </xdr:sp>
          <xdr:sp macro="" textlink="">
            <xdr:nvSpPr>
              <xdr:cNvPr id="64" name="Freeform 63">
                <a:extLst>
                  <a:ext uri="{FF2B5EF4-FFF2-40B4-BE49-F238E27FC236}">
                    <a16:creationId xmlns:a16="http://schemas.microsoft.com/office/drawing/2014/main" id="{00000000-0008-0000-0200-000040000000}"/>
                  </a:ext>
                </a:extLst>
              </xdr:cNvPr>
              <xdr:cNvSpPr/>
            </xdr:nvSpPr>
            <xdr:spPr>
              <a:xfrm>
                <a:off x="8398713" y="9108264"/>
                <a:ext cx="1211173" cy="158336"/>
              </a:xfrm>
              <a:custGeom>
                <a:avLst/>
                <a:gdLst>
                  <a:gd name="connsiteX0" fmla="*/ 0 w 1211173"/>
                  <a:gd name="connsiteY0" fmla="*/ 0 h 158336"/>
                  <a:gd name="connsiteX1" fmla="*/ 1211173 w 1211173"/>
                  <a:gd name="connsiteY1" fmla="*/ 0 h 158336"/>
                  <a:gd name="connsiteX2" fmla="*/ 1211173 w 1211173"/>
                  <a:gd name="connsiteY2" fmla="*/ 158336 h 158336"/>
                  <a:gd name="connsiteX3" fmla="*/ 0 w 1211173"/>
                  <a:gd name="connsiteY3" fmla="*/ 158336 h 158336"/>
                  <a:gd name="connsiteX4" fmla="*/ 0 w 1211173"/>
                  <a:gd name="connsiteY4" fmla="*/ 0 h 158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158336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158336"/>
                    </a:lnTo>
                    <a:lnTo>
                      <a:pt x="0" y="158336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0">
                <a:schemeClr val="dk1">
                  <a:alpha val="0"/>
                  <a:hueOff val="0"/>
                  <a:satOff val="0"/>
                  <a:lumOff val="0"/>
                  <a:alphaOff val="0"/>
                </a:schemeClr>
              </a:lnRef>
              <a:fill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tx1">
                  <a:hueOff val="0"/>
                  <a:satOff val="0"/>
                  <a:lumOff val="0"/>
                  <a:alphaOff val="0"/>
                </a:schemeClr>
              </a:fontRef>
            </xdr:style>
            <xdr:txBody>
              <a:bodyPr spcFirstLastPara="0" vert="horz" wrap="square" lIns="26670" tIns="26670" rIns="26670" bIns="26670" numCol="1" spcCol="1270" anchor="ctr" anchorCtr="0">
                <a:noAutofit/>
              </a:bodyPr>
              <a:lstStyle/>
              <a:p>
                <a:pPr lvl="0" algn="ctr" defTabSz="311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endParaRPr lang="en-US" sz="700" b="1" kern="1200">
                  <a:latin typeface="Copperplate"/>
                  <a:cs typeface="Copperplate"/>
                </a:endParaRPr>
              </a:p>
            </xdr:txBody>
          </xdr:sp>
          <xdr:sp macro="" textlink="">
            <xdr:nvSpPr>
              <xdr:cNvPr id="65" name="Rectangle 64">
                <a:extLst>
                  <a:ext uri="{FF2B5EF4-FFF2-40B4-BE49-F238E27FC236}">
                    <a16:creationId xmlns:a16="http://schemas.microsoft.com/office/drawing/2014/main" id="{00000000-0008-0000-0200-000041000000}"/>
                  </a:ext>
                </a:extLst>
              </xdr:cNvPr>
              <xdr:cNvSpPr/>
            </xdr:nvSpPr>
            <xdr:spPr>
              <a:xfrm>
                <a:off x="9941046" y="8015833"/>
                <a:ext cx="1382288" cy="1583233"/>
              </a:xfrm>
              <a:prstGeom prst="rect">
                <a:avLst/>
              </a:prstGeom>
            </xdr:spPr>
            <xdr:style>
              <a:lnRef idx="1">
                <a:schemeClr val="accent1">
                  <a:hueOff val="0"/>
                  <a:satOff val="0"/>
                  <a:lumOff val="0"/>
                  <a:alphaOff val="0"/>
                </a:schemeClr>
              </a:lnRef>
              <a:fillRef idx="1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4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>
                  <a:hueOff val="0"/>
                  <a:satOff val="0"/>
                  <a:lumOff val="0"/>
                  <a:alphaOff val="0"/>
                </a:schemeClr>
              </a:fontRef>
            </xdr:style>
          </xdr:sp>
          <xdr:sp macro="" textlink="">
            <xdr:nvSpPr>
              <xdr:cNvPr id="66" name="Rectangle 65">
                <a:extLst>
                  <a:ext uri="{FF2B5EF4-FFF2-40B4-BE49-F238E27FC236}">
                    <a16:creationId xmlns:a16="http://schemas.microsoft.com/office/drawing/2014/main" id="{00000000-0008-0000-0200-000042000000}"/>
                  </a:ext>
                </a:extLst>
              </xdr:cNvPr>
              <xdr:cNvSpPr/>
            </xdr:nvSpPr>
            <xdr:spPr>
              <a:xfrm>
                <a:off x="10008333" y="8079162"/>
                <a:ext cx="1247458" cy="1029101"/>
              </a:xfrm>
              <a:prstGeom prst="rect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/>
              <a:lstStyle/>
              <a:p>
                <a:pPr algn="ctr"/>
                <a:r>
                  <a:rPr lang="en-US" b="1">
                    <a:latin typeface="Copperplate"/>
                    <a:cs typeface="Copperplate"/>
                  </a:rPr>
                  <a:t>Established organizations</a:t>
                </a:r>
              </a:p>
            </xdr:txBody>
          </xdr:sp>
          <xdr:sp macro="" textlink="">
            <xdr:nvSpPr>
              <xdr:cNvPr id="67" name="Freeform 66">
                <a:extLst>
                  <a:ext uri="{FF2B5EF4-FFF2-40B4-BE49-F238E27FC236}">
                    <a16:creationId xmlns:a16="http://schemas.microsoft.com/office/drawing/2014/main" id="{00000000-0008-0000-0200-000043000000}"/>
                  </a:ext>
                </a:extLst>
              </xdr:cNvPr>
              <xdr:cNvSpPr/>
            </xdr:nvSpPr>
            <xdr:spPr>
              <a:xfrm>
                <a:off x="10008333" y="9266600"/>
                <a:ext cx="1211173" cy="269137"/>
              </a:xfrm>
              <a:custGeom>
                <a:avLst/>
                <a:gdLst>
                  <a:gd name="connsiteX0" fmla="*/ 0 w 1211173"/>
                  <a:gd name="connsiteY0" fmla="*/ 0 h 269137"/>
                  <a:gd name="connsiteX1" fmla="*/ 1211173 w 1211173"/>
                  <a:gd name="connsiteY1" fmla="*/ 0 h 269137"/>
                  <a:gd name="connsiteX2" fmla="*/ 1211173 w 1211173"/>
                  <a:gd name="connsiteY2" fmla="*/ 269137 h 269137"/>
                  <a:gd name="connsiteX3" fmla="*/ 0 w 1211173"/>
                  <a:gd name="connsiteY3" fmla="*/ 269137 h 269137"/>
                  <a:gd name="connsiteX4" fmla="*/ 0 w 1211173"/>
                  <a:gd name="connsiteY4" fmla="*/ 0 h 26913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269137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269137"/>
                    </a:lnTo>
                    <a:lnTo>
                      <a:pt x="0" y="269137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spcFirstLastPara="0" vert="horz" wrap="square" lIns="45720" tIns="45720" rIns="45720" bIns="45720" numCol="1" spcCol="1270" anchor="ctr" anchorCtr="0">
                <a:noAutofit/>
              </a:bodyPr>
              <a:lstStyle/>
              <a:p>
                <a:pPr lvl="0" algn="ctr" defTabSz="5334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en-US" sz="1200" b="1" kern="1200">
                    <a:latin typeface="Copperplate"/>
                    <a:cs typeface="Copperplate"/>
                  </a:rPr>
                  <a:t>Non Profit</a:t>
                </a:r>
              </a:p>
            </xdr:txBody>
          </xdr:sp>
          <xdr:sp macro="" textlink="">
            <xdr:nvSpPr>
              <xdr:cNvPr id="68" name="Freeform 67">
                <a:extLst>
                  <a:ext uri="{FF2B5EF4-FFF2-40B4-BE49-F238E27FC236}">
                    <a16:creationId xmlns:a16="http://schemas.microsoft.com/office/drawing/2014/main" id="{00000000-0008-0000-0200-000044000000}"/>
                  </a:ext>
                </a:extLst>
              </xdr:cNvPr>
              <xdr:cNvSpPr/>
            </xdr:nvSpPr>
            <xdr:spPr>
              <a:xfrm>
                <a:off x="10008333" y="9108264"/>
                <a:ext cx="1211173" cy="158336"/>
              </a:xfrm>
              <a:custGeom>
                <a:avLst/>
                <a:gdLst>
                  <a:gd name="connsiteX0" fmla="*/ 0 w 1211173"/>
                  <a:gd name="connsiteY0" fmla="*/ 0 h 158336"/>
                  <a:gd name="connsiteX1" fmla="*/ 1211173 w 1211173"/>
                  <a:gd name="connsiteY1" fmla="*/ 0 h 158336"/>
                  <a:gd name="connsiteX2" fmla="*/ 1211173 w 1211173"/>
                  <a:gd name="connsiteY2" fmla="*/ 158336 h 158336"/>
                  <a:gd name="connsiteX3" fmla="*/ 0 w 1211173"/>
                  <a:gd name="connsiteY3" fmla="*/ 158336 h 158336"/>
                  <a:gd name="connsiteX4" fmla="*/ 0 w 1211173"/>
                  <a:gd name="connsiteY4" fmla="*/ 0 h 15833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211173" h="158336">
                    <a:moveTo>
                      <a:pt x="0" y="0"/>
                    </a:moveTo>
                    <a:lnTo>
                      <a:pt x="1211173" y="0"/>
                    </a:lnTo>
                    <a:lnTo>
                      <a:pt x="1211173" y="158336"/>
                    </a:lnTo>
                    <a:lnTo>
                      <a:pt x="0" y="158336"/>
                    </a:lnTo>
                    <a:lnTo>
                      <a:pt x="0" y="0"/>
                    </a:lnTo>
                    <a:close/>
                  </a:path>
                </a:pathLst>
              </a:custGeom>
            </xdr:spPr>
            <xdr:style>
              <a:lnRef idx="0">
                <a:schemeClr val="dk1">
                  <a:alpha val="0"/>
                  <a:hueOff val="0"/>
                  <a:satOff val="0"/>
                  <a:lumOff val="0"/>
                  <a:alphaOff val="0"/>
                </a:schemeClr>
              </a:lnRef>
              <a:fill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fillRef>
              <a:effectRef idx="0">
                <a:schemeClr val="lt1">
                  <a:alpha val="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tx1">
                  <a:hueOff val="0"/>
                  <a:satOff val="0"/>
                  <a:lumOff val="0"/>
                  <a:alphaOff val="0"/>
                </a:schemeClr>
              </a:fontRef>
            </xdr:style>
            <xdr:txBody>
              <a:bodyPr spcFirstLastPara="0" vert="horz" wrap="square" lIns="26670" tIns="26670" rIns="26670" bIns="26670" numCol="1" spcCol="1270" anchor="ctr" anchorCtr="0">
                <a:noAutofit/>
              </a:bodyPr>
              <a:lstStyle/>
              <a:p>
                <a:pPr lvl="0" algn="ctr" defTabSz="3111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endParaRPr lang="en-US" sz="700" b="1" kern="1200">
                  <a:latin typeface="Copperplate"/>
                  <a:cs typeface="Copperplate"/>
                </a:endParaRPr>
              </a:p>
            </xdr:txBody>
          </xdr:sp>
        </xdr:grpSp>
        <xdr:cxnSp macro="">
          <xdr:nvCxnSpPr>
            <xdr:cNvPr id="70" name="Straight Arrow Connector 69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CxnSpPr>
              <a:stCxn id="44" idx="0"/>
            </xdr:cNvCxnSpPr>
          </xdr:nvCxnSpPr>
          <xdr:spPr>
            <a:xfrm flipH="1" flipV="1">
              <a:off x="5270500" y="7031567"/>
              <a:ext cx="3278" cy="844566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2" name="Straight Arrow Connector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CxnSpPr>
              <a:stCxn id="48" idx="0"/>
            </xdr:cNvCxnSpPr>
          </xdr:nvCxnSpPr>
          <xdr:spPr>
            <a:xfrm flipV="1">
              <a:off x="6891866" y="7031567"/>
              <a:ext cx="1" cy="844566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4" name="Straight Arrow Connector 73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CxnSpPr>
              <a:stCxn id="52" idx="0"/>
            </xdr:cNvCxnSpPr>
          </xdr:nvCxnSpPr>
          <xdr:spPr>
            <a:xfrm flipV="1">
              <a:off x="8505720" y="7044267"/>
              <a:ext cx="3280" cy="831866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6" name="Straight Arrow Connector 75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CxnSpPr>
              <a:stCxn id="57" idx="0"/>
            </xdr:cNvCxnSpPr>
          </xdr:nvCxnSpPr>
          <xdr:spPr>
            <a:xfrm flipV="1">
              <a:off x="10316407" y="7056967"/>
              <a:ext cx="226" cy="817033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3">
              <a:schemeClr val="accent4"/>
            </a:lnRef>
            <a:fillRef idx="0">
              <a:schemeClr val="accent4"/>
            </a:fillRef>
            <a:effectRef idx="2">
              <a:schemeClr val="accent4"/>
            </a:effectRef>
            <a:fontRef idx="minor">
              <a:schemeClr val="tx1"/>
            </a:fontRef>
          </xdr:style>
        </xdr:cxnSp>
        <xdr:cxnSp macro="">
          <xdr:nvCxnSpPr>
            <xdr:cNvPr id="78" name="Straight Arrow Connector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CxnSpPr>
              <a:stCxn id="61" idx="0"/>
            </xdr:cNvCxnSpPr>
          </xdr:nvCxnSpPr>
          <xdr:spPr>
            <a:xfrm flipH="1" flipV="1">
              <a:off x="11921067" y="7069667"/>
              <a:ext cx="9195" cy="804333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80" name="Straight Arrow Connector 79">
              <a:extLst>
                <a:ext uri="{FF2B5EF4-FFF2-40B4-BE49-F238E27FC236}">
                  <a16:creationId xmlns:a16="http://schemas.microsoft.com/office/drawing/2014/main" id="{00000000-0008-0000-0200-000050000000}"/>
                </a:ext>
              </a:extLst>
            </xdr:cNvPr>
            <xdr:cNvCxnSpPr>
              <a:stCxn id="65" idx="0"/>
            </xdr:cNvCxnSpPr>
          </xdr:nvCxnSpPr>
          <xdr:spPr>
            <a:xfrm flipH="1" flipV="1">
              <a:off x="13542433" y="7090834"/>
              <a:ext cx="22366" cy="783166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SpPr txBox="1"/>
        </xdr:nvSpPr>
        <xdr:spPr>
          <a:xfrm>
            <a:off x="4682067" y="6620933"/>
            <a:ext cx="9563100" cy="4001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2000" b="1">
                <a:solidFill>
                  <a:schemeClr val="bg1"/>
                </a:solidFill>
                <a:latin typeface="Copperplate"/>
                <a:cs typeface="Copperplate"/>
              </a:rPr>
              <a:t>Functional Tasks &amp; Projects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889000</xdr:colOff>
      <xdr:row>24</xdr:row>
      <xdr:rowOff>50800</xdr:rowOff>
    </xdr:from>
    <xdr:to>
      <xdr:col>13</xdr:col>
      <xdr:colOff>101600</xdr:colOff>
      <xdr:row>28</xdr:row>
      <xdr:rowOff>50800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065000" y="3860800"/>
          <a:ext cx="1117600" cy="762000"/>
        </a:xfrm>
        <a:prstGeom prst="ellipse">
          <a:avLst/>
        </a:prstGeom>
        <a:solidFill>
          <a:schemeClr val="accent3">
            <a:alpha val="1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114300</xdr:rowOff>
    </xdr:from>
    <xdr:to>
      <xdr:col>14</xdr:col>
      <xdr:colOff>431800</xdr:colOff>
      <xdr:row>34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8</xdr:col>
      <xdr:colOff>228600</xdr:colOff>
      <xdr:row>27</xdr:row>
      <xdr:rowOff>74676</xdr:rowOff>
    </xdr:from>
    <xdr:to>
      <xdr:col>13</xdr:col>
      <xdr:colOff>393700</xdr:colOff>
      <xdr:row>31</xdr:row>
      <xdr:rowOff>25400</xdr:rowOff>
    </xdr:to>
    <xdr:sp macro="" textlink="">
      <xdr:nvSpPr>
        <xdr:cNvPr id="30" name="Double Brac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/>
      </xdr:nvSpPr>
      <xdr:spPr>
        <a:xfrm rot="16200000">
          <a:off x="10565638" y="1485138"/>
          <a:ext cx="712724" cy="8178800"/>
        </a:xfrm>
        <a:prstGeom prst="bracePair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vert="vert" rtlCol="0" anchor="ctr" anchorCtr="0"/>
        <a:lstStyle/>
        <a:p>
          <a:pPr algn="ctr"/>
          <a:r>
            <a:rPr lang="en-US" sz="2400">
              <a:latin typeface="Copperplate"/>
              <a:cs typeface="Copperplate"/>
            </a:rPr>
            <a:t>Relationship Managers</a:t>
          </a:r>
        </a:p>
      </xdr:txBody>
    </xdr:sp>
    <xdr:clientData/>
  </xdr:twoCellAnchor>
  <xdr:twoCellAnchor>
    <xdr:from>
      <xdr:col>10</xdr:col>
      <xdr:colOff>1803400</xdr:colOff>
      <xdr:row>32</xdr:row>
      <xdr:rowOff>76200</xdr:rowOff>
    </xdr:from>
    <xdr:to>
      <xdr:col>11</xdr:col>
      <xdr:colOff>638273</xdr:colOff>
      <xdr:row>35</xdr:row>
      <xdr:rowOff>160003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/>
      </xdr:nvSpPr>
      <xdr:spPr>
        <a:xfrm>
          <a:off x="10414000" y="6172200"/>
          <a:ext cx="1031973" cy="655303"/>
        </a:xfrm>
        <a:prstGeom prst="roundRect">
          <a:avLst>
            <a:gd name="adj" fmla="val 1000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10</xdr:col>
      <xdr:colOff>1917700</xdr:colOff>
      <xdr:row>31</xdr:row>
      <xdr:rowOff>165100</xdr:rowOff>
    </xdr:from>
    <xdr:to>
      <xdr:col>11</xdr:col>
      <xdr:colOff>752573</xdr:colOff>
      <xdr:row>35</xdr:row>
      <xdr:rowOff>58403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GrpSpPr/>
      </xdr:nvGrpSpPr>
      <xdr:grpSpPr>
        <a:xfrm>
          <a:off x="10541000" y="6464300"/>
          <a:ext cx="1031973" cy="706103"/>
          <a:chOff x="4532445" y="1609828"/>
          <a:chExt cx="1031973" cy="655303"/>
        </a:xfrm>
      </xdr:grpSpPr>
      <xdr:sp macro="" textlink="">
        <xdr:nvSpPr>
          <xdr:cNvPr id="33" name="Rounded Rectangle 32">
            <a:extLst>
              <a:ext uri="{FF2B5EF4-FFF2-40B4-BE49-F238E27FC236}">
                <a16:creationId xmlns:a16="http://schemas.microsoft.com/office/drawing/2014/main" id="{00000000-0008-0000-0C00-000021000000}"/>
              </a:ext>
            </a:extLst>
          </xdr:cNvPr>
          <xdr:cNvSpPr/>
        </xdr:nvSpPr>
        <xdr:spPr>
          <a:xfrm>
            <a:off x="4532445" y="1609828"/>
            <a:ext cx="1031973" cy="655303"/>
          </a:xfrm>
          <a:prstGeom prst="roundRect">
            <a:avLst>
              <a:gd name="adj" fmla="val 10000"/>
            </a:avLst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</xdr:sp>
      <xdr:sp macro="" textlink="">
        <xdr:nvSpPr>
          <xdr:cNvPr id="34" name="Rounded Rectangle 4">
            <a:extLst>
              <a:ext uri="{FF2B5EF4-FFF2-40B4-BE49-F238E27FC236}">
                <a16:creationId xmlns:a16="http://schemas.microsoft.com/office/drawing/2014/main" id="{00000000-0008-0000-0C00-000022000000}"/>
              </a:ext>
            </a:extLst>
          </xdr:cNvPr>
          <xdr:cNvSpPr/>
        </xdr:nvSpPr>
        <xdr:spPr>
          <a:xfrm>
            <a:off x="4551638" y="1629021"/>
            <a:ext cx="993587" cy="61691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1910" tIns="41910" rIns="41910" bIns="41910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100" kern="1200">
                <a:latin typeface="Copperplate"/>
                <a:cs typeface="Copperplate"/>
              </a:rPr>
              <a:t>Employers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76200</xdr:rowOff>
    </xdr:from>
    <xdr:to>
      <xdr:col>15</xdr:col>
      <xdr:colOff>495300</xdr:colOff>
      <xdr:row>33</xdr:row>
      <xdr:rowOff>101600</xdr:rowOff>
    </xdr:to>
    <xdr:pic>
      <xdr:nvPicPr>
        <xdr:cNvPr id="2" name="Picture 1" descr="Screen Shot 2013-12-23 at 3.40.27 PM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1" t="750" r="20781" b="37126"/>
        <a:stretch/>
      </xdr:blipFill>
      <xdr:spPr>
        <a:xfrm>
          <a:off x="1955800" y="76200"/>
          <a:ext cx="10922000" cy="6311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7</xdr:row>
      <xdr:rowOff>101600</xdr:rowOff>
    </xdr:from>
    <xdr:to>
      <xdr:col>16</xdr:col>
      <xdr:colOff>266700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317500</xdr:colOff>
      <xdr:row>8</xdr:row>
      <xdr:rowOff>1</xdr:rowOff>
    </xdr:from>
    <xdr:ext cx="4914900" cy="7620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8890000" y="1524001"/>
          <a:ext cx="4914900" cy="76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>
              <a:latin typeface="Copperplate"/>
              <a:cs typeface="Copperplate"/>
            </a:rPr>
            <a:t>The</a:t>
          </a:r>
          <a:r>
            <a:rPr lang="en-US" sz="3600" baseline="0">
              <a:latin typeface="Copperplate"/>
              <a:cs typeface="Copperplate"/>
            </a:rPr>
            <a:t> Gadfly Group </a:t>
          </a:r>
        </a:p>
        <a:p>
          <a:pPr algn="ctr"/>
          <a:endParaRPr lang="en-US" sz="1100" baseline="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194774</xdr:colOff>
      <xdr:row>24</xdr:row>
      <xdr:rowOff>77807</xdr:rowOff>
    </xdr:to>
    <xdr:graphicFrame macro="">
      <xdr:nvGraphicFramePr>
        <xdr:cNvPr id="2" name="Content Placeholder 10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555115</xdr:colOff>
      <xdr:row>6</xdr:row>
      <xdr:rowOff>7297</xdr:rowOff>
    </xdr:from>
    <xdr:to>
      <xdr:col>13</xdr:col>
      <xdr:colOff>46073</xdr:colOff>
      <xdr:row>9</xdr:row>
      <xdr:rowOff>114204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7159115" y="1150297"/>
          <a:ext cx="3618458" cy="678407"/>
        </a:xfrm>
        <a:prstGeom prst="lef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On par with inflation (consumer price index +49%)</a:t>
          </a:r>
        </a:p>
      </xdr:txBody>
    </xdr:sp>
    <xdr:clientData/>
  </xdr:twoCellAnchor>
  <xdr:twoCellAnchor>
    <xdr:from>
      <xdr:col>10</xdr:col>
      <xdr:colOff>556776</xdr:colOff>
      <xdr:row>13</xdr:row>
      <xdr:rowOff>106193</xdr:rowOff>
    </xdr:from>
    <xdr:to>
      <xdr:col>14</xdr:col>
      <xdr:colOff>431800</xdr:colOff>
      <xdr:row>16</xdr:row>
      <xdr:rowOff>102729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8811776" y="2582693"/>
          <a:ext cx="3177024" cy="568036"/>
        </a:xfrm>
        <a:prstGeom prst="leftArrow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Higher than population change (+15%)</a:t>
          </a:r>
        </a:p>
      </xdr:txBody>
    </xdr:sp>
    <xdr:clientData/>
  </xdr:twoCellAnchor>
  <xdr:twoCellAnchor>
    <xdr:from>
      <xdr:col>11</xdr:col>
      <xdr:colOff>42618</xdr:colOff>
      <xdr:row>17</xdr:row>
      <xdr:rowOff>51389</xdr:rowOff>
    </xdr:from>
    <xdr:to>
      <xdr:col>14</xdr:col>
      <xdr:colOff>98250</xdr:colOff>
      <xdr:row>19</xdr:row>
      <xdr:rowOff>101276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/>
      </xdr:nvSpPr>
      <xdr:spPr>
        <a:xfrm>
          <a:off x="9123118" y="3289889"/>
          <a:ext cx="2532132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Lower labor participation rate (-2.5%)</a:t>
          </a:r>
        </a:p>
        <a:p>
          <a:r>
            <a:rPr lang="en-US" sz="1100"/>
            <a:t>Higher unemployment rate (+4.4%)</a:t>
          </a:r>
        </a:p>
      </xdr:txBody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26</xdr:col>
      <xdr:colOff>482600</xdr:colOff>
      <xdr:row>24</xdr:row>
      <xdr:rowOff>88900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0" y="571500"/>
          <a:ext cx="8737600" cy="4089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2:J39"/>
  <sheetViews>
    <sheetView showGridLines="0" tabSelected="1" zoomScale="75" zoomScaleNormal="75" zoomScalePageLayoutView="75" workbookViewId="0">
      <selection activeCell="I44" sqref="I44"/>
    </sheetView>
  </sheetViews>
  <sheetFormatPr baseColWidth="10" defaultRowHeight="16" x14ac:dyDescent="0.2"/>
  <cols>
    <col min="7" max="7" width="13.33203125" customWidth="1"/>
    <col min="8" max="8" width="29.83203125" customWidth="1"/>
    <col min="9" max="9" width="23.83203125" customWidth="1"/>
    <col min="10" max="10" width="19.33203125" customWidth="1"/>
  </cols>
  <sheetData>
    <row r="2" spans="6:9" ht="15" customHeight="1" x14ac:dyDescent="0.55000000000000004">
      <c r="F2" s="148" t="s">
        <v>257</v>
      </c>
      <c r="G2" s="148"/>
      <c r="H2" s="148"/>
      <c r="I2" s="91"/>
    </row>
    <row r="3" spans="6:9" ht="15" customHeight="1" x14ac:dyDescent="0.55000000000000004">
      <c r="F3" s="148"/>
      <c r="G3" s="148"/>
      <c r="H3" s="148"/>
      <c r="I3" s="91"/>
    </row>
    <row r="4" spans="6:9" ht="15" customHeight="1" x14ac:dyDescent="0.55000000000000004">
      <c r="F4" s="148"/>
      <c r="G4" s="148"/>
      <c r="H4" s="148"/>
      <c r="I4" s="91"/>
    </row>
    <row r="5" spans="6:9" ht="15" customHeight="1" x14ac:dyDescent="0.55000000000000004">
      <c r="F5" s="148"/>
      <c r="G5" s="148"/>
      <c r="H5" s="148"/>
      <c r="I5" s="91"/>
    </row>
    <row r="6" spans="6:9" x14ac:dyDescent="0.2">
      <c r="F6" s="148"/>
      <c r="G6" s="148"/>
      <c r="H6" s="148"/>
    </row>
    <row r="7" spans="6:9" x14ac:dyDescent="0.2">
      <c r="F7" s="148"/>
      <c r="G7" s="148"/>
      <c r="H7" s="148"/>
    </row>
    <row r="10" spans="6:9" ht="15" customHeight="1" x14ac:dyDescent="0.2">
      <c r="G10" s="150" t="s">
        <v>266</v>
      </c>
      <c r="H10" s="150"/>
    </row>
    <row r="11" spans="6:9" ht="15" customHeight="1" x14ac:dyDescent="0.2">
      <c r="G11" s="150"/>
      <c r="H11" s="150"/>
    </row>
    <row r="13" spans="6:9" ht="19" x14ac:dyDescent="0.25">
      <c r="G13" s="149" t="s">
        <v>265</v>
      </c>
      <c r="H13" s="149"/>
    </row>
    <row r="14" spans="6:9" ht="19" x14ac:dyDescent="0.25">
      <c r="H14" s="92"/>
    </row>
    <row r="15" spans="6:9" ht="19" x14ac:dyDescent="0.25">
      <c r="G15" s="95">
        <v>1</v>
      </c>
      <c r="H15" s="93" t="s">
        <v>258</v>
      </c>
    </row>
    <row r="16" spans="6:9" ht="19" x14ac:dyDescent="0.25">
      <c r="G16" s="95"/>
      <c r="H16" s="93"/>
    </row>
    <row r="17" spans="7:10" x14ac:dyDescent="0.2">
      <c r="G17" s="95">
        <v>2</v>
      </c>
      <c r="H17" s="96" t="s">
        <v>267</v>
      </c>
    </row>
    <row r="18" spans="7:10" ht="19" x14ac:dyDescent="0.25">
      <c r="G18" s="95"/>
      <c r="H18" s="94"/>
    </row>
    <row r="19" spans="7:10" ht="19" x14ac:dyDescent="0.25">
      <c r="G19" s="95">
        <v>3</v>
      </c>
      <c r="H19" s="93" t="s">
        <v>3</v>
      </c>
    </row>
    <row r="20" spans="7:10" ht="19" x14ac:dyDescent="0.25">
      <c r="G20" s="95"/>
      <c r="H20" s="94"/>
    </row>
    <row r="21" spans="7:10" ht="19" x14ac:dyDescent="0.25">
      <c r="G21" s="95">
        <v>4</v>
      </c>
      <c r="H21" s="93" t="s">
        <v>250</v>
      </c>
    </row>
    <row r="22" spans="7:10" ht="19" x14ac:dyDescent="0.25">
      <c r="G22" s="95"/>
      <c r="H22" s="94"/>
    </row>
    <row r="23" spans="7:10" ht="19" x14ac:dyDescent="0.25">
      <c r="G23" s="95">
        <v>5</v>
      </c>
      <c r="H23" s="93" t="s">
        <v>251</v>
      </c>
    </row>
    <row r="24" spans="7:10" ht="19" x14ac:dyDescent="0.25">
      <c r="G24" s="95"/>
      <c r="H24" s="94"/>
    </row>
    <row r="25" spans="7:10" ht="19" x14ac:dyDescent="0.25">
      <c r="G25" s="95">
        <v>6</v>
      </c>
      <c r="H25" s="93" t="s">
        <v>237</v>
      </c>
    </row>
    <row r="26" spans="7:10" ht="19" x14ac:dyDescent="0.25">
      <c r="G26" s="95"/>
      <c r="H26" s="92"/>
      <c r="J26" s="97"/>
    </row>
    <row r="27" spans="7:10" ht="19" x14ac:dyDescent="0.25">
      <c r="G27" s="149" t="s">
        <v>264</v>
      </c>
      <c r="H27" s="149"/>
    </row>
    <row r="28" spans="7:10" ht="19" x14ac:dyDescent="0.25">
      <c r="H28" s="92"/>
    </row>
    <row r="29" spans="7:10" ht="19" x14ac:dyDescent="0.25">
      <c r="G29" s="2">
        <v>7</v>
      </c>
      <c r="H29" s="93" t="s">
        <v>259</v>
      </c>
    </row>
    <row r="30" spans="7:10" ht="19" x14ac:dyDescent="0.25">
      <c r="G30" s="2"/>
      <c r="H30" s="94"/>
    </row>
    <row r="31" spans="7:10" ht="19" x14ac:dyDescent="0.25">
      <c r="G31" s="2">
        <v>8</v>
      </c>
      <c r="H31" s="93" t="s">
        <v>260</v>
      </c>
    </row>
    <row r="32" spans="7:10" ht="19" x14ac:dyDescent="0.25">
      <c r="G32" s="2"/>
      <c r="H32" s="94"/>
    </row>
    <row r="33" spans="7:8" ht="19" x14ac:dyDescent="0.25">
      <c r="G33" s="2">
        <v>9</v>
      </c>
      <c r="H33" s="93" t="s">
        <v>261</v>
      </c>
    </row>
    <row r="34" spans="7:8" ht="19" x14ac:dyDescent="0.25">
      <c r="G34" s="2"/>
      <c r="H34" s="94"/>
    </row>
    <row r="35" spans="7:8" ht="19" x14ac:dyDescent="0.25">
      <c r="G35" s="2">
        <v>10</v>
      </c>
      <c r="H35" s="93" t="s">
        <v>262</v>
      </c>
    </row>
    <row r="36" spans="7:8" ht="19" x14ac:dyDescent="0.25">
      <c r="G36" s="2"/>
      <c r="H36" s="94"/>
    </row>
    <row r="37" spans="7:8" ht="19" x14ac:dyDescent="0.25">
      <c r="G37" s="2">
        <v>11</v>
      </c>
      <c r="H37" s="93" t="s">
        <v>263</v>
      </c>
    </row>
    <row r="38" spans="7:8" ht="19" x14ac:dyDescent="0.25">
      <c r="H38" s="92"/>
    </row>
    <row r="39" spans="7:8" ht="19" x14ac:dyDescent="0.25">
      <c r="G39" s="98">
        <v>12</v>
      </c>
      <c r="H39" s="118" t="s">
        <v>291</v>
      </c>
    </row>
  </sheetData>
  <mergeCells count="4">
    <mergeCell ref="F2:H7"/>
    <mergeCell ref="G27:H27"/>
    <mergeCell ref="G13:H13"/>
    <mergeCell ref="G10:H11"/>
  </mergeCells>
  <hyperlinks>
    <hyperlink ref="H19" location="COE!A1" display="Centers of Excellence" xr:uid="{00000000-0004-0000-0000-000000000000}"/>
    <hyperlink ref="H15" location="Dashboard!A1" display="Dashboard" xr:uid="{00000000-0004-0000-0000-000001000000}"/>
    <hyperlink ref="H21" location="'Revenue Assumptions'!A1" display="Revenue Assumptions" xr:uid="{00000000-0004-0000-0000-000002000000}"/>
    <hyperlink ref="H23" location="'Expense Assumptions'!A1" display="Expense Assumptions" xr:uid="{00000000-0004-0000-0000-000003000000}"/>
    <hyperlink ref="H25" location="'Depreciation Schedule'!A1" display="Depreciation Schedule" xr:uid="{00000000-0004-0000-0000-000004000000}"/>
    <hyperlink ref="H29" location="'Year1-Test-IncomeStatement'!A1" display="Year 1 Income Statement" xr:uid="{00000000-0004-0000-0000-000005000000}"/>
    <hyperlink ref="H31" location="'Year2-Test-IncomeStatement'!A1" display="Year 2 Income Statement" xr:uid="{00000000-0004-0000-0000-000006000000}"/>
    <hyperlink ref="H33" location="'ScaleUp-Initial- Year3 - Income'!A1" display="Year 3 Income Statement" xr:uid="{00000000-0004-0000-0000-000007000000}"/>
    <hyperlink ref="H35" location="'ScaleUp-Growth - Year4 - Income'!A1" display="Year 4 Income Statement" xr:uid="{00000000-0004-0000-0000-000008000000}"/>
    <hyperlink ref="H37" location="'ScaleUp-Mature - Year5'!A1" display="Year 5 Income Statement" xr:uid="{00000000-0004-0000-0000-000009000000}"/>
    <hyperlink ref="H39" location="'Source-Use'!A1" display="Sources - Uses of Funds" xr:uid="{00000000-0004-0000-0000-00000A000000}"/>
  </hyperlink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O34"/>
  <sheetViews>
    <sheetView workbookViewId="0">
      <selection activeCell="Q27" sqref="Q27"/>
    </sheetView>
  </sheetViews>
  <sheetFormatPr baseColWidth="10" defaultRowHeight="16" outlineLevelRow="1" x14ac:dyDescent="0.2"/>
  <cols>
    <col min="1" max="1" width="1.1640625" customWidth="1"/>
    <col min="2" max="2" width="29" bestFit="1" customWidth="1"/>
    <col min="3" max="14" width="10" customWidth="1"/>
    <col min="15" max="15" width="12.1640625" customWidth="1"/>
  </cols>
  <sheetData>
    <row r="2" spans="2:15" x14ac:dyDescent="0.2">
      <c r="B2" s="86" t="s">
        <v>288</v>
      </c>
      <c r="C2" s="86" t="s">
        <v>103</v>
      </c>
      <c r="D2" s="87">
        <v>126897</v>
      </c>
      <c r="E2" s="87"/>
      <c r="F2" s="87"/>
      <c r="G2" s="88"/>
      <c r="H2" s="89"/>
      <c r="I2" s="89"/>
      <c r="J2" s="89"/>
      <c r="K2" s="89"/>
      <c r="L2" s="164"/>
      <c r="M2" s="164"/>
      <c r="N2" s="164"/>
      <c r="O2" s="164"/>
    </row>
    <row r="4" spans="2:15" x14ac:dyDescent="0.2">
      <c r="B4" s="84"/>
      <c r="C4" s="84" t="s">
        <v>180</v>
      </c>
      <c r="D4" s="84" t="s">
        <v>181</v>
      </c>
      <c r="E4" s="84" t="s">
        <v>182</v>
      </c>
      <c r="F4" s="84" t="s">
        <v>183</v>
      </c>
      <c r="G4" s="84" t="s">
        <v>184</v>
      </c>
      <c r="H4" s="84" t="s">
        <v>185</v>
      </c>
      <c r="I4" s="84" t="s">
        <v>186</v>
      </c>
      <c r="J4" s="84" t="s">
        <v>187</v>
      </c>
      <c r="K4" s="84" t="s">
        <v>188</v>
      </c>
      <c r="L4" s="84" t="s">
        <v>189</v>
      </c>
      <c r="M4" s="84" t="s">
        <v>190</v>
      </c>
      <c r="N4" s="84" t="s">
        <v>191</v>
      </c>
      <c r="O4" s="85" t="s">
        <v>32</v>
      </c>
    </row>
    <row r="6" spans="2:15" x14ac:dyDescent="0.2">
      <c r="B6" t="s">
        <v>121</v>
      </c>
      <c r="C6" s="5">
        <v>16726.761696326063</v>
      </c>
      <c r="D6" s="5">
        <v>17563.099781142362</v>
      </c>
      <c r="E6" s="5">
        <v>18441.254770199484</v>
      </c>
      <c r="F6" s="5">
        <v>19363.317508709457</v>
      </c>
      <c r="G6" s="5">
        <v>20331.483384144929</v>
      </c>
      <c r="H6" s="5">
        <v>21348.057553352177</v>
      </c>
      <c r="I6" s="5">
        <v>22415.460431019786</v>
      </c>
      <c r="J6" s="5">
        <v>23536.23345257077</v>
      </c>
      <c r="K6" s="5">
        <v>24713.045125199318</v>
      </c>
      <c r="L6" s="5">
        <v>25948.697381459286</v>
      </c>
      <c r="M6" s="5">
        <v>27246.13225053225</v>
      </c>
      <c r="N6" s="5">
        <v>28608.438863058866</v>
      </c>
      <c r="O6" s="103">
        <f>N6</f>
        <v>28608.438863058866</v>
      </c>
    </row>
    <row r="7" spans="2:15" hidden="1" outlineLevel="1" x14ac:dyDescent="0.2">
      <c r="B7" t="s">
        <v>104</v>
      </c>
      <c r="C7" s="11">
        <f>C$6*Sheet6!$M$11*8</f>
        <v>2811382.638959419</v>
      </c>
      <c r="D7" s="11">
        <f>D$6*Sheet6!$M$11*8</f>
        <v>2951951.770907389</v>
      </c>
      <c r="E7" s="11">
        <f>E$6*Sheet6!$M$11*8</f>
        <v>3099549.3594527594</v>
      </c>
      <c r="F7" s="11">
        <f>F$6*Sheet6!$M$11*8</f>
        <v>3254526.827425397</v>
      </c>
      <c r="G7" s="11">
        <f>G$6*Sheet6!$M$11*8</f>
        <v>3417253.1687966669</v>
      </c>
      <c r="H7" s="11">
        <f>H$6*Sheet6!$M$11*8</f>
        <v>3588115.8272365001</v>
      </c>
      <c r="I7" s="11">
        <f>I$6*Sheet6!$M$11*8</f>
        <v>3767521.6185983252</v>
      </c>
      <c r="J7" s="11">
        <f>J$6*Sheet6!$M$11*8</f>
        <v>3955897.6995282406</v>
      </c>
      <c r="K7" s="11">
        <f>K$6*Sheet6!$M$11*8</f>
        <v>4153692.5845046542</v>
      </c>
      <c r="L7" s="11">
        <f>L$6*Sheet6!$M$11*8</f>
        <v>4361377.2137298873</v>
      </c>
      <c r="M7" s="11">
        <f>M$6*Sheet6!$M$11*8</f>
        <v>4579446.0744163813</v>
      </c>
      <c r="N7" s="11">
        <f>N$6*Sheet6!$M$11*8</f>
        <v>4808418.3781372011</v>
      </c>
      <c r="O7" s="65"/>
    </row>
    <row r="8" spans="2:15" hidden="1" outlineLevel="1" x14ac:dyDescent="0.2">
      <c r="B8" t="s">
        <v>105</v>
      </c>
      <c r="C8" s="11">
        <f>C$6*Sheet6!$M$11*8*5</f>
        <v>14056913.194797095</v>
      </c>
      <c r="D8" s="11">
        <f>D$6*Sheet6!$M$11*8*5</f>
        <v>14759758.854536945</v>
      </c>
      <c r="E8" s="11">
        <f>E$6*Sheet6!$M$11*8*5</f>
        <v>15497746.797263797</v>
      </c>
      <c r="F8" s="11">
        <f>F$6*Sheet6!$M$11*8*5</f>
        <v>16272634.137126986</v>
      </c>
      <c r="G8" s="11">
        <f>G$6*Sheet6!$M$11*8*5</f>
        <v>17086265.843983334</v>
      </c>
      <c r="H8" s="11">
        <f>H$6*Sheet6!$M$11*8*5</f>
        <v>17940579.136182502</v>
      </c>
      <c r="I8" s="11">
        <f>I$6*Sheet6!$M$11*8*5</f>
        <v>18837608.092991628</v>
      </c>
      <c r="J8" s="11">
        <f>J$6*Sheet6!$M$11*8*5</f>
        <v>19779488.497641202</v>
      </c>
      <c r="K8" s="11">
        <f>K$6*Sheet6!$M$11*8*5</f>
        <v>20768462.922523271</v>
      </c>
      <c r="L8" s="11">
        <f>L$6*Sheet6!$M$11*8*5</f>
        <v>21806886.068649437</v>
      </c>
      <c r="M8" s="11">
        <f>M$6*Sheet6!$M$11*8*5</f>
        <v>22897230.372081906</v>
      </c>
      <c r="N8" s="11">
        <f>N$6*Sheet6!$M$11*8*5</f>
        <v>24042091.890686005</v>
      </c>
      <c r="O8" s="65"/>
    </row>
    <row r="9" spans="2:15" hidden="1" collapsed="1" x14ac:dyDescent="0.2">
      <c r="B9" t="s">
        <v>108</v>
      </c>
      <c r="C9" s="9">
        <f>(C8*52)/12</f>
        <v>60913290.510787405</v>
      </c>
      <c r="D9" s="9">
        <f t="shared" ref="D9:N9" si="0">(D8*52)/12</f>
        <v>63958955.036326766</v>
      </c>
      <c r="E9" s="9">
        <f t="shared" si="0"/>
        <v>67156902.788143113</v>
      </c>
      <c r="F9" s="9">
        <f t="shared" si="0"/>
        <v>70514747.927550271</v>
      </c>
      <c r="G9" s="9">
        <f t="shared" si="0"/>
        <v>74040485.323927775</v>
      </c>
      <c r="H9" s="9">
        <f t="shared" si="0"/>
        <v>77742509.590124175</v>
      </c>
      <c r="I9" s="9">
        <f t="shared" si="0"/>
        <v>81629635.069630384</v>
      </c>
      <c r="J9" s="9">
        <f t="shared" si="0"/>
        <v>85711116.823111877</v>
      </c>
      <c r="K9" s="9">
        <f t="shared" si="0"/>
        <v>89996672.664267495</v>
      </c>
      <c r="L9" s="9">
        <f t="shared" si="0"/>
        <v>94496506.297480896</v>
      </c>
      <c r="M9" s="9">
        <f t="shared" si="0"/>
        <v>99221331.612354919</v>
      </c>
      <c r="N9" s="9">
        <f t="shared" si="0"/>
        <v>104182398.1929727</v>
      </c>
      <c r="O9" s="82">
        <f>SUM(C9:N9)</f>
        <v>969564551.83667779</v>
      </c>
    </row>
    <row r="10" spans="2:15" hidden="1" x14ac:dyDescent="0.2">
      <c r="O10" s="65"/>
    </row>
    <row r="11" spans="2:15" hidden="1" outlineLevel="1" x14ac:dyDescent="0.2">
      <c r="B11" t="s">
        <v>106</v>
      </c>
      <c r="C11" s="9">
        <f>C6*8</f>
        <v>133814.0935706085</v>
      </c>
      <c r="D11" s="9">
        <f t="shared" ref="D11:N11" si="1">D6*8</f>
        <v>140504.7982491389</v>
      </c>
      <c r="E11" s="9">
        <f t="shared" si="1"/>
        <v>147530.03816159588</v>
      </c>
      <c r="F11" s="9">
        <f t="shared" si="1"/>
        <v>154906.54006967566</v>
      </c>
      <c r="G11" s="9">
        <f t="shared" si="1"/>
        <v>162651.86707315943</v>
      </c>
      <c r="H11" s="9">
        <f t="shared" si="1"/>
        <v>170784.46042681742</v>
      </c>
      <c r="I11" s="9">
        <f t="shared" si="1"/>
        <v>179323.68344815829</v>
      </c>
      <c r="J11" s="9">
        <f t="shared" si="1"/>
        <v>188289.86762056616</v>
      </c>
      <c r="K11" s="9">
        <f t="shared" si="1"/>
        <v>197704.36100159455</v>
      </c>
      <c r="L11" s="9">
        <f t="shared" si="1"/>
        <v>207589.57905167429</v>
      </c>
      <c r="M11" s="9">
        <f t="shared" si="1"/>
        <v>217969.058004258</v>
      </c>
      <c r="N11" s="9">
        <f t="shared" si="1"/>
        <v>228867.51090447092</v>
      </c>
      <c r="O11" s="65"/>
    </row>
    <row r="12" spans="2:15" hidden="1" outlineLevel="1" x14ac:dyDescent="0.2">
      <c r="B12" t="s">
        <v>107</v>
      </c>
      <c r="C12" s="9">
        <f>C6*8*5</f>
        <v>669070.46785304253</v>
      </c>
      <c r="D12" s="9">
        <f t="shared" ref="D12:N12" si="2">D6*8*5</f>
        <v>702523.99124569446</v>
      </c>
      <c r="E12" s="9">
        <f t="shared" si="2"/>
        <v>737650.19080797932</v>
      </c>
      <c r="F12" s="9">
        <f t="shared" si="2"/>
        <v>774532.70034837828</v>
      </c>
      <c r="G12" s="9">
        <f t="shared" si="2"/>
        <v>813259.33536579716</v>
      </c>
      <c r="H12" s="9">
        <f t="shared" si="2"/>
        <v>853922.30213408708</v>
      </c>
      <c r="I12" s="9">
        <f t="shared" si="2"/>
        <v>896618.41724079149</v>
      </c>
      <c r="J12" s="9">
        <f t="shared" si="2"/>
        <v>941449.33810283081</v>
      </c>
      <c r="K12" s="9">
        <f t="shared" si="2"/>
        <v>988521.80500797275</v>
      </c>
      <c r="L12" s="9">
        <f t="shared" si="2"/>
        <v>1037947.8952583715</v>
      </c>
      <c r="M12" s="9">
        <f t="shared" si="2"/>
        <v>1089845.2900212901</v>
      </c>
      <c r="N12" s="9">
        <f t="shared" si="2"/>
        <v>1144337.5545223546</v>
      </c>
      <c r="O12" s="65"/>
    </row>
    <row r="13" spans="2:15" s="65" customFormat="1" collapsed="1" x14ac:dyDescent="0.2">
      <c r="B13" s="65" t="s">
        <v>109</v>
      </c>
      <c r="C13" s="104">
        <f>(C12*52)/12</f>
        <v>2899305.3606965174</v>
      </c>
      <c r="D13" s="104">
        <f t="shared" ref="D13:N13" si="3">(D12*52)/12</f>
        <v>3044270.6287313425</v>
      </c>
      <c r="E13" s="104">
        <f t="shared" si="3"/>
        <v>3196484.1601679102</v>
      </c>
      <c r="F13" s="104">
        <f t="shared" si="3"/>
        <v>3356308.3681763057</v>
      </c>
      <c r="G13" s="104">
        <f t="shared" si="3"/>
        <v>3524123.7865851209</v>
      </c>
      <c r="H13" s="104">
        <f t="shared" si="3"/>
        <v>3700329.9759143773</v>
      </c>
      <c r="I13" s="104">
        <f t="shared" si="3"/>
        <v>3885346.4747100961</v>
      </c>
      <c r="J13" s="104">
        <f t="shared" si="3"/>
        <v>4079613.7984456006</v>
      </c>
      <c r="K13" s="104">
        <f t="shared" si="3"/>
        <v>4283594.4883678816</v>
      </c>
      <c r="L13" s="104">
        <f t="shared" si="3"/>
        <v>4497774.2127862768</v>
      </c>
      <c r="M13" s="104">
        <f t="shared" si="3"/>
        <v>4722662.9234255897</v>
      </c>
      <c r="N13" s="104">
        <f t="shared" si="3"/>
        <v>4958796.0695968699</v>
      </c>
      <c r="O13" s="105">
        <f>SUM(C13:N13)</f>
        <v>46148610.247603893</v>
      </c>
    </row>
    <row r="14" spans="2:15" x14ac:dyDescent="0.2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5"/>
    </row>
    <row r="15" spans="2:15" x14ac:dyDescent="0.2">
      <c r="B15" t="s">
        <v>110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5"/>
    </row>
    <row r="16" spans="2:15" x14ac:dyDescent="0.2">
      <c r="B16" s="13" t="s">
        <v>64</v>
      </c>
      <c r="C16" s="106">
        <f>'Expense Assumptions'!$L$8/12</f>
        <v>325000</v>
      </c>
      <c r="D16" s="106">
        <f>'Expense Assumptions'!$L$8/12</f>
        <v>325000</v>
      </c>
      <c r="E16" s="106">
        <f>'Expense Assumptions'!$L$8/12</f>
        <v>325000</v>
      </c>
      <c r="F16" s="106">
        <f>'Expense Assumptions'!$L$8/12</f>
        <v>325000</v>
      </c>
      <c r="G16" s="106">
        <f>'Expense Assumptions'!$L$8/12</f>
        <v>325000</v>
      </c>
      <c r="H16" s="106">
        <f>'Expense Assumptions'!$L$8/12</f>
        <v>325000</v>
      </c>
      <c r="I16" s="106">
        <f>'Expense Assumptions'!$L$8/12</f>
        <v>325000</v>
      </c>
      <c r="J16" s="106">
        <f>'Expense Assumptions'!$L$8/12</f>
        <v>325000</v>
      </c>
      <c r="K16" s="106">
        <f>'Expense Assumptions'!$L$8/12</f>
        <v>325000</v>
      </c>
      <c r="L16" s="106">
        <f>'Expense Assumptions'!$L$8/12</f>
        <v>325000</v>
      </c>
      <c r="M16" s="106">
        <f>'Expense Assumptions'!$L$8/12</f>
        <v>325000</v>
      </c>
      <c r="N16" s="106">
        <f>'Expense Assumptions'!$L$8/12</f>
        <v>325000</v>
      </c>
      <c r="O16" s="105">
        <f>SUM(C16:N16)</f>
        <v>3900000</v>
      </c>
    </row>
    <row r="17" spans="2:15" x14ac:dyDescent="0.2">
      <c r="B17" s="13" t="s">
        <v>62</v>
      </c>
      <c r="C17" s="106">
        <f>'Expense Assumptions'!$L$6/12</f>
        <v>2000</v>
      </c>
      <c r="D17" s="106">
        <f>'Expense Assumptions'!$L$6/12</f>
        <v>2000</v>
      </c>
      <c r="E17" s="106">
        <f>'Expense Assumptions'!$L$6/12</f>
        <v>2000</v>
      </c>
      <c r="F17" s="106">
        <f>'Expense Assumptions'!$L$6/12</f>
        <v>2000</v>
      </c>
      <c r="G17" s="106">
        <f>'Expense Assumptions'!$L$6/12</f>
        <v>2000</v>
      </c>
      <c r="H17" s="106">
        <f>'Expense Assumptions'!$L$6/12</f>
        <v>2000</v>
      </c>
      <c r="I17" s="106">
        <f>'Expense Assumptions'!$L$6/12</f>
        <v>2000</v>
      </c>
      <c r="J17" s="106">
        <f>'Expense Assumptions'!$L$6/12</f>
        <v>2000</v>
      </c>
      <c r="K17" s="106">
        <f>'Expense Assumptions'!$L$6/12</f>
        <v>2000</v>
      </c>
      <c r="L17" s="106">
        <f>'Expense Assumptions'!$L$6/12</f>
        <v>2000</v>
      </c>
      <c r="M17" s="106">
        <f>'Expense Assumptions'!$L$6/12</f>
        <v>2000</v>
      </c>
      <c r="N17" s="106">
        <f>'Expense Assumptions'!$L$6/12</f>
        <v>2000</v>
      </c>
      <c r="O17" s="105">
        <f t="shared" ref="O17:O18" si="4">SUM(C17:N17)</f>
        <v>24000</v>
      </c>
    </row>
    <row r="18" spans="2:15" x14ac:dyDescent="0.2">
      <c r="B18" s="13" t="s">
        <v>83</v>
      </c>
      <c r="C18" s="106">
        <f>'Expense Assumptions'!$L$7/12</f>
        <v>2083.3333333333335</v>
      </c>
      <c r="D18" s="106">
        <f>'Expense Assumptions'!$L$7/12</f>
        <v>2083.3333333333335</v>
      </c>
      <c r="E18" s="106">
        <f>'Expense Assumptions'!$L$7/12</f>
        <v>2083.3333333333335</v>
      </c>
      <c r="F18" s="106">
        <f>'Expense Assumptions'!$L$7/12</f>
        <v>2083.3333333333335</v>
      </c>
      <c r="G18" s="106">
        <f>'Expense Assumptions'!$L$7/12</f>
        <v>2083.3333333333335</v>
      </c>
      <c r="H18" s="106">
        <f>'Expense Assumptions'!$L$7/12</f>
        <v>2083.3333333333335</v>
      </c>
      <c r="I18" s="106">
        <f>'Expense Assumptions'!$L$7/12</f>
        <v>2083.3333333333335</v>
      </c>
      <c r="J18" s="106">
        <f>'Expense Assumptions'!$L$7/12</f>
        <v>2083.3333333333335</v>
      </c>
      <c r="K18" s="106">
        <f>'Expense Assumptions'!$L$7/12</f>
        <v>2083.3333333333335</v>
      </c>
      <c r="L18" s="106">
        <f>'Expense Assumptions'!$L$7/12</f>
        <v>2083.3333333333335</v>
      </c>
      <c r="M18" s="106">
        <f>'Expense Assumptions'!$L$7/12</f>
        <v>2083.3333333333335</v>
      </c>
      <c r="N18" s="106">
        <f>'Expense Assumptions'!$L$7/12</f>
        <v>2083.3333333333335</v>
      </c>
      <c r="O18" s="105">
        <f t="shared" si="4"/>
        <v>24999.999999999996</v>
      </c>
    </row>
    <row r="19" spans="2:15" x14ac:dyDescent="0.2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5"/>
    </row>
    <row r="20" spans="2:15" s="65" customFormat="1" x14ac:dyDescent="0.2">
      <c r="B20" s="65" t="s">
        <v>113</v>
      </c>
      <c r="C20" s="105">
        <f>C13-C16-C17-C18</f>
        <v>2570222.0273631839</v>
      </c>
      <c r="D20" s="105">
        <f t="shared" ref="D20:N20" si="5">D13-D16-D17-D18</f>
        <v>2715187.295398009</v>
      </c>
      <c r="E20" s="105">
        <f t="shared" si="5"/>
        <v>2867400.8268345767</v>
      </c>
      <c r="F20" s="105">
        <f t="shared" si="5"/>
        <v>3027225.0348429722</v>
      </c>
      <c r="G20" s="105">
        <f t="shared" si="5"/>
        <v>3195040.4532517875</v>
      </c>
      <c r="H20" s="105">
        <f t="shared" si="5"/>
        <v>3371246.6425810438</v>
      </c>
      <c r="I20" s="105">
        <f t="shared" si="5"/>
        <v>3556263.1413767627</v>
      </c>
      <c r="J20" s="105">
        <f t="shared" si="5"/>
        <v>3750530.4651122671</v>
      </c>
      <c r="K20" s="105">
        <f t="shared" si="5"/>
        <v>3954511.1550345481</v>
      </c>
      <c r="L20" s="105">
        <f t="shared" si="5"/>
        <v>4168690.8794529433</v>
      </c>
      <c r="M20" s="105">
        <f t="shared" si="5"/>
        <v>4393579.5900922567</v>
      </c>
      <c r="N20" s="105">
        <f t="shared" si="5"/>
        <v>4629712.7362635368</v>
      </c>
      <c r="O20" s="105">
        <f>O13-O16-O17-O18</f>
        <v>42199610.247603893</v>
      </c>
    </row>
    <row r="21" spans="2:15" x14ac:dyDescent="0.2"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5"/>
    </row>
    <row r="22" spans="2:15" x14ac:dyDescent="0.2">
      <c r="B22" t="s">
        <v>111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5"/>
    </row>
    <row r="23" spans="2:15" x14ac:dyDescent="0.2">
      <c r="B23" s="13" t="s">
        <v>82</v>
      </c>
      <c r="C23" s="107">
        <f>'Expense Assumptions'!$L$15/12</f>
        <v>41666.666666666664</v>
      </c>
      <c r="D23" s="107">
        <f>'Expense Assumptions'!$L$15/12</f>
        <v>41666.666666666664</v>
      </c>
      <c r="E23" s="107">
        <f>'Expense Assumptions'!$L$15/12</f>
        <v>41666.666666666664</v>
      </c>
      <c r="F23" s="107">
        <f>'Expense Assumptions'!$L$15/12</f>
        <v>41666.666666666664</v>
      </c>
      <c r="G23" s="107">
        <f>'Expense Assumptions'!$L$15/12</f>
        <v>41666.666666666664</v>
      </c>
      <c r="H23" s="107">
        <f>'Expense Assumptions'!$L$15/12</f>
        <v>41666.666666666664</v>
      </c>
      <c r="I23" s="107">
        <f>'Expense Assumptions'!$L$15/12</f>
        <v>41666.666666666664</v>
      </c>
      <c r="J23" s="107">
        <f>'Expense Assumptions'!$L$15/12</f>
        <v>41666.666666666664</v>
      </c>
      <c r="K23" s="107">
        <f>'Expense Assumptions'!$L$15/12</f>
        <v>41666.666666666664</v>
      </c>
      <c r="L23" s="107">
        <f>'Expense Assumptions'!$L$15/12</f>
        <v>41666.666666666664</v>
      </c>
      <c r="M23" s="107">
        <f>'Expense Assumptions'!$L$15/12</f>
        <v>41666.666666666664</v>
      </c>
      <c r="N23" s="107">
        <f>'Expense Assumptions'!$L$15/12</f>
        <v>41666.666666666664</v>
      </c>
      <c r="O23" s="105">
        <f>SUM(C23:N23)</f>
        <v>500000.00000000006</v>
      </c>
    </row>
    <row r="24" spans="2:15" x14ac:dyDescent="0.2">
      <c r="B24" s="13" t="s">
        <v>26</v>
      </c>
      <c r="C24" s="107">
        <f>'Expense Assumptions'!$L$16/12</f>
        <v>25000</v>
      </c>
      <c r="D24" s="107">
        <f>'Expense Assumptions'!$L$16/12</f>
        <v>25000</v>
      </c>
      <c r="E24" s="107">
        <f>'Expense Assumptions'!$L$16/12</f>
        <v>25000</v>
      </c>
      <c r="F24" s="107">
        <f>'Expense Assumptions'!$L$16/12</f>
        <v>25000</v>
      </c>
      <c r="G24" s="107">
        <f>'Expense Assumptions'!$L$16/12</f>
        <v>25000</v>
      </c>
      <c r="H24" s="107">
        <f>'Expense Assumptions'!$L$16/12</f>
        <v>25000</v>
      </c>
      <c r="I24" s="107">
        <f>'Expense Assumptions'!$L$16/12</f>
        <v>25000</v>
      </c>
      <c r="J24" s="107">
        <f>'Expense Assumptions'!$L$16/12</f>
        <v>25000</v>
      </c>
      <c r="K24" s="107">
        <f>'Expense Assumptions'!$L$16/12</f>
        <v>25000</v>
      </c>
      <c r="L24" s="107">
        <f>'Expense Assumptions'!$L$16/12</f>
        <v>25000</v>
      </c>
      <c r="M24" s="107">
        <f>'Expense Assumptions'!$L$16/12</f>
        <v>25000</v>
      </c>
      <c r="N24" s="107">
        <f>'Expense Assumptions'!$L$16/12</f>
        <v>25000</v>
      </c>
      <c r="O24" s="105">
        <f t="shared" ref="O24:O32" si="6">SUM(C24:N24)</f>
        <v>300000</v>
      </c>
    </row>
    <row r="25" spans="2:15" x14ac:dyDescent="0.2">
      <c r="B25" s="13" t="s">
        <v>86</v>
      </c>
      <c r="C25" s="107">
        <f>'Expense Assumptions'!$L$14/12</f>
        <v>191100</v>
      </c>
      <c r="D25" s="107">
        <f>'Expense Assumptions'!$L$14/12</f>
        <v>191100</v>
      </c>
      <c r="E25" s="107">
        <f>'Expense Assumptions'!$L$14/12</f>
        <v>191100</v>
      </c>
      <c r="F25" s="107">
        <f>'Expense Assumptions'!$L$14/12</f>
        <v>191100</v>
      </c>
      <c r="G25" s="107">
        <f>'Expense Assumptions'!$L$14/12</f>
        <v>191100</v>
      </c>
      <c r="H25" s="107">
        <f>'Expense Assumptions'!$L$14/12</f>
        <v>191100</v>
      </c>
      <c r="I25" s="107">
        <f>'Expense Assumptions'!$L$14/12</f>
        <v>191100</v>
      </c>
      <c r="J25" s="107">
        <f>'Expense Assumptions'!$L$14/12</f>
        <v>191100</v>
      </c>
      <c r="K25" s="107">
        <f>'Expense Assumptions'!$L$14/12</f>
        <v>191100</v>
      </c>
      <c r="L25" s="107">
        <f>'Expense Assumptions'!$L$14/12</f>
        <v>191100</v>
      </c>
      <c r="M25" s="107">
        <f>'Expense Assumptions'!$L$14/12</f>
        <v>191100</v>
      </c>
      <c r="N25" s="107">
        <f>'Expense Assumptions'!$L$14/12</f>
        <v>191100</v>
      </c>
      <c r="O25" s="105">
        <f t="shared" si="6"/>
        <v>2293200</v>
      </c>
    </row>
    <row r="26" spans="2:15" x14ac:dyDescent="0.2">
      <c r="B26" s="13" t="s">
        <v>80</v>
      </c>
      <c r="C26" s="108">
        <f>'Expense Assumptions'!$L$11/12</f>
        <v>10000</v>
      </c>
      <c r="D26" s="108">
        <f>'Expense Assumptions'!$L$11/12</f>
        <v>10000</v>
      </c>
      <c r="E26" s="108">
        <f>'Expense Assumptions'!$L$11/12</f>
        <v>10000</v>
      </c>
      <c r="F26" s="108">
        <f>'Expense Assumptions'!$L$11/12</f>
        <v>10000</v>
      </c>
      <c r="G26" s="108">
        <f>'Expense Assumptions'!$L$11/12</f>
        <v>10000</v>
      </c>
      <c r="H26" s="108">
        <f>'Expense Assumptions'!$L$11/12</f>
        <v>10000</v>
      </c>
      <c r="I26" s="108">
        <f>'Expense Assumptions'!$L$11/12</f>
        <v>10000</v>
      </c>
      <c r="J26" s="108">
        <f>'Expense Assumptions'!$L$11/12</f>
        <v>10000</v>
      </c>
      <c r="K26" s="108">
        <f>'Expense Assumptions'!$L$11/12</f>
        <v>10000</v>
      </c>
      <c r="L26" s="108">
        <f>'Expense Assumptions'!$L$11/12</f>
        <v>10000</v>
      </c>
      <c r="M26" s="108">
        <f>'Expense Assumptions'!$L$11/12</f>
        <v>10000</v>
      </c>
      <c r="N26" s="108">
        <f>'Expense Assumptions'!$L$11/12</f>
        <v>10000</v>
      </c>
      <c r="O26" s="105">
        <f t="shared" si="6"/>
        <v>120000</v>
      </c>
    </row>
    <row r="27" spans="2:15" x14ac:dyDescent="0.2">
      <c r="B27" s="13" t="s">
        <v>81</v>
      </c>
      <c r="C27" s="108">
        <f>'Expense Assumptions'!$L$12/12</f>
        <v>20833.333333333332</v>
      </c>
      <c r="D27" s="108">
        <f>'Expense Assumptions'!$L$12/12</f>
        <v>20833.333333333332</v>
      </c>
      <c r="E27" s="108">
        <f>'Expense Assumptions'!$L$12/12</f>
        <v>20833.333333333332</v>
      </c>
      <c r="F27" s="108">
        <f>'Expense Assumptions'!$L$12/12</f>
        <v>20833.333333333332</v>
      </c>
      <c r="G27" s="108">
        <f>'Expense Assumptions'!$L$12/12</f>
        <v>20833.333333333332</v>
      </c>
      <c r="H27" s="108">
        <f>'Expense Assumptions'!$L$12/12</f>
        <v>20833.333333333332</v>
      </c>
      <c r="I27" s="108">
        <f>'Expense Assumptions'!$L$12/12</f>
        <v>20833.333333333332</v>
      </c>
      <c r="J27" s="108">
        <f>'Expense Assumptions'!$L$12/12</f>
        <v>20833.333333333332</v>
      </c>
      <c r="K27" s="108">
        <f>'Expense Assumptions'!$L$12/12</f>
        <v>20833.333333333332</v>
      </c>
      <c r="L27" s="108">
        <f>'Expense Assumptions'!$L$12/12</f>
        <v>20833.333333333332</v>
      </c>
      <c r="M27" s="108">
        <f>'Expense Assumptions'!$L$12/12</f>
        <v>20833.333333333332</v>
      </c>
      <c r="N27" s="108">
        <f>'Expense Assumptions'!$L$12/12</f>
        <v>20833.333333333332</v>
      </c>
      <c r="O27" s="105">
        <f>SUM(C27:N27)</f>
        <v>250000.00000000003</v>
      </c>
    </row>
    <row r="28" spans="2:15" x14ac:dyDescent="0.2">
      <c r="B28" s="13" t="s">
        <v>115</v>
      </c>
      <c r="C28" s="108">
        <f>'Expense Assumptions'!$D$25+('Expense Assumptions'!$H$25)*3</f>
        <v>4116.6666666666661</v>
      </c>
      <c r="D28" s="108">
        <f>'Expense Assumptions'!$D$25+('Expense Assumptions'!$H$25)*3</f>
        <v>4116.6666666666661</v>
      </c>
      <c r="E28" s="108">
        <f>'Expense Assumptions'!$D$25+('Expense Assumptions'!$H$25)*3</f>
        <v>4116.6666666666661</v>
      </c>
      <c r="F28" s="108">
        <f>'Expense Assumptions'!$D$25+('Expense Assumptions'!$H$25)*3</f>
        <v>4116.6666666666661</v>
      </c>
      <c r="G28" s="108">
        <f>'Expense Assumptions'!$D$25+('Expense Assumptions'!$H$25)*3</f>
        <v>4116.6666666666661</v>
      </c>
      <c r="H28" s="108">
        <f>'Expense Assumptions'!$D$25+('Expense Assumptions'!$H$25)*3</f>
        <v>4116.6666666666661</v>
      </c>
      <c r="I28" s="108">
        <f>'Expense Assumptions'!$D$25+('Expense Assumptions'!$H$25)*3</f>
        <v>4116.6666666666661</v>
      </c>
      <c r="J28" s="108">
        <f>'Expense Assumptions'!$D$25+('Expense Assumptions'!$H$25)*3</f>
        <v>4116.6666666666661</v>
      </c>
      <c r="K28" s="108">
        <f>'Expense Assumptions'!$D$25+('Expense Assumptions'!$H$25)*3</f>
        <v>4116.6666666666661</v>
      </c>
      <c r="L28" s="108">
        <f>'Expense Assumptions'!$D$25+('Expense Assumptions'!$H$25)*3</f>
        <v>4116.6666666666661</v>
      </c>
      <c r="M28" s="108">
        <f>'Expense Assumptions'!$D$25+('Expense Assumptions'!$H$25)*3</f>
        <v>4116.6666666666661</v>
      </c>
      <c r="N28" s="108">
        <f>'Expense Assumptions'!$D$25+('Expense Assumptions'!$H$25)*3</f>
        <v>4116.6666666666661</v>
      </c>
      <c r="O28" s="105">
        <f>SUM(C28:N28)</f>
        <v>49399.999999999978</v>
      </c>
    </row>
    <row r="29" spans="2:15" x14ac:dyDescent="0.2">
      <c r="B29" s="13" t="s">
        <v>27</v>
      </c>
      <c r="C29" s="108">
        <f>'Expense Assumptions'!$L$13/12</f>
        <v>20833.333333333332</v>
      </c>
      <c r="D29" s="108">
        <f>'Expense Assumptions'!$L$13/12</f>
        <v>20833.333333333332</v>
      </c>
      <c r="E29" s="108">
        <f>'Expense Assumptions'!$L$13/12</f>
        <v>20833.333333333332</v>
      </c>
      <c r="F29" s="108">
        <f>'Expense Assumptions'!$L$13/12</f>
        <v>20833.333333333332</v>
      </c>
      <c r="G29" s="108">
        <f>'Expense Assumptions'!$L$13/12</f>
        <v>20833.333333333332</v>
      </c>
      <c r="H29" s="108">
        <f>'Expense Assumptions'!$L$13/12</f>
        <v>20833.333333333332</v>
      </c>
      <c r="I29" s="108">
        <f>'Expense Assumptions'!$L$13/12</f>
        <v>20833.333333333332</v>
      </c>
      <c r="J29" s="108">
        <f>'Expense Assumptions'!$L$13/12</f>
        <v>20833.333333333332</v>
      </c>
      <c r="K29" s="108">
        <f>'Expense Assumptions'!$L$13/12</f>
        <v>20833.333333333332</v>
      </c>
      <c r="L29" s="108">
        <f>'Expense Assumptions'!$L$13/12</f>
        <v>20833.333333333332</v>
      </c>
      <c r="M29" s="108">
        <f>'Expense Assumptions'!$L$13/12</f>
        <v>20833.333333333332</v>
      </c>
      <c r="N29" s="108">
        <f>'Expense Assumptions'!$L$13/12</f>
        <v>20833.333333333332</v>
      </c>
      <c r="O29" s="105">
        <f t="shared" si="6"/>
        <v>250000.00000000003</v>
      </c>
    </row>
    <row r="30" spans="2:15" x14ac:dyDescent="0.2">
      <c r="B30" s="13" t="s">
        <v>35</v>
      </c>
      <c r="C30" s="108">
        <f>'Expense Assumptions'!$L$17/12</f>
        <v>1300</v>
      </c>
      <c r="D30" s="108">
        <f>'Expense Assumptions'!$L$17/12</f>
        <v>1300</v>
      </c>
      <c r="E30" s="108">
        <f>'Expense Assumptions'!$L$17/12</f>
        <v>1300</v>
      </c>
      <c r="F30" s="108">
        <f>'Expense Assumptions'!$L$17/12</f>
        <v>1300</v>
      </c>
      <c r="G30" s="108">
        <f>'Expense Assumptions'!$L$17/12</f>
        <v>1300</v>
      </c>
      <c r="H30" s="108">
        <f>'Expense Assumptions'!$L$17/12</f>
        <v>1300</v>
      </c>
      <c r="I30" s="108">
        <f>'Expense Assumptions'!$L$17/12</f>
        <v>1300</v>
      </c>
      <c r="J30" s="108">
        <f>'Expense Assumptions'!$L$17/12</f>
        <v>1300</v>
      </c>
      <c r="K30" s="108">
        <f>'Expense Assumptions'!$L$17/12</f>
        <v>1300</v>
      </c>
      <c r="L30" s="108">
        <f>'Expense Assumptions'!$L$17/12</f>
        <v>1300</v>
      </c>
      <c r="M30" s="108">
        <f>'Expense Assumptions'!$L$17/12</f>
        <v>1300</v>
      </c>
      <c r="N30" s="108">
        <f>'Expense Assumptions'!$L$17/12</f>
        <v>1300</v>
      </c>
      <c r="O30" s="105">
        <f t="shared" si="6"/>
        <v>15600</v>
      </c>
    </row>
    <row r="31" spans="2:15" x14ac:dyDescent="0.2">
      <c r="B31" s="13" t="s">
        <v>120</v>
      </c>
      <c r="C31" s="108">
        <f>'Expense Assumptions'!$L$18/12</f>
        <v>1200</v>
      </c>
      <c r="D31" s="108">
        <f>'Expense Assumptions'!$L$18/12</f>
        <v>1200</v>
      </c>
      <c r="E31" s="108">
        <f>'Expense Assumptions'!$L$18/12</f>
        <v>1200</v>
      </c>
      <c r="F31" s="108">
        <f>'Expense Assumptions'!$L$18/12</f>
        <v>1200</v>
      </c>
      <c r="G31" s="108">
        <f>'Expense Assumptions'!$L$18/12</f>
        <v>1200</v>
      </c>
      <c r="H31" s="108">
        <f>'Expense Assumptions'!$L$18/12</f>
        <v>1200</v>
      </c>
      <c r="I31" s="108">
        <f>'Expense Assumptions'!$L$18/12</f>
        <v>1200</v>
      </c>
      <c r="J31" s="108">
        <f>'Expense Assumptions'!$L$18/12</f>
        <v>1200</v>
      </c>
      <c r="K31" s="108">
        <f>'Expense Assumptions'!$L$18/12</f>
        <v>1200</v>
      </c>
      <c r="L31" s="108">
        <f>'Expense Assumptions'!$L$18/12</f>
        <v>1200</v>
      </c>
      <c r="M31" s="108">
        <f>'Expense Assumptions'!$L$18/12</f>
        <v>1200</v>
      </c>
      <c r="N31" s="108">
        <f>'Expense Assumptions'!$L$18/12</f>
        <v>1200</v>
      </c>
      <c r="O31" s="105">
        <f t="shared" si="6"/>
        <v>14400</v>
      </c>
    </row>
    <row r="32" spans="2:15" s="65" customFormat="1" x14ac:dyDescent="0.2">
      <c r="B32" s="15" t="s">
        <v>112</v>
      </c>
      <c r="C32" s="106">
        <f>SUM(C23:C31)</f>
        <v>316049.99999999994</v>
      </c>
      <c r="D32" s="106">
        <f t="shared" ref="D32:N32" si="7">SUM(D23:D31)</f>
        <v>316049.99999999994</v>
      </c>
      <c r="E32" s="106">
        <f t="shared" si="7"/>
        <v>316049.99999999994</v>
      </c>
      <c r="F32" s="106">
        <f t="shared" si="7"/>
        <v>316049.99999999994</v>
      </c>
      <c r="G32" s="106">
        <f t="shared" si="7"/>
        <v>316049.99999999994</v>
      </c>
      <c r="H32" s="106">
        <f t="shared" si="7"/>
        <v>316049.99999999994</v>
      </c>
      <c r="I32" s="106">
        <f t="shared" si="7"/>
        <v>316049.99999999994</v>
      </c>
      <c r="J32" s="106">
        <f t="shared" si="7"/>
        <v>316049.99999999994</v>
      </c>
      <c r="K32" s="106">
        <f t="shared" si="7"/>
        <v>316049.99999999994</v>
      </c>
      <c r="L32" s="106">
        <f t="shared" si="7"/>
        <v>316049.99999999994</v>
      </c>
      <c r="M32" s="106">
        <f t="shared" si="7"/>
        <v>316049.99999999994</v>
      </c>
      <c r="N32" s="106">
        <f t="shared" si="7"/>
        <v>316049.99999999994</v>
      </c>
      <c r="O32" s="105">
        <f t="shared" si="6"/>
        <v>3792599.9999999995</v>
      </c>
    </row>
    <row r="33" spans="2:15" x14ac:dyDescent="0.2"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5"/>
    </row>
    <row r="34" spans="2:15" s="65" customFormat="1" x14ac:dyDescent="0.2">
      <c r="B34" s="83" t="s">
        <v>114</v>
      </c>
      <c r="C34" s="105">
        <f>C20-C32</f>
        <v>2254172.0273631839</v>
      </c>
      <c r="D34" s="105">
        <f t="shared" ref="D34:N34" si="8">D20-D32</f>
        <v>2399137.295398009</v>
      </c>
      <c r="E34" s="105">
        <f t="shared" si="8"/>
        <v>2551350.8268345767</v>
      </c>
      <c r="F34" s="105">
        <f t="shared" si="8"/>
        <v>2711175.0348429722</v>
      </c>
      <c r="G34" s="105">
        <f t="shared" si="8"/>
        <v>2878990.4532517875</v>
      </c>
      <c r="H34" s="105">
        <f t="shared" si="8"/>
        <v>3055196.6425810438</v>
      </c>
      <c r="I34" s="105">
        <f t="shared" si="8"/>
        <v>3240213.1413767627</v>
      </c>
      <c r="J34" s="105">
        <f t="shared" si="8"/>
        <v>3434480.4651122671</v>
      </c>
      <c r="K34" s="105">
        <f t="shared" si="8"/>
        <v>3638461.1550345481</v>
      </c>
      <c r="L34" s="105">
        <f t="shared" si="8"/>
        <v>3852640.8794529433</v>
      </c>
      <c r="M34" s="105">
        <f t="shared" si="8"/>
        <v>4077529.5900922567</v>
      </c>
      <c r="N34" s="105">
        <f t="shared" si="8"/>
        <v>4313662.7362635368</v>
      </c>
      <c r="O34" s="105">
        <f>O20-O32</f>
        <v>38407010.247603893</v>
      </c>
    </row>
  </sheetData>
  <mergeCells count="1">
    <mergeCell ref="L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O34"/>
  <sheetViews>
    <sheetView workbookViewId="0">
      <selection activeCell="B2" sqref="B2:O34"/>
    </sheetView>
  </sheetViews>
  <sheetFormatPr baseColWidth="10" defaultRowHeight="16" outlineLevelRow="1" x14ac:dyDescent="0.2"/>
  <cols>
    <col min="1" max="1" width="1.1640625" customWidth="1"/>
    <col min="2" max="2" width="27.5" customWidth="1"/>
    <col min="3" max="14" width="10" customWidth="1"/>
    <col min="15" max="15" width="12.1640625" customWidth="1"/>
  </cols>
  <sheetData>
    <row r="2" spans="2:15" x14ac:dyDescent="0.2">
      <c r="B2" s="86" t="s">
        <v>90</v>
      </c>
      <c r="C2" s="86" t="s">
        <v>103</v>
      </c>
      <c r="D2" s="87">
        <v>126897</v>
      </c>
      <c r="E2" s="87"/>
      <c r="F2" s="87"/>
      <c r="G2" s="88"/>
      <c r="H2" s="89"/>
      <c r="I2" s="89"/>
      <c r="J2" s="89"/>
      <c r="K2" s="89"/>
      <c r="L2" s="164"/>
      <c r="M2" s="164" t="s">
        <v>256</v>
      </c>
      <c r="N2" s="164"/>
      <c r="O2" s="164"/>
    </row>
    <row r="4" spans="2:15" x14ac:dyDescent="0.2">
      <c r="B4" s="84"/>
      <c r="C4" s="84" t="s">
        <v>192</v>
      </c>
      <c r="D4" s="84" t="s">
        <v>193</v>
      </c>
      <c r="E4" s="84" t="s">
        <v>194</v>
      </c>
      <c r="F4" s="84" t="s">
        <v>195</v>
      </c>
      <c r="G4" s="84" t="s">
        <v>196</v>
      </c>
      <c r="H4" s="84" t="s">
        <v>197</v>
      </c>
      <c r="I4" s="84" t="s">
        <v>198</v>
      </c>
      <c r="J4" s="84" t="s">
        <v>199</v>
      </c>
      <c r="K4" s="84" t="s">
        <v>200</v>
      </c>
      <c r="L4" s="84" t="s">
        <v>201</v>
      </c>
      <c r="M4" s="84" t="s">
        <v>202</v>
      </c>
      <c r="N4" s="84" t="s">
        <v>203</v>
      </c>
      <c r="O4" s="85" t="s">
        <v>32</v>
      </c>
    </row>
    <row r="6" spans="2:15" x14ac:dyDescent="0.2">
      <c r="B6" t="s">
        <v>121</v>
      </c>
      <c r="C6" s="5">
        <v>30038.860806211807</v>
      </c>
      <c r="D6" s="5">
        <v>31540.803846522402</v>
      </c>
      <c r="E6" s="5">
        <v>33117.844038848518</v>
      </c>
      <c r="F6" s="5">
        <v>34773.736240790946</v>
      </c>
      <c r="G6" s="5">
        <v>36512.423052830491</v>
      </c>
      <c r="H6" s="5">
        <v>38338.044205472026</v>
      </c>
      <c r="I6" s="5">
        <v>40254.946415745631</v>
      </c>
      <c r="J6" s="5">
        <v>42267.693736532921</v>
      </c>
      <c r="K6" s="5">
        <v>44381.078423359562</v>
      </c>
      <c r="L6" s="5">
        <v>46600.132344527548</v>
      </c>
      <c r="M6" s="5">
        <v>48930.138961753924</v>
      </c>
      <c r="N6" s="5">
        <v>51376.645909841624</v>
      </c>
      <c r="O6" s="103">
        <f>N6</f>
        <v>51376.645909841624</v>
      </c>
    </row>
    <row r="7" spans="2:15" ht="15" hidden="1" customHeight="1" outlineLevel="1" x14ac:dyDescent="0.2">
      <c r="B7" t="s">
        <v>104</v>
      </c>
      <c r="C7" s="11">
        <f>C$6*Sheet6!$M$11*8</f>
        <v>5048839.2970440611</v>
      </c>
      <c r="D7" s="11">
        <f>D$6*Sheet6!$M$11*8</f>
        <v>5301281.2618962647</v>
      </c>
      <c r="E7" s="11">
        <f>E$6*Sheet6!$M$11*8</f>
        <v>5566345.3249910772</v>
      </c>
      <c r="F7" s="11">
        <f>F$6*Sheet6!$M$11*8</f>
        <v>5844662.5912406314</v>
      </c>
      <c r="G7" s="11">
        <f>G$6*Sheet6!$M$11*8</f>
        <v>6136895.7208026629</v>
      </c>
      <c r="H7" s="11">
        <f>H$6*Sheet6!$M$11*8</f>
        <v>6443740.5068427976</v>
      </c>
      <c r="I7" s="11">
        <f>I$6*Sheet6!$M$11*8</f>
        <v>6765927.532184938</v>
      </c>
      <c r="J7" s="11">
        <f>J$6*Sheet6!$M$11*8</f>
        <v>7104223.908794187</v>
      </c>
      <c r="K7" s="11">
        <f>K$6*Sheet6!$M$11*8</f>
        <v>7459435.1042338954</v>
      </c>
      <c r="L7" s="11">
        <f>L$6*Sheet6!$M$11*8</f>
        <v>7832406.8594455915</v>
      </c>
      <c r="M7" s="11">
        <f>M$6*Sheet6!$M$11*8</f>
        <v>8224027.202417871</v>
      </c>
      <c r="N7" s="11">
        <f>N$6*Sheet6!$M$11*8</f>
        <v>8635228.5625387654</v>
      </c>
      <c r="O7" s="65"/>
    </row>
    <row r="8" spans="2:15" ht="15" hidden="1" customHeight="1" outlineLevel="1" x14ac:dyDescent="0.2">
      <c r="B8" t="s">
        <v>105</v>
      </c>
      <c r="C8" s="11">
        <f>C$6*Sheet6!$M$11*8*5</f>
        <v>25244196.485220306</v>
      </c>
      <c r="D8" s="11">
        <f>D$6*Sheet6!$M$11*8*5</f>
        <v>26506406.309481323</v>
      </c>
      <c r="E8" s="11">
        <f>E$6*Sheet6!$M$11*8*5</f>
        <v>27831726.624955386</v>
      </c>
      <c r="F8" s="11">
        <f>F$6*Sheet6!$M$11*8*5</f>
        <v>29223312.956203155</v>
      </c>
      <c r="G8" s="11">
        <f>G$6*Sheet6!$M$11*8*5</f>
        <v>30684478.604013316</v>
      </c>
      <c r="H8" s="11">
        <f>H$6*Sheet6!$M$11*8*5</f>
        <v>32218702.53421399</v>
      </c>
      <c r="I8" s="11">
        <f>I$6*Sheet6!$M$11*8*5</f>
        <v>33829637.660924688</v>
      </c>
      <c r="J8" s="11">
        <f>J$6*Sheet6!$M$11*8*5</f>
        <v>35521119.543970935</v>
      </c>
      <c r="K8" s="11">
        <f>K$6*Sheet6!$M$11*8*5</f>
        <v>37297175.521169476</v>
      </c>
      <c r="L8" s="11">
        <f>L$6*Sheet6!$M$11*8*5</f>
        <v>39162034.297227956</v>
      </c>
      <c r="M8" s="11">
        <f>M$6*Sheet6!$M$11*8*5</f>
        <v>41120136.012089357</v>
      </c>
      <c r="N8" s="11">
        <f>N$6*Sheet6!$M$11*8*5</f>
        <v>43176142.812693827</v>
      </c>
      <c r="O8" s="65"/>
    </row>
    <row r="9" spans="2:15" ht="15" hidden="1" customHeight="1" collapsed="1" x14ac:dyDescent="0.2">
      <c r="B9" t="s">
        <v>108</v>
      </c>
      <c r="C9" s="9">
        <f>(C8*52)/12</f>
        <v>109391518.10262132</v>
      </c>
      <c r="D9" s="9">
        <f t="shared" ref="D9:N9" si="0">(D8*52)/12</f>
        <v>114861094.0077524</v>
      </c>
      <c r="E9" s="9">
        <f t="shared" si="0"/>
        <v>120604148.70814002</v>
      </c>
      <c r="F9" s="9">
        <f t="shared" si="0"/>
        <v>126634356.143547</v>
      </c>
      <c r="G9" s="9">
        <f t="shared" si="0"/>
        <v>132966073.95072436</v>
      </c>
      <c r="H9" s="9">
        <f t="shared" si="0"/>
        <v>139614377.64826062</v>
      </c>
      <c r="I9" s="9">
        <f t="shared" si="0"/>
        <v>146595096.53067365</v>
      </c>
      <c r="J9" s="9">
        <f t="shared" si="0"/>
        <v>153924851.35720739</v>
      </c>
      <c r="K9" s="9">
        <f t="shared" si="0"/>
        <v>161621093.92506772</v>
      </c>
      <c r="L9" s="9">
        <f t="shared" si="0"/>
        <v>169702148.62132114</v>
      </c>
      <c r="M9" s="9">
        <f t="shared" si="0"/>
        <v>178187256.05238721</v>
      </c>
      <c r="N9" s="9">
        <f t="shared" si="0"/>
        <v>187096618.85500658</v>
      </c>
      <c r="O9" s="82">
        <f>SUM(C9:N9)</f>
        <v>1741198633.9027095</v>
      </c>
    </row>
    <row r="10" spans="2:15" ht="15" hidden="1" customHeight="1" x14ac:dyDescent="0.2">
      <c r="O10" s="65"/>
    </row>
    <row r="11" spans="2:15" ht="15" hidden="1" customHeight="1" outlineLevel="1" x14ac:dyDescent="0.2">
      <c r="B11" t="s">
        <v>106</v>
      </c>
      <c r="C11" s="9">
        <f>C6*8</f>
        <v>240310.88644969446</v>
      </c>
      <c r="D11" s="9">
        <f t="shared" ref="D11:N11" si="1">D6*8</f>
        <v>252326.43077217921</v>
      </c>
      <c r="E11" s="9">
        <f t="shared" si="1"/>
        <v>264942.75231078814</v>
      </c>
      <c r="F11" s="9">
        <f t="shared" si="1"/>
        <v>278189.88992632757</v>
      </c>
      <c r="G11" s="9">
        <f t="shared" si="1"/>
        <v>292099.38442264393</v>
      </c>
      <c r="H11" s="9">
        <f t="shared" si="1"/>
        <v>306704.35364377621</v>
      </c>
      <c r="I11" s="9">
        <f t="shared" si="1"/>
        <v>322039.57132596505</v>
      </c>
      <c r="J11" s="9">
        <f t="shared" si="1"/>
        <v>338141.54989226337</v>
      </c>
      <c r="K11" s="9">
        <f t="shared" si="1"/>
        <v>355048.6273868765</v>
      </c>
      <c r="L11" s="9">
        <f t="shared" si="1"/>
        <v>372801.05875622039</v>
      </c>
      <c r="M11" s="9">
        <f t="shared" si="1"/>
        <v>391441.1116940314</v>
      </c>
      <c r="N11" s="9">
        <f t="shared" si="1"/>
        <v>411013.16727873299</v>
      </c>
      <c r="O11" s="65"/>
    </row>
    <row r="12" spans="2:15" ht="15" hidden="1" customHeight="1" outlineLevel="1" x14ac:dyDescent="0.2">
      <c r="B12" t="s">
        <v>107</v>
      </c>
      <c r="C12" s="9">
        <f>C6*8*5</f>
        <v>1201554.4322484722</v>
      </c>
      <c r="D12" s="9">
        <f t="shared" ref="D12:N12" si="2">D6*8*5</f>
        <v>1261632.1538608961</v>
      </c>
      <c r="E12" s="9">
        <f t="shared" si="2"/>
        <v>1324713.7615539408</v>
      </c>
      <c r="F12" s="9">
        <f t="shared" si="2"/>
        <v>1390949.4496316379</v>
      </c>
      <c r="G12" s="9">
        <f t="shared" si="2"/>
        <v>1460496.9221132197</v>
      </c>
      <c r="H12" s="9">
        <f t="shared" si="2"/>
        <v>1533521.768218881</v>
      </c>
      <c r="I12" s="9">
        <f t="shared" si="2"/>
        <v>1610197.8566298252</v>
      </c>
      <c r="J12" s="9">
        <f t="shared" si="2"/>
        <v>1690707.749461317</v>
      </c>
      <c r="K12" s="9">
        <f t="shared" si="2"/>
        <v>1775243.1369343824</v>
      </c>
      <c r="L12" s="9">
        <f t="shared" si="2"/>
        <v>1864005.2937811019</v>
      </c>
      <c r="M12" s="9">
        <f t="shared" si="2"/>
        <v>1957205.558470157</v>
      </c>
      <c r="N12" s="9">
        <f t="shared" si="2"/>
        <v>2055065.8363936651</v>
      </c>
      <c r="O12" s="65"/>
    </row>
    <row r="13" spans="2:15" s="65" customFormat="1" collapsed="1" x14ac:dyDescent="0.2">
      <c r="B13" s="65" t="s">
        <v>109</v>
      </c>
      <c r="C13" s="104">
        <f>(C12*52)/12</f>
        <v>5206735.8730767136</v>
      </c>
      <c r="D13" s="104">
        <f t="shared" ref="D13:N13" si="3">(D12*52)/12</f>
        <v>5467072.6667305501</v>
      </c>
      <c r="E13" s="104">
        <f t="shared" si="3"/>
        <v>5740426.3000670774</v>
      </c>
      <c r="F13" s="104">
        <f t="shared" si="3"/>
        <v>6027447.6150704315</v>
      </c>
      <c r="G13" s="104">
        <f t="shared" si="3"/>
        <v>6328819.9958239524</v>
      </c>
      <c r="H13" s="104">
        <f t="shared" si="3"/>
        <v>6645260.9956151508</v>
      </c>
      <c r="I13" s="104">
        <f t="shared" si="3"/>
        <v>6977524.0453959098</v>
      </c>
      <c r="J13" s="104">
        <f t="shared" si="3"/>
        <v>7326400.247665707</v>
      </c>
      <c r="K13" s="104">
        <f t="shared" si="3"/>
        <v>7692720.2600489901</v>
      </c>
      <c r="L13" s="104">
        <f t="shared" si="3"/>
        <v>8077356.2730514416</v>
      </c>
      <c r="M13" s="104">
        <f t="shared" si="3"/>
        <v>8481224.0867040139</v>
      </c>
      <c r="N13" s="104">
        <f t="shared" si="3"/>
        <v>8905285.2910392154</v>
      </c>
      <c r="O13" s="105">
        <f>SUM(C13:N13)</f>
        <v>82876273.650289148</v>
      </c>
    </row>
    <row r="14" spans="2:15" x14ac:dyDescent="0.2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5"/>
    </row>
    <row r="15" spans="2:15" x14ac:dyDescent="0.2">
      <c r="B15" t="s">
        <v>110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5"/>
    </row>
    <row r="16" spans="2:15" x14ac:dyDescent="0.2">
      <c r="B16" s="13" t="s">
        <v>64</v>
      </c>
      <c r="C16" s="106">
        <f>'Expense Assumptions'!$L$8/12</f>
        <v>325000</v>
      </c>
      <c r="D16" s="106">
        <f>'Expense Assumptions'!$L$8/12</f>
        <v>325000</v>
      </c>
      <c r="E16" s="106">
        <f>'Expense Assumptions'!$L$8/12</f>
        <v>325000</v>
      </c>
      <c r="F16" s="106">
        <f>'Expense Assumptions'!$L$8/12</f>
        <v>325000</v>
      </c>
      <c r="G16" s="106">
        <f>'Expense Assumptions'!$L$8/12</f>
        <v>325000</v>
      </c>
      <c r="H16" s="106">
        <f>'Expense Assumptions'!$L$8/12</f>
        <v>325000</v>
      </c>
      <c r="I16" s="106">
        <f>'Expense Assumptions'!$L$8/12</f>
        <v>325000</v>
      </c>
      <c r="J16" s="106">
        <f>'Expense Assumptions'!$L$8/12</f>
        <v>325000</v>
      </c>
      <c r="K16" s="106">
        <f>'Expense Assumptions'!$L$8/12</f>
        <v>325000</v>
      </c>
      <c r="L16" s="106">
        <f>'Expense Assumptions'!$L$8/12</f>
        <v>325000</v>
      </c>
      <c r="M16" s="106">
        <f>'Expense Assumptions'!$L$8/12</f>
        <v>325000</v>
      </c>
      <c r="N16" s="106">
        <f>'Expense Assumptions'!$L$8/12</f>
        <v>325000</v>
      </c>
      <c r="O16" s="105">
        <f>SUM(C16:N16)</f>
        <v>3900000</v>
      </c>
    </row>
    <row r="17" spans="2:15" x14ac:dyDescent="0.2">
      <c r="B17" s="13" t="s">
        <v>62</v>
      </c>
      <c r="C17" s="106">
        <f>'Expense Assumptions'!$L$6/12</f>
        <v>2000</v>
      </c>
      <c r="D17" s="106">
        <f>'Expense Assumptions'!$L$6/12</f>
        <v>2000</v>
      </c>
      <c r="E17" s="106">
        <f>'Expense Assumptions'!$L$6/12</f>
        <v>2000</v>
      </c>
      <c r="F17" s="106">
        <f>'Expense Assumptions'!$L$6/12</f>
        <v>2000</v>
      </c>
      <c r="G17" s="106">
        <f>'Expense Assumptions'!$L$6/12</f>
        <v>2000</v>
      </c>
      <c r="H17" s="106">
        <f>'Expense Assumptions'!$L$6/12</f>
        <v>2000</v>
      </c>
      <c r="I17" s="106">
        <f>'Expense Assumptions'!$L$6/12</f>
        <v>2000</v>
      </c>
      <c r="J17" s="106">
        <f>'Expense Assumptions'!$L$6/12</f>
        <v>2000</v>
      </c>
      <c r="K17" s="106">
        <f>'Expense Assumptions'!$L$6/12</f>
        <v>2000</v>
      </c>
      <c r="L17" s="106">
        <f>'Expense Assumptions'!$L$6/12</f>
        <v>2000</v>
      </c>
      <c r="M17" s="106">
        <f>'Expense Assumptions'!$L$6/12</f>
        <v>2000</v>
      </c>
      <c r="N17" s="106">
        <f>'Expense Assumptions'!$L$6/12</f>
        <v>2000</v>
      </c>
      <c r="O17" s="105">
        <f t="shared" ref="O17:O18" si="4">SUM(C17:N17)</f>
        <v>24000</v>
      </c>
    </row>
    <row r="18" spans="2:15" x14ac:dyDescent="0.2">
      <c r="B18" s="13" t="s">
        <v>83</v>
      </c>
      <c r="C18" s="106">
        <f>'Expense Assumptions'!$L$7/12</f>
        <v>2083.3333333333335</v>
      </c>
      <c r="D18" s="106">
        <f>'Expense Assumptions'!$L$7/12</f>
        <v>2083.3333333333335</v>
      </c>
      <c r="E18" s="106">
        <f>'Expense Assumptions'!$L$7/12</f>
        <v>2083.3333333333335</v>
      </c>
      <c r="F18" s="106">
        <f>'Expense Assumptions'!$L$7/12</f>
        <v>2083.3333333333335</v>
      </c>
      <c r="G18" s="106">
        <f>'Expense Assumptions'!$L$7/12</f>
        <v>2083.3333333333335</v>
      </c>
      <c r="H18" s="106">
        <f>'Expense Assumptions'!$L$7/12</f>
        <v>2083.3333333333335</v>
      </c>
      <c r="I18" s="106">
        <f>'Expense Assumptions'!$L$7/12</f>
        <v>2083.3333333333335</v>
      </c>
      <c r="J18" s="106">
        <f>'Expense Assumptions'!$L$7/12</f>
        <v>2083.3333333333335</v>
      </c>
      <c r="K18" s="106">
        <f>'Expense Assumptions'!$L$7/12</f>
        <v>2083.3333333333335</v>
      </c>
      <c r="L18" s="106">
        <f>'Expense Assumptions'!$L$7/12</f>
        <v>2083.3333333333335</v>
      </c>
      <c r="M18" s="106">
        <f>'Expense Assumptions'!$L$7/12</f>
        <v>2083.3333333333335</v>
      </c>
      <c r="N18" s="106">
        <f>'Expense Assumptions'!$L$7/12</f>
        <v>2083.3333333333335</v>
      </c>
      <c r="O18" s="105">
        <f t="shared" si="4"/>
        <v>24999.999999999996</v>
      </c>
    </row>
    <row r="19" spans="2:15" x14ac:dyDescent="0.2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5"/>
    </row>
    <row r="20" spans="2:15" s="65" customFormat="1" x14ac:dyDescent="0.2">
      <c r="B20" s="65" t="s">
        <v>113</v>
      </c>
      <c r="C20" s="105">
        <f>C13-C16-C17-C18</f>
        <v>4877652.5397433806</v>
      </c>
      <c r="D20" s="105">
        <f t="shared" ref="D20:N20" si="5">D13-D16-D17-D18</f>
        <v>5137989.3333972171</v>
      </c>
      <c r="E20" s="105">
        <f t="shared" si="5"/>
        <v>5411342.9667337444</v>
      </c>
      <c r="F20" s="105">
        <f t="shared" si="5"/>
        <v>5698364.2817370985</v>
      </c>
      <c r="G20" s="105">
        <f t="shared" si="5"/>
        <v>5999736.6624906193</v>
      </c>
      <c r="H20" s="105">
        <f t="shared" si="5"/>
        <v>6316177.6622818178</v>
      </c>
      <c r="I20" s="105">
        <f t="shared" si="5"/>
        <v>6648440.7120625768</v>
      </c>
      <c r="J20" s="105">
        <f t="shared" si="5"/>
        <v>6997316.914332374</v>
      </c>
      <c r="K20" s="105">
        <f t="shared" si="5"/>
        <v>7363636.9267156571</v>
      </c>
      <c r="L20" s="105">
        <f t="shared" si="5"/>
        <v>7748272.9397181086</v>
      </c>
      <c r="M20" s="105">
        <f t="shared" si="5"/>
        <v>8152140.7533706808</v>
      </c>
      <c r="N20" s="105">
        <f t="shared" si="5"/>
        <v>8576201.9577058814</v>
      </c>
      <c r="O20" s="105">
        <f>O13-O16-O17-O18</f>
        <v>78927273.650289148</v>
      </c>
    </row>
    <row r="21" spans="2:15" x14ac:dyDescent="0.2"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5"/>
    </row>
    <row r="22" spans="2:15" x14ac:dyDescent="0.2">
      <c r="B22" t="s">
        <v>111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5"/>
    </row>
    <row r="23" spans="2:15" x14ac:dyDescent="0.2">
      <c r="B23" s="13" t="s">
        <v>82</v>
      </c>
      <c r="C23" s="107">
        <f>'Expense Assumptions'!$L$15/12</f>
        <v>41666.666666666664</v>
      </c>
      <c r="D23" s="107">
        <f>'Expense Assumptions'!$L$15/12</f>
        <v>41666.666666666664</v>
      </c>
      <c r="E23" s="107">
        <f>'Expense Assumptions'!$L$15/12</f>
        <v>41666.666666666664</v>
      </c>
      <c r="F23" s="107">
        <f>'Expense Assumptions'!$L$15/12</f>
        <v>41666.666666666664</v>
      </c>
      <c r="G23" s="107">
        <f>'Expense Assumptions'!$L$15/12</f>
        <v>41666.666666666664</v>
      </c>
      <c r="H23" s="107">
        <f>'Expense Assumptions'!$L$15/12</f>
        <v>41666.666666666664</v>
      </c>
      <c r="I23" s="107">
        <f>'Expense Assumptions'!$L$15/12</f>
        <v>41666.666666666664</v>
      </c>
      <c r="J23" s="107">
        <f>'Expense Assumptions'!$L$15/12</f>
        <v>41666.666666666664</v>
      </c>
      <c r="K23" s="107">
        <f>'Expense Assumptions'!$L$15/12</f>
        <v>41666.666666666664</v>
      </c>
      <c r="L23" s="107">
        <f>'Expense Assumptions'!$L$15/12</f>
        <v>41666.666666666664</v>
      </c>
      <c r="M23" s="107">
        <f>'Expense Assumptions'!$L$15/12</f>
        <v>41666.666666666664</v>
      </c>
      <c r="N23" s="107">
        <f>'Expense Assumptions'!$L$15/12</f>
        <v>41666.666666666664</v>
      </c>
      <c r="O23" s="105">
        <f>SUM(C23:N23)</f>
        <v>500000.00000000006</v>
      </c>
    </row>
    <row r="24" spans="2:15" x14ac:dyDescent="0.2">
      <c r="B24" s="13" t="s">
        <v>26</v>
      </c>
      <c r="C24" s="107">
        <f>'Expense Assumptions'!$L$16/12</f>
        <v>25000</v>
      </c>
      <c r="D24" s="107">
        <f>'Expense Assumptions'!$L$16/12</f>
        <v>25000</v>
      </c>
      <c r="E24" s="107">
        <f>'Expense Assumptions'!$L$16/12</f>
        <v>25000</v>
      </c>
      <c r="F24" s="107">
        <f>'Expense Assumptions'!$L$16/12</f>
        <v>25000</v>
      </c>
      <c r="G24" s="107">
        <f>'Expense Assumptions'!$L$16/12</f>
        <v>25000</v>
      </c>
      <c r="H24" s="107">
        <f>'Expense Assumptions'!$L$16/12</f>
        <v>25000</v>
      </c>
      <c r="I24" s="107">
        <f>'Expense Assumptions'!$L$16/12</f>
        <v>25000</v>
      </c>
      <c r="J24" s="107">
        <f>'Expense Assumptions'!$L$16/12</f>
        <v>25000</v>
      </c>
      <c r="K24" s="107">
        <f>'Expense Assumptions'!$L$16/12</f>
        <v>25000</v>
      </c>
      <c r="L24" s="107">
        <f>'Expense Assumptions'!$L$16/12</f>
        <v>25000</v>
      </c>
      <c r="M24" s="107">
        <f>'Expense Assumptions'!$L$16/12</f>
        <v>25000</v>
      </c>
      <c r="N24" s="107">
        <f>'Expense Assumptions'!$L$16/12</f>
        <v>25000</v>
      </c>
      <c r="O24" s="105">
        <f t="shared" ref="O24:O32" si="6">SUM(C24:N24)</f>
        <v>300000</v>
      </c>
    </row>
    <row r="25" spans="2:15" x14ac:dyDescent="0.2">
      <c r="B25" s="13" t="s">
        <v>86</v>
      </c>
      <c r="C25" s="107">
        <f>'Expense Assumptions'!$L$14/12</f>
        <v>191100</v>
      </c>
      <c r="D25" s="107">
        <f>'Expense Assumptions'!$L$14/12</f>
        <v>191100</v>
      </c>
      <c r="E25" s="107">
        <f>'Expense Assumptions'!$L$14/12</f>
        <v>191100</v>
      </c>
      <c r="F25" s="107">
        <f>'Expense Assumptions'!$L$14/12</f>
        <v>191100</v>
      </c>
      <c r="G25" s="107">
        <f>'Expense Assumptions'!$L$14/12</f>
        <v>191100</v>
      </c>
      <c r="H25" s="107">
        <f>'Expense Assumptions'!$L$14/12</f>
        <v>191100</v>
      </c>
      <c r="I25" s="107">
        <f>'Expense Assumptions'!$L$14/12</f>
        <v>191100</v>
      </c>
      <c r="J25" s="107">
        <f>'Expense Assumptions'!$L$14/12</f>
        <v>191100</v>
      </c>
      <c r="K25" s="107">
        <f>'Expense Assumptions'!$L$14/12</f>
        <v>191100</v>
      </c>
      <c r="L25" s="107">
        <f>'Expense Assumptions'!$L$14/12</f>
        <v>191100</v>
      </c>
      <c r="M25" s="107">
        <f>'Expense Assumptions'!$L$14/12</f>
        <v>191100</v>
      </c>
      <c r="N25" s="107">
        <f>'Expense Assumptions'!$L$14/12</f>
        <v>191100</v>
      </c>
      <c r="O25" s="105">
        <f t="shared" si="6"/>
        <v>2293200</v>
      </c>
    </row>
    <row r="26" spans="2:15" x14ac:dyDescent="0.2">
      <c r="B26" s="13" t="s">
        <v>80</v>
      </c>
      <c r="C26" s="108">
        <f>'Expense Assumptions'!$L$11/12</f>
        <v>10000</v>
      </c>
      <c r="D26" s="108">
        <f>'Expense Assumptions'!$L$11/12</f>
        <v>10000</v>
      </c>
      <c r="E26" s="108">
        <f>'Expense Assumptions'!$L$11/12</f>
        <v>10000</v>
      </c>
      <c r="F26" s="108">
        <f>'Expense Assumptions'!$L$11/12</f>
        <v>10000</v>
      </c>
      <c r="G26" s="108">
        <f>'Expense Assumptions'!$L$11/12</f>
        <v>10000</v>
      </c>
      <c r="H26" s="108">
        <f>'Expense Assumptions'!$L$11/12</f>
        <v>10000</v>
      </c>
      <c r="I26" s="108">
        <f>'Expense Assumptions'!$L$11/12</f>
        <v>10000</v>
      </c>
      <c r="J26" s="108">
        <f>'Expense Assumptions'!$L$11/12</f>
        <v>10000</v>
      </c>
      <c r="K26" s="108">
        <f>'Expense Assumptions'!$L$11/12</f>
        <v>10000</v>
      </c>
      <c r="L26" s="108">
        <f>'Expense Assumptions'!$L$11/12</f>
        <v>10000</v>
      </c>
      <c r="M26" s="108">
        <f>'Expense Assumptions'!$L$11/12</f>
        <v>10000</v>
      </c>
      <c r="N26" s="108">
        <f>'Expense Assumptions'!$L$11/12</f>
        <v>10000</v>
      </c>
      <c r="O26" s="105">
        <f t="shared" si="6"/>
        <v>120000</v>
      </c>
    </row>
    <row r="27" spans="2:15" x14ac:dyDescent="0.2">
      <c r="B27" s="13" t="s">
        <v>81</v>
      </c>
      <c r="C27" s="108">
        <f>'Expense Assumptions'!$L$12/12</f>
        <v>20833.333333333332</v>
      </c>
      <c r="D27" s="108">
        <f>'Expense Assumptions'!$L$12/12</f>
        <v>20833.333333333332</v>
      </c>
      <c r="E27" s="108">
        <f>'Expense Assumptions'!$L$12/12</f>
        <v>20833.333333333332</v>
      </c>
      <c r="F27" s="108">
        <f>'Expense Assumptions'!$L$12/12</f>
        <v>20833.333333333332</v>
      </c>
      <c r="G27" s="108">
        <f>'Expense Assumptions'!$L$12/12</f>
        <v>20833.333333333332</v>
      </c>
      <c r="H27" s="108">
        <f>'Expense Assumptions'!$L$12/12</f>
        <v>20833.333333333332</v>
      </c>
      <c r="I27" s="108">
        <f>'Expense Assumptions'!$L$12/12</f>
        <v>20833.333333333332</v>
      </c>
      <c r="J27" s="108">
        <f>'Expense Assumptions'!$L$12/12</f>
        <v>20833.333333333332</v>
      </c>
      <c r="K27" s="108">
        <f>'Expense Assumptions'!$L$12/12</f>
        <v>20833.333333333332</v>
      </c>
      <c r="L27" s="108">
        <f>'Expense Assumptions'!$L$12/12</f>
        <v>20833.333333333332</v>
      </c>
      <c r="M27" s="108">
        <f>'Expense Assumptions'!$L$12/12</f>
        <v>20833.333333333332</v>
      </c>
      <c r="N27" s="108">
        <f>'Expense Assumptions'!$L$12/12</f>
        <v>20833.333333333332</v>
      </c>
      <c r="O27" s="105">
        <f>SUM(C27:N27)</f>
        <v>250000.00000000003</v>
      </c>
    </row>
    <row r="28" spans="2:15" x14ac:dyDescent="0.2">
      <c r="B28" s="13" t="s">
        <v>115</v>
      </c>
      <c r="C28" s="108">
        <f>'Expense Assumptions'!$D$25+('Expense Assumptions'!$H$25)*4</f>
        <v>4616.6666666666661</v>
      </c>
      <c r="D28" s="108">
        <f>'Expense Assumptions'!$D$25+('Expense Assumptions'!$H$25)*4</f>
        <v>4616.6666666666661</v>
      </c>
      <c r="E28" s="108">
        <f>'Expense Assumptions'!$D$25+('Expense Assumptions'!$H$25)*4</f>
        <v>4616.6666666666661</v>
      </c>
      <c r="F28" s="108">
        <f>'Expense Assumptions'!$D$25+('Expense Assumptions'!$H$25)*4</f>
        <v>4616.6666666666661</v>
      </c>
      <c r="G28" s="108">
        <f>'Expense Assumptions'!$D$25+('Expense Assumptions'!$H$25)*4</f>
        <v>4616.6666666666661</v>
      </c>
      <c r="H28" s="108">
        <f>'Expense Assumptions'!$D$25+('Expense Assumptions'!$H$25)*4</f>
        <v>4616.6666666666661</v>
      </c>
      <c r="I28" s="108">
        <f>'Expense Assumptions'!$D$25+('Expense Assumptions'!$H$25)*4</f>
        <v>4616.6666666666661</v>
      </c>
      <c r="J28" s="108">
        <f>'Expense Assumptions'!$D$25+('Expense Assumptions'!$H$25)*4</f>
        <v>4616.6666666666661</v>
      </c>
      <c r="K28" s="108">
        <f>'Expense Assumptions'!$D$25+('Expense Assumptions'!$H$25)*4</f>
        <v>4616.6666666666661</v>
      </c>
      <c r="L28" s="108">
        <f>'Expense Assumptions'!$D$25+('Expense Assumptions'!$H$25)*4</f>
        <v>4616.6666666666661</v>
      </c>
      <c r="M28" s="108">
        <f>'Expense Assumptions'!$D$25+('Expense Assumptions'!$H$25)*4</f>
        <v>4616.6666666666661</v>
      </c>
      <c r="N28" s="108">
        <f>'Expense Assumptions'!$D$25+('Expense Assumptions'!$H$25)*4</f>
        <v>4616.6666666666661</v>
      </c>
      <c r="O28" s="105">
        <f>'Expense Assumptions'!$D$25+('Expense Assumptions'!$H$25)*4</f>
        <v>4616.6666666666661</v>
      </c>
    </row>
    <row r="29" spans="2:15" x14ac:dyDescent="0.2">
      <c r="B29" s="13" t="s">
        <v>27</v>
      </c>
      <c r="C29" s="108">
        <f>'Expense Assumptions'!$L$13/12</f>
        <v>20833.333333333332</v>
      </c>
      <c r="D29" s="108">
        <f>'Expense Assumptions'!$L$13/12</f>
        <v>20833.333333333332</v>
      </c>
      <c r="E29" s="108">
        <f>'Expense Assumptions'!$L$13/12</f>
        <v>20833.333333333332</v>
      </c>
      <c r="F29" s="108">
        <f>'Expense Assumptions'!$L$13/12</f>
        <v>20833.333333333332</v>
      </c>
      <c r="G29" s="108">
        <f>'Expense Assumptions'!$L$13/12</f>
        <v>20833.333333333332</v>
      </c>
      <c r="H29" s="108">
        <f>'Expense Assumptions'!$L$13/12</f>
        <v>20833.333333333332</v>
      </c>
      <c r="I29" s="108">
        <f>'Expense Assumptions'!$L$13/12</f>
        <v>20833.333333333332</v>
      </c>
      <c r="J29" s="108">
        <f>'Expense Assumptions'!$L$13/12</f>
        <v>20833.333333333332</v>
      </c>
      <c r="K29" s="108">
        <f>'Expense Assumptions'!$L$13/12</f>
        <v>20833.333333333332</v>
      </c>
      <c r="L29" s="108">
        <f>'Expense Assumptions'!$L$13/12</f>
        <v>20833.333333333332</v>
      </c>
      <c r="M29" s="108">
        <f>'Expense Assumptions'!$L$13/12</f>
        <v>20833.333333333332</v>
      </c>
      <c r="N29" s="108">
        <f>'Expense Assumptions'!$L$13/12</f>
        <v>20833.333333333332</v>
      </c>
      <c r="O29" s="105">
        <f t="shared" si="6"/>
        <v>250000.00000000003</v>
      </c>
    </row>
    <row r="30" spans="2:15" x14ac:dyDescent="0.2">
      <c r="B30" s="13" t="s">
        <v>35</v>
      </c>
      <c r="C30" s="108">
        <f>'Expense Assumptions'!$L$17/12</f>
        <v>1300</v>
      </c>
      <c r="D30" s="108">
        <f>'Expense Assumptions'!$L$17/12</f>
        <v>1300</v>
      </c>
      <c r="E30" s="108">
        <f>'Expense Assumptions'!$L$17/12</f>
        <v>1300</v>
      </c>
      <c r="F30" s="108">
        <f>'Expense Assumptions'!$L$17/12</f>
        <v>1300</v>
      </c>
      <c r="G30" s="108">
        <f>'Expense Assumptions'!$L$17/12</f>
        <v>1300</v>
      </c>
      <c r="H30" s="108">
        <f>'Expense Assumptions'!$L$17/12</f>
        <v>1300</v>
      </c>
      <c r="I30" s="108">
        <f>'Expense Assumptions'!$L$17/12</f>
        <v>1300</v>
      </c>
      <c r="J30" s="108">
        <f>'Expense Assumptions'!$L$17/12</f>
        <v>1300</v>
      </c>
      <c r="K30" s="108">
        <f>'Expense Assumptions'!$L$17/12</f>
        <v>1300</v>
      </c>
      <c r="L30" s="108">
        <f>'Expense Assumptions'!$L$17/12</f>
        <v>1300</v>
      </c>
      <c r="M30" s="108">
        <f>'Expense Assumptions'!$L$17/12</f>
        <v>1300</v>
      </c>
      <c r="N30" s="108">
        <f>'Expense Assumptions'!$L$17/12</f>
        <v>1300</v>
      </c>
      <c r="O30" s="105">
        <f t="shared" si="6"/>
        <v>15600</v>
      </c>
    </row>
    <row r="31" spans="2:15" x14ac:dyDescent="0.2">
      <c r="B31" s="13" t="s">
        <v>120</v>
      </c>
      <c r="C31" s="108">
        <f>'Expense Assumptions'!$L$18/12</f>
        <v>1200</v>
      </c>
      <c r="D31" s="108">
        <f>'Expense Assumptions'!$L$18/12</f>
        <v>1200</v>
      </c>
      <c r="E31" s="108">
        <f>'Expense Assumptions'!$L$18/12</f>
        <v>1200</v>
      </c>
      <c r="F31" s="108">
        <f>'Expense Assumptions'!$L$18/12</f>
        <v>1200</v>
      </c>
      <c r="G31" s="108">
        <f>'Expense Assumptions'!$L$18/12</f>
        <v>1200</v>
      </c>
      <c r="H31" s="108">
        <f>'Expense Assumptions'!$L$18/12</f>
        <v>1200</v>
      </c>
      <c r="I31" s="108">
        <f>'Expense Assumptions'!$L$18/12</f>
        <v>1200</v>
      </c>
      <c r="J31" s="108">
        <f>'Expense Assumptions'!$L$18/12</f>
        <v>1200</v>
      </c>
      <c r="K31" s="108">
        <f>'Expense Assumptions'!$L$18/12</f>
        <v>1200</v>
      </c>
      <c r="L31" s="108">
        <f>'Expense Assumptions'!$L$18/12</f>
        <v>1200</v>
      </c>
      <c r="M31" s="108">
        <f>'Expense Assumptions'!$L$18/12</f>
        <v>1200</v>
      </c>
      <c r="N31" s="108">
        <f>'Expense Assumptions'!$L$18/12</f>
        <v>1200</v>
      </c>
      <c r="O31" s="105">
        <f t="shared" si="6"/>
        <v>14400</v>
      </c>
    </row>
    <row r="32" spans="2:15" x14ac:dyDescent="0.2">
      <c r="B32" s="15" t="s">
        <v>112</v>
      </c>
      <c r="C32" s="106">
        <f>SUM(C23:C31)</f>
        <v>316549.99999999994</v>
      </c>
      <c r="D32" s="106">
        <f t="shared" ref="D32:N32" si="7">SUM(D23:D31)</f>
        <v>316549.99999999994</v>
      </c>
      <c r="E32" s="106">
        <f t="shared" si="7"/>
        <v>316549.99999999994</v>
      </c>
      <c r="F32" s="106">
        <f t="shared" si="7"/>
        <v>316549.99999999994</v>
      </c>
      <c r="G32" s="106">
        <f t="shared" si="7"/>
        <v>316549.99999999994</v>
      </c>
      <c r="H32" s="106">
        <f t="shared" si="7"/>
        <v>316549.99999999994</v>
      </c>
      <c r="I32" s="106">
        <f t="shared" si="7"/>
        <v>316549.99999999994</v>
      </c>
      <c r="J32" s="106">
        <f t="shared" si="7"/>
        <v>316549.99999999994</v>
      </c>
      <c r="K32" s="106">
        <f t="shared" si="7"/>
        <v>316549.99999999994</v>
      </c>
      <c r="L32" s="106">
        <f t="shared" si="7"/>
        <v>316549.99999999994</v>
      </c>
      <c r="M32" s="106">
        <f t="shared" si="7"/>
        <v>316549.99999999994</v>
      </c>
      <c r="N32" s="106">
        <f t="shared" si="7"/>
        <v>316549.99999999994</v>
      </c>
      <c r="O32" s="105">
        <f t="shared" si="6"/>
        <v>3798599.9999999995</v>
      </c>
    </row>
    <row r="33" spans="2:15" x14ac:dyDescent="0.2"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5"/>
    </row>
    <row r="34" spans="2:15" s="65" customFormat="1" x14ac:dyDescent="0.2">
      <c r="B34" s="83" t="s">
        <v>114</v>
      </c>
      <c r="C34" s="105">
        <f>C20-C32</f>
        <v>4561102.5397433806</v>
      </c>
      <c r="D34" s="105">
        <f t="shared" ref="D34:N34" si="8">D20-D32</f>
        <v>4821439.3333972171</v>
      </c>
      <c r="E34" s="105">
        <f t="shared" si="8"/>
        <v>5094792.9667337444</v>
      </c>
      <c r="F34" s="105">
        <f t="shared" si="8"/>
        <v>5381814.2817370985</v>
      </c>
      <c r="G34" s="105">
        <f t="shared" si="8"/>
        <v>5683186.6624906193</v>
      </c>
      <c r="H34" s="105">
        <f t="shared" si="8"/>
        <v>5999627.6622818178</v>
      </c>
      <c r="I34" s="105">
        <f t="shared" si="8"/>
        <v>6331890.7120625768</v>
      </c>
      <c r="J34" s="105">
        <f t="shared" si="8"/>
        <v>6680766.914332374</v>
      </c>
      <c r="K34" s="105">
        <f t="shared" si="8"/>
        <v>7047086.9267156571</v>
      </c>
      <c r="L34" s="105">
        <f t="shared" si="8"/>
        <v>7431722.9397181086</v>
      </c>
      <c r="M34" s="105">
        <f t="shared" si="8"/>
        <v>7835590.7533706808</v>
      </c>
      <c r="N34" s="105">
        <f t="shared" si="8"/>
        <v>8259651.9577058814</v>
      </c>
      <c r="O34" s="105">
        <f>O20-O32</f>
        <v>75128673.650289148</v>
      </c>
    </row>
  </sheetData>
  <mergeCells count="1">
    <mergeCell ref="L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H22"/>
  <sheetViews>
    <sheetView workbookViewId="0">
      <selection activeCell="N20" sqref="N20"/>
    </sheetView>
  </sheetViews>
  <sheetFormatPr baseColWidth="10" defaultRowHeight="16" x14ac:dyDescent="0.2"/>
  <cols>
    <col min="1" max="1" width="1.33203125" customWidth="1"/>
    <col min="2" max="2" width="23.6640625" bestFit="1" customWidth="1"/>
    <col min="3" max="4" width="11" customWidth="1"/>
    <col min="5" max="5" width="12" customWidth="1"/>
    <col min="6" max="8" width="13" customWidth="1"/>
  </cols>
  <sheetData>
    <row r="2" spans="2:8" x14ac:dyDescent="0.2">
      <c r="B2" s="114"/>
      <c r="C2" s="115" t="s">
        <v>274</v>
      </c>
      <c r="D2" s="115" t="s">
        <v>84</v>
      </c>
      <c r="E2" s="115" t="s">
        <v>233</v>
      </c>
      <c r="F2" s="115" t="s">
        <v>234</v>
      </c>
      <c r="G2" s="115" t="s">
        <v>235</v>
      </c>
      <c r="H2" s="115" t="s">
        <v>236</v>
      </c>
    </row>
    <row r="3" spans="2:8" x14ac:dyDescent="0.2">
      <c r="B3" s="84" t="s">
        <v>268</v>
      </c>
      <c r="C3" s="70"/>
      <c r="D3" s="70"/>
      <c r="E3" s="70"/>
      <c r="F3" s="70"/>
      <c r="G3" s="70"/>
      <c r="H3" s="70"/>
    </row>
    <row r="5" spans="2:8" x14ac:dyDescent="0.2">
      <c r="B5" t="s">
        <v>210</v>
      </c>
      <c r="C5" s="99">
        <v>0</v>
      </c>
      <c r="D5" s="99">
        <f>'Year1-Test-IncomeStatement'!O13</f>
        <v>159466.66666666669</v>
      </c>
      <c r="E5" s="99">
        <f>'Year2-Test-IncomeStatement'!O13</f>
        <v>1110200</v>
      </c>
      <c r="F5" s="99">
        <f>'ScaleUp-Initial- Year3 - Income'!O13</f>
        <v>22330236.998341624</v>
      </c>
      <c r="G5" s="99">
        <f>'ScaleUp-Growth - Year4 - Income'!O13</f>
        <v>46148610.247603893</v>
      </c>
      <c r="H5" s="99">
        <f>'ScaleUp-Mature - Year5'!O13</f>
        <v>82876273.650289148</v>
      </c>
    </row>
    <row r="6" spans="2:8" x14ac:dyDescent="0.2">
      <c r="B6" t="s">
        <v>269</v>
      </c>
      <c r="C6" s="99">
        <v>0</v>
      </c>
      <c r="D6" s="99">
        <v>750133.5</v>
      </c>
      <c r="E6" s="99">
        <v>0</v>
      </c>
      <c r="F6" s="99">
        <v>0</v>
      </c>
      <c r="G6" s="99">
        <v>0</v>
      </c>
      <c r="H6" s="99">
        <v>0</v>
      </c>
    </row>
    <row r="7" spans="2:8" x14ac:dyDescent="0.2">
      <c r="B7" t="s">
        <v>275</v>
      </c>
      <c r="C7" s="99">
        <v>289600</v>
      </c>
      <c r="D7" s="99">
        <v>300000</v>
      </c>
      <c r="E7" s="99">
        <v>300000</v>
      </c>
      <c r="F7" s="99">
        <v>300000</v>
      </c>
      <c r="G7" s="99">
        <v>300000</v>
      </c>
      <c r="H7" s="99">
        <v>300000</v>
      </c>
    </row>
    <row r="8" spans="2:8" x14ac:dyDescent="0.2">
      <c r="C8" s="99"/>
      <c r="D8" s="99"/>
      <c r="E8" s="99"/>
      <c r="F8" s="99"/>
      <c r="G8" s="99"/>
      <c r="H8" s="99"/>
    </row>
    <row r="9" spans="2:8" x14ac:dyDescent="0.2">
      <c r="B9" s="109" t="s">
        <v>272</v>
      </c>
      <c r="C9" s="110">
        <f t="shared" ref="C9:H9" si="0">SUM(C5:C7)</f>
        <v>289600</v>
      </c>
      <c r="D9" s="110">
        <f t="shared" si="0"/>
        <v>1209600.1666666667</v>
      </c>
      <c r="E9" s="110">
        <f t="shared" si="0"/>
        <v>1410200</v>
      </c>
      <c r="F9" s="110">
        <f t="shared" si="0"/>
        <v>22630236.998341624</v>
      </c>
      <c r="G9" s="110">
        <f t="shared" si="0"/>
        <v>46448610.247603893</v>
      </c>
      <c r="H9" s="110">
        <f t="shared" si="0"/>
        <v>83176273.650289148</v>
      </c>
    </row>
    <row r="11" spans="2:8" x14ac:dyDescent="0.2">
      <c r="B11" s="59" t="s">
        <v>270</v>
      </c>
      <c r="C11" s="111"/>
      <c r="D11" s="111"/>
      <c r="E11" s="111"/>
      <c r="F11" s="111"/>
      <c r="G11" s="111"/>
      <c r="H11" s="111"/>
    </row>
    <row r="13" spans="2:8" x14ac:dyDescent="0.2">
      <c r="B13" t="s">
        <v>34</v>
      </c>
      <c r="C13" s="106">
        <v>-289600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</row>
    <row r="14" spans="2:8" x14ac:dyDescent="0.2">
      <c r="B14" t="s">
        <v>110</v>
      </c>
      <c r="C14" s="106">
        <v>0</v>
      </c>
      <c r="D14" s="106">
        <v>-530800</v>
      </c>
      <c r="E14" s="106">
        <v>-530800</v>
      </c>
      <c r="F14" s="106">
        <v>-3949000</v>
      </c>
      <c r="G14" s="106">
        <v>-3949000</v>
      </c>
      <c r="H14" s="106">
        <v>-3949000</v>
      </c>
    </row>
    <row r="15" spans="2:8" x14ac:dyDescent="0.2">
      <c r="B15" t="s">
        <v>111</v>
      </c>
      <c r="C15" s="106">
        <v>0</v>
      </c>
      <c r="D15" s="106">
        <v>-678800</v>
      </c>
      <c r="E15" s="106">
        <v>-684800</v>
      </c>
      <c r="F15" s="106">
        <v>-3786600</v>
      </c>
      <c r="G15" s="106">
        <v>-3792600</v>
      </c>
      <c r="H15" s="106">
        <v>-3798600</v>
      </c>
    </row>
    <row r="16" spans="2:8" x14ac:dyDescent="0.2">
      <c r="B16" t="s">
        <v>290</v>
      </c>
      <c r="C16" s="106">
        <v>0</v>
      </c>
      <c r="D16" s="106">
        <v>0</v>
      </c>
      <c r="E16" s="106">
        <f>-D6*0.05</f>
        <v>-37506.675000000003</v>
      </c>
      <c r="F16" s="106">
        <f>-D6*0.05</f>
        <v>-37506.675000000003</v>
      </c>
      <c r="G16" s="106">
        <v>0</v>
      </c>
      <c r="H16" s="106">
        <v>0</v>
      </c>
    </row>
    <row r="17" spans="2:8" x14ac:dyDescent="0.2">
      <c r="B17" t="s">
        <v>289</v>
      </c>
      <c r="C17" s="106">
        <v>0</v>
      </c>
      <c r="D17" s="106">
        <v>0</v>
      </c>
      <c r="E17" s="106">
        <v>0</v>
      </c>
      <c r="F17" s="106">
        <f>-D6</f>
        <v>-750133.5</v>
      </c>
      <c r="G17" s="106">
        <v>0</v>
      </c>
      <c r="H17" s="106">
        <v>0</v>
      </c>
    </row>
    <row r="19" spans="2:8" x14ac:dyDescent="0.2">
      <c r="B19" s="112" t="s">
        <v>271</v>
      </c>
      <c r="C19" s="113">
        <f>SUM(C13:C17)</f>
        <v>-289600</v>
      </c>
      <c r="D19" s="113">
        <f t="shared" ref="D19:H19" si="1">SUM(D13:D17)</f>
        <v>-1209600</v>
      </c>
      <c r="E19" s="113">
        <f t="shared" si="1"/>
        <v>-1253106.675</v>
      </c>
      <c r="F19" s="113">
        <f t="shared" si="1"/>
        <v>-8523240.1750000007</v>
      </c>
      <c r="G19" s="113">
        <f t="shared" si="1"/>
        <v>-7741600</v>
      </c>
      <c r="H19" s="113">
        <f t="shared" si="1"/>
        <v>-7747600</v>
      </c>
    </row>
    <row r="21" spans="2:8" ht="17" thickBot="1" x14ac:dyDescent="0.25">
      <c r="B21" s="116" t="s">
        <v>273</v>
      </c>
      <c r="C21" s="117">
        <f t="shared" ref="C21:H21" si="2">C9+C19</f>
        <v>0</v>
      </c>
      <c r="D21" s="117">
        <f t="shared" si="2"/>
        <v>0.16666666674427688</v>
      </c>
      <c r="E21" s="117">
        <f t="shared" si="2"/>
        <v>157093.32499999995</v>
      </c>
      <c r="F21" s="117">
        <f t="shared" si="2"/>
        <v>14106996.823341623</v>
      </c>
      <c r="G21" s="117">
        <f t="shared" si="2"/>
        <v>38707010.247603893</v>
      </c>
      <c r="H21" s="117">
        <f t="shared" si="2"/>
        <v>75428673.650289148</v>
      </c>
    </row>
    <row r="22" spans="2:8" ht="17" thickTop="1" x14ac:dyDescent="0.2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G3:N7"/>
  <sheetViews>
    <sheetView topLeftCell="D10" workbookViewId="0">
      <selection activeCell="E33" sqref="E33"/>
    </sheetView>
  </sheetViews>
  <sheetFormatPr baseColWidth="10" defaultRowHeight="16" x14ac:dyDescent="0.2"/>
  <cols>
    <col min="10" max="10" width="15.6640625" customWidth="1"/>
    <col min="11" max="11" width="28.83203125" customWidth="1"/>
    <col min="12" max="12" width="27.6640625" customWidth="1"/>
    <col min="13" max="13" width="22.5" customWidth="1"/>
  </cols>
  <sheetData>
    <row r="3" spans="7:14" x14ac:dyDescent="0.2">
      <c r="J3" s="165" t="s">
        <v>3</v>
      </c>
      <c r="K3" s="165"/>
      <c r="L3" s="165"/>
      <c r="M3" s="165"/>
      <c r="N3" s="3"/>
    </row>
    <row r="4" spans="7:14" x14ac:dyDescent="0.2">
      <c r="J4" t="s">
        <v>4</v>
      </c>
      <c r="K4" t="s">
        <v>5</v>
      </c>
      <c r="L4" t="s">
        <v>6</v>
      </c>
      <c r="M4" t="s">
        <v>7</v>
      </c>
    </row>
    <row r="5" spans="7:14" x14ac:dyDescent="0.2">
      <c r="G5" t="s">
        <v>0</v>
      </c>
    </row>
    <row r="6" spans="7:14" x14ac:dyDescent="0.2">
      <c r="G6" t="s">
        <v>1</v>
      </c>
    </row>
    <row r="7" spans="7:14" x14ac:dyDescent="0.2">
      <c r="G7" t="s">
        <v>2</v>
      </c>
    </row>
  </sheetData>
  <mergeCells count="1">
    <mergeCell ref="J3:M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V18:V20"/>
  <sheetViews>
    <sheetView topLeftCell="C24" workbookViewId="0">
      <selection activeCell="V21" sqref="V21"/>
    </sheetView>
  </sheetViews>
  <sheetFormatPr baseColWidth="10" defaultRowHeight="16" x14ac:dyDescent="0.2"/>
  <sheetData>
    <row r="18" spans="22:22" x14ac:dyDescent="0.2">
      <c r="V18" t="s">
        <v>8</v>
      </c>
    </row>
    <row r="19" spans="22:22" x14ac:dyDescent="0.2">
      <c r="V19">
        <f>12.7+4.5</f>
        <v>17.2</v>
      </c>
    </row>
    <row r="20" spans="22:22" x14ac:dyDescent="0.2">
      <c r="V20">
        <f>V19*4.2</f>
        <v>72.239999999999995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D4:T30"/>
  <sheetViews>
    <sheetView topLeftCell="C1" workbookViewId="0">
      <selection activeCell="G23" sqref="G23"/>
    </sheetView>
  </sheetViews>
  <sheetFormatPr baseColWidth="10" defaultRowHeight="16" x14ac:dyDescent="0.2"/>
  <cols>
    <col min="5" max="5" width="11.6640625" customWidth="1"/>
    <col min="6" max="6" width="13.83203125" customWidth="1"/>
    <col min="13" max="13" width="11.6640625" customWidth="1"/>
  </cols>
  <sheetData>
    <row r="4" spans="5:20" x14ac:dyDescent="0.2">
      <c r="E4" t="s">
        <v>9</v>
      </c>
      <c r="F4">
        <v>722400</v>
      </c>
    </row>
    <row r="5" spans="5:20" x14ac:dyDescent="0.2">
      <c r="E5" t="s">
        <v>10</v>
      </c>
      <c r="F5" t="s">
        <v>11</v>
      </c>
      <c r="G5">
        <f>0.137+0.054</f>
        <v>0.191</v>
      </c>
      <c r="I5">
        <f>0.127+0.045</f>
        <v>0.17199999999999999</v>
      </c>
      <c r="M5">
        <v>43700</v>
      </c>
      <c r="N5" t="s">
        <v>12</v>
      </c>
    </row>
    <row r="7" spans="5:20" x14ac:dyDescent="0.2">
      <c r="F7" t="s">
        <v>15</v>
      </c>
      <c r="G7">
        <f>F4*G5</f>
        <v>137978.4</v>
      </c>
      <c r="M7">
        <v>40</v>
      </c>
      <c r="N7" t="s">
        <v>13</v>
      </c>
    </row>
    <row r="8" spans="5:20" x14ac:dyDescent="0.2">
      <c r="F8" t="s">
        <v>16</v>
      </c>
      <c r="G8" s="4">
        <v>0.95</v>
      </c>
      <c r="M8">
        <v>52</v>
      </c>
      <c r="N8" t="s">
        <v>14</v>
      </c>
    </row>
    <row r="9" spans="5:20" x14ac:dyDescent="0.2">
      <c r="F9" t="s">
        <v>17</v>
      </c>
      <c r="G9">
        <f>G7*G8</f>
        <v>131079.47999999998</v>
      </c>
      <c r="Q9" t="s">
        <v>276</v>
      </c>
      <c r="S9">
        <v>1025</v>
      </c>
    </row>
    <row r="10" spans="5:20" x14ac:dyDescent="0.2">
      <c r="M10">
        <f>M7*M8</f>
        <v>2080</v>
      </c>
      <c r="Q10" t="s">
        <v>277</v>
      </c>
      <c r="S10">
        <v>1257</v>
      </c>
    </row>
    <row r="11" spans="5:20" x14ac:dyDescent="0.2">
      <c r="F11" t="s">
        <v>18</v>
      </c>
      <c r="G11" t="s">
        <v>19</v>
      </c>
      <c r="M11">
        <f>M5/M10</f>
        <v>21.009615384615383</v>
      </c>
      <c r="Q11" t="s">
        <v>278</v>
      </c>
      <c r="S11">
        <v>1529</v>
      </c>
    </row>
    <row r="12" spans="5:20" x14ac:dyDescent="0.2">
      <c r="M12">
        <f>20*M10</f>
        <v>41600</v>
      </c>
      <c r="Q12" t="s">
        <v>279</v>
      </c>
      <c r="S12">
        <v>1532</v>
      </c>
    </row>
    <row r="13" spans="5:20" x14ac:dyDescent="0.2">
      <c r="F13" t="s">
        <v>20</v>
      </c>
      <c r="G13">
        <f>G9*8</f>
        <v>1048635.8399999999</v>
      </c>
      <c r="H13" t="s">
        <v>21</v>
      </c>
      <c r="J13">
        <v>8</v>
      </c>
    </row>
    <row r="14" spans="5:20" x14ac:dyDescent="0.2">
      <c r="G14">
        <f>G13*5</f>
        <v>5243179.1999999993</v>
      </c>
      <c r="H14" t="s">
        <v>22</v>
      </c>
      <c r="S14" t="s">
        <v>280</v>
      </c>
    </row>
    <row r="15" spans="5:20" x14ac:dyDescent="0.2">
      <c r="G15">
        <f>G14*52</f>
        <v>272645318.39999998</v>
      </c>
      <c r="H15" t="s">
        <v>23</v>
      </c>
      <c r="M15">
        <v>75000</v>
      </c>
    </row>
    <row r="16" spans="5:20" x14ac:dyDescent="0.2">
      <c r="Q16">
        <v>12.7</v>
      </c>
      <c r="S16">
        <f>Q16/Q18</f>
        <v>0.73837209302325579</v>
      </c>
      <c r="T16">
        <f>S16*S9</f>
        <v>756.83139534883719</v>
      </c>
    </row>
    <row r="17" spans="4:20" x14ac:dyDescent="0.2">
      <c r="M17">
        <f>M15/M10</f>
        <v>36.057692307692307</v>
      </c>
      <c r="Q17">
        <v>4.5</v>
      </c>
      <c r="S17">
        <f>Q17/Q18</f>
        <v>0.26162790697674421</v>
      </c>
      <c r="T17">
        <f>AVERAGE(S10:S12)*S17</f>
        <v>376.56976744186045</v>
      </c>
    </row>
    <row r="18" spans="4:20" x14ac:dyDescent="0.2">
      <c r="M18">
        <f>M17*0.03</f>
        <v>1.0817307692307692</v>
      </c>
      <c r="Q18">
        <v>17.2</v>
      </c>
    </row>
    <row r="19" spans="4:20" x14ac:dyDescent="0.2">
      <c r="J19" t="s">
        <v>24</v>
      </c>
      <c r="K19" s="4">
        <v>0.2</v>
      </c>
      <c r="M19">
        <f>M17-M18</f>
        <v>34.97596153846154</v>
      </c>
      <c r="T19">
        <f>T16+T17</f>
        <v>1133.4011627906975</v>
      </c>
    </row>
    <row r="20" spans="4:20" x14ac:dyDescent="0.2">
      <c r="K20" s="5">
        <f>G9*K19</f>
        <v>26215.895999999997</v>
      </c>
      <c r="M20" s="7">
        <f>M19*M10</f>
        <v>72750</v>
      </c>
    </row>
    <row r="22" spans="4:20" x14ac:dyDescent="0.2">
      <c r="T22">
        <f>T19*52</f>
        <v>58936.860465116275</v>
      </c>
    </row>
    <row r="23" spans="4:20" x14ac:dyDescent="0.2">
      <c r="D23">
        <v>4066000</v>
      </c>
      <c r="E23">
        <f>G5*D23</f>
        <v>776606</v>
      </c>
      <c r="G23">
        <f>12.7+4.5</f>
        <v>17.2</v>
      </c>
      <c r="H23">
        <f>G23/100</f>
        <v>0.17199999999999999</v>
      </c>
      <c r="I23">
        <f>D23*H23</f>
        <v>699352</v>
      </c>
      <c r="T23">
        <f>T22/2080</f>
        <v>28.33502906976744</v>
      </c>
    </row>
    <row r="24" spans="4:20" x14ac:dyDescent="0.2">
      <c r="E24">
        <f>E23*0.95</f>
        <v>737775.7</v>
      </c>
    </row>
    <row r="26" spans="4:20" x14ac:dyDescent="0.2">
      <c r="O26">
        <v>266490000</v>
      </c>
      <c r="P26" t="s">
        <v>281</v>
      </c>
      <c r="R26" t="s">
        <v>282</v>
      </c>
    </row>
    <row r="27" spans="4:20" x14ac:dyDescent="0.2">
      <c r="O27">
        <v>313914040</v>
      </c>
      <c r="R27" t="s">
        <v>283</v>
      </c>
    </row>
    <row r="29" spans="4:20" x14ac:dyDescent="0.2">
      <c r="O29">
        <f>O27-O26</f>
        <v>47424040</v>
      </c>
    </row>
    <row r="30" spans="4:20" x14ac:dyDescent="0.2">
      <c r="O30">
        <f>O29/O26</f>
        <v>0.17795804720627414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C1:T15"/>
  <sheetViews>
    <sheetView workbookViewId="0">
      <selection activeCell="F22" sqref="F22"/>
    </sheetView>
  </sheetViews>
  <sheetFormatPr baseColWidth="10" defaultRowHeight="16" x14ac:dyDescent="0.2"/>
  <cols>
    <col min="3" max="3" width="15.6640625" customWidth="1"/>
    <col min="6" max="6" width="16.1640625" customWidth="1"/>
    <col min="7" max="7" width="17.83203125" customWidth="1"/>
    <col min="12" max="12" width="12.5" customWidth="1"/>
    <col min="13" max="13" width="5.1640625" customWidth="1"/>
    <col min="14" max="14" width="8.6640625" customWidth="1"/>
    <col min="15" max="15" width="5.1640625" customWidth="1"/>
    <col min="17" max="17" width="12.5" customWidth="1"/>
    <col min="18" max="18" width="5.1640625" customWidth="1"/>
    <col min="19" max="19" width="18" customWidth="1"/>
    <col min="20" max="20" width="5.1640625" customWidth="1"/>
  </cols>
  <sheetData>
    <row r="1" spans="3:20" x14ac:dyDescent="0.2">
      <c r="D1" s="165" t="s">
        <v>66</v>
      </c>
      <c r="E1" s="165"/>
      <c r="L1" s="165" t="s">
        <v>28</v>
      </c>
      <c r="M1" s="165"/>
      <c r="N1" s="165"/>
      <c r="O1" s="165"/>
      <c r="Q1" s="165" t="s">
        <v>58</v>
      </c>
      <c r="R1" s="165"/>
      <c r="S1" s="165"/>
      <c r="T1" s="165"/>
    </row>
    <row r="2" spans="3:20" x14ac:dyDescent="0.2">
      <c r="C2" t="s">
        <v>48</v>
      </c>
      <c r="D2" t="s">
        <v>67</v>
      </c>
      <c r="E2" t="s">
        <v>68</v>
      </c>
      <c r="F2" s="1" t="s">
        <v>70</v>
      </c>
      <c r="G2" t="s">
        <v>71</v>
      </c>
      <c r="I2" t="s">
        <v>72</v>
      </c>
      <c r="J2" t="s">
        <v>73</v>
      </c>
      <c r="L2" t="s">
        <v>72</v>
      </c>
      <c r="M2" t="s">
        <v>69</v>
      </c>
      <c r="N2" t="s">
        <v>73</v>
      </c>
      <c r="O2" t="s">
        <v>69</v>
      </c>
      <c r="Q2" t="s">
        <v>72</v>
      </c>
      <c r="R2" t="s">
        <v>69</v>
      </c>
      <c r="S2" t="s">
        <v>73</v>
      </c>
      <c r="T2" t="s">
        <v>69</v>
      </c>
    </row>
    <row r="3" spans="3:20" x14ac:dyDescent="0.2">
      <c r="C3" t="s">
        <v>49</v>
      </c>
      <c r="D3">
        <v>1</v>
      </c>
      <c r="E3" t="s">
        <v>89</v>
      </c>
      <c r="F3" t="s">
        <v>89</v>
      </c>
      <c r="G3" t="s">
        <v>89</v>
      </c>
      <c r="L3" t="s">
        <v>74</v>
      </c>
      <c r="M3" s="8">
        <v>50</v>
      </c>
      <c r="Q3" t="s">
        <v>74</v>
      </c>
      <c r="R3" s="8">
        <v>50</v>
      </c>
    </row>
    <row r="4" spans="3:20" x14ac:dyDescent="0.2">
      <c r="C4" t="s">
        <v>50</v>
      </c>
      <c r="D4">
        <v>1</v>
      </c>
      <c r="E4" t="s">
        <v>89</v>
      </c>
      <c r="F4" t="s">
        <v>89</v>
      </c>
      <c r="G4" t="s">
        <v>89</v>
      </c>
      <c r="S4" t="s">
        <v>75</v>
      </c>
      <c r="T4" s="8">
        <v>50</v>
      </c>
    </row>
    <row r="5" spans="3:20" x14ac:dyDescent="0.2">
      <c r="C5" t="s">
        <v>51</v>
      </c>
      <c r="D5" s="16" t="s">
        <v>204</v>
      </c>
      <c r="E5" t="s">
        <v>89</v>
      </c>
      <c r="F5" t="s">
        <v>89</v>
      </c>
      <c r="G5" t="s">
        <v>89</v>
      </c>
    </row>
    <row r="6" spans="3:20" x14ac:dyDescent="0.2">
      <c r="C6" t="s">
        <v>52</v>
      </c>
      <c r="D6">
        <f>SUM(I6:J6)</f>
        <v>2</v>
      </c>
      <c r="E6">
        <v>5</v>
      </c>
      <c r="F6" s="8">
        <v>50</v>
      </c>
      <c r="G6" s="8">
        <v>50</v>
      </c>
      <c r="I6">
        <v>2</v>
      </c>
      <c r="J6">
        <v>0</v>
      </c>
    </row>
    <row r="7" spans="3:20" x14ac:dyDescent="0.2">
      <c r="C7" t="s">
        <v>56</v>
      </c>
      <c r="D7">
        <f>SUM(I7:J7)</f>
        <v>7</v>
      </c>
      <c r="E7">
        <v>2</v>
      </c>
      <c r="F7" s="8">
        <v>50</v>
      </c>
      <c r="G7" s="8">
        <v>50</v>
      </c>
      <c r="I7">
        <v>2</v>
      </c>
      <c r="J7">
        <v>5</v>
      </c>
      <c r="L7" s="165" t="s">
        <v>76</v>
      </c>
      <c r="M7" s="165"/>
      <c r="N7" s="165"/>
      <c r="O7" s="165"/>
    </row>
    <row r="8" spans="3:20" x14ac:dyDescent="0.2">
      <c r="C8" t="s">
        <v>53</v>
      </c>
      <c r="D8">
        <v>65</v>
      </c>
      <c r="F8" s="8">
        <f>O15</f>
        <v>41.92307692307692</v>
      </c>
      <c r="G8" s="8">
        <f>G6*1.2</f>
        <v>60</v>
      </c>
      <c r="I8">
        <v>10</v>
      </c>
      <c r="J8">
        <v>50</v>
      </c>
      <c r="L8" t="s">
        <v>72</v>
      </c>
      <c r="M8" t="s">
        <v>69</v>
      </c>
      <c r="N8" t="s">
        <v>73</v>
      </c>
      <c r="O8" t="s">
        <v>69</v>
      </c>
    </row>
    <row r="9" spans="3:20" x14ac:dyDescent="0.2">
      <c r="C9" t="s">
        <v>57</v>
      </c>
      <c r="L9" t="s">
        <v>72</v>
      </c>
      <c r="M9" s="8">
        <v>60</v>
      </c>
    </row>
    <row r="10" spans="3:20" x14ac:dyDescent="0.2">
      <c r="C10" t="s">
        <v>54</v>
      </c>
      <c r="M10">
        <v>25</v>
      </c>
      <c r="N10" t="s">
        <v>75</v>
      </c>
      <c r="O10" s="8">
        <v>50</v>
      </c>
      <c r="P10" s="8">
        <f>M10*O10</f>
        <v>1250</v>
      </c>
    </row>
    <row r="11" spans="3:20" x14ac:dyDescent="0.2">
      <c r="C11" t="s">
        <v>55</v>
      </c>
      <c r="M11">
        <v>15</v>
      </c>
      <c r="N11" t="s">
        <v>77</v>
      </c>
      <c r="O11" s="8">
        <v>25</v>
      </c>
      <c r="P11" s="8">
        <f>M11*O11</f>
        <v>375</v>
      </c>
    </row>
    <row r="12" spans="3:20" x14ac:dyDescent="0.2">
      <c r="M12">
        <v>5</v>
      </c>
      <c r="N12" t="s">
        <v>78</v>
      </c>
      <c r="O12" s="8">
        <v>50</v>
      </c>
    </row>
    <row r="13" spans="3:20" x14ac:dyDescent="0.2">
      <c r="M13">
        <v>10</v>
      </c>
      <c r="N13" t="s">
        <v>79</v>
      </c>
      <c r="O13" s="8">
        <v>25</v>
      </c>
      <c r="P13" s="8">
        <f>M13*O13</f>
        <v>250</v>
      </c>
    </row>
    <row r="15" spans="3:20" x14ac:dyDescent="0.2">
      <c r="O15">
        <f>((M10*O10)+(M11*O11)+(M12*O12)+(M13*O13)+(60*10))/SUM(M10:M13, 10)</f>
        <v>41.92307692307692</v>
      </c>
      <c r="P15" s="8">
        <f>SUM(P10:P13)</f>
        <v>1875</v>
      </c>
    </row>
  </sheetData>
  <mergeCells count="4">
    <mergeCell ref="D1:E1"/>
    <mergeCell ref="L1:O1"/>
    <mergeCell ref="Q1:T1"/>
    <mergeCell ref="L7:O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30:H38"/>
  <sheetViews>
    <sheetView topLeftCell="A4" workbookViewId="0">
      <selection activeCell="K6" sqref="K6"/>
    </sheetView>
  </sheetViews>
  <sheetFormatPr baseColWidth="10" defaultRowHeight="16" x14ac:dyDescent="0.2"/>
  <sheetData>
    <row r="30" spans="1:8" x14ac:dyDescent="0.2">
      <c r="A30" t="s">
        <v>48</v>
      </c>
      <c r="B30" t="s">
        <v>41</v>
      </c>
      <c r="C30" t="s">
        <v>42</v>
      </c>
      <c r="D30" t="s">
        <v>43</v>
      </c>
      <c r="E30" t="s">
        <v>44</v>
      </c>
      <c r="F30" s="10" t="s">
        <v>45</v>
      </c>
      <c r="G30" s="10" t="s">
        <v>46</v>
      </c>
      <c r="H30" t="s">
        <v>47</v>
      </c>
    </row>
    <row r="31" spans="1:8" x14ac:dyDescent="0.2">
      <c r="A31">
        <v>1</v>
      </c>
      <c r="D31" t="s">
        <v>49</v>
      </c>
      <c r="E31">
        <v>50</v>
      </c>
      <c r="F31" s="10">
        <f ca="1">OFFSET($A$30,ROW()-ROW($A$30),0,1,1)
 + ( DATE(1900,IF(OFFSET($B$30,ROW()-ROW($B$30),0,1,1)="", 1,OFFSET($B$30,ROW()-ROW($B$30),0,1,1)),0)+OFFSET($C$30,ROW()-ROW($C$30),0,1,1) ) / 365.25</f>
        <v>1</v>
      </c>
      <c r="G31" s="10" t="str">
        <f ca="1">OFFSET($D$30,ROW()-ROW($G$30),0,1,1)</f>
        <v>1 - Proposal</v>
      </c>
    </row>
    <row r="32" spans="1:8" x14ac:dyDescent="0.2">
      <c r="A32">
        <v>1.25</v>
      </c>
      <c r="D32" t="s">
        <v>50</v>
      </c>
      <c r="E32">
        <v>-75</v>
      </c>
      <c r="F32" s="10">
        <f t="shared" ref="F32:F38" ca="1" si="0">OFFSET($A$30,ROW()-ROW($A$30),0,1,1)
 + ( DATE(1900,IF(OFFSET($B$30,ROW()-ROW($B$30),0,1,1)="", 1,OFFSET($B$30,ROW()-ROW($B$30),0,1,1)),0)+OFFSET($C$30,ROW()-ROW($C$30),0,1,1) ) / 365.25</f>
        <v>1.25</v>
      </c>
      <c r="G32" s="10" t="str">
        <f t="shared" ref="G32:G38" ca="1" si="1">OFFSET($D$30,ROW()-ROW($G$30),0,1,1)</f>
        <v>2 - Revision</v>
      </c>
    </row>
    <row r="33" spans="1:7" x14ac:dyDescent="0.2">
      <c r="A33">
        <v>1.75</v>
      </c>
      <c r="D33" t="s">
        <v>51</v>
      </c>
      <c r="E33">
        <v>-40</v>
      </c>
      <c r="F33" s="10">
        <f t="shared" ca="1" si="0"/>
        <v>1.75</v>
      </c>
      <c r="G33" s="10" t="str">
        <f t="shared" ca="1" si="1"/>
        <v>3 - Funding</v>
      </c>
    </row>
    <row r="34" spans="1:7" x14ac:dyDescent="0.2">
      <c r="A34">
        <v>2.25</v>
      </c>
      <c r="D34" t="s">
        <v>52</v>
      </c>
      <c r="E34">
        <v>100</v>
      </c>
      <c r="F34" s="10">
        <f t="shared" ca="1" si="0"/>
        <v>2.25</v>
      </c>
      <c r="G34" s="10" t="str">
        <f t="shared" ca="1" si="1"/>
        <v>4 - Startup</v>
      </c>
    </row>
    <row r="35" spans="1:7" x14ac:dyDescent="0.2">
      <c r="A35">
        <v>5</v>
      </c>
      <c r="D35" t="s">
        <v>56</v>
      </c>
      <c r="E35">
        <v>75</v>
      </c>
      <c r="F35" s="10">
        <f t="shared" ca="1" si="0"/>
        <v>5</v>
      </c>
      <c r="G35" s="10" t="str">
        <f t="shared" ca="1" si="1"/>
        <v>5 - Test &amp; Refine</v>
      </c>
    </row>
    <row r="36" spans="1:7" x14ac:dyDescent="0.2">
      <c r="A36">
        <v>7.5</v>
      </c>
      <c r="D36" t="s">
        <v>53</v>
      </c>
      <c r="E36">
        <v>50</v>
      </c>
      <c r="F36" s="10">
        <f t="shared" ca="1" si="0"/>
        <v>7.5</v>
      </c>
      <c r="G36" s="10" t="str">
        <f t="shared" ca="1" si="1"/>
        <v>6 - Scale Up</v>
      </c>
    </row>
    <row r="37" spans="1:7" x14ac:dyDescent="0.2">
      <c r="A37">
        <v>10</v>
      </c>
      <c r="D37" t="s">
        <v>57</v>
      </c>
      <c r="E37">
        <v>-75</v>
      </c>
      <c r="F37" s="10">
        <f t="shared" ca="1" si="0"/>
        <v>10</v>
      </c>
      <c r="G37" s="10" t="str">
        <f t="shared" ca="1" si="1"/>
        <v>7 - Diversify</v>
      </c>
    </row>
    <row r="38" spans="1:7" x14ac:dyDescent="0.2">
      <c r="A38">
        <v>14</v>
      </c>
      <c r="D38" t="s">
        <v>54</v>
      </c>
      <c r="E38">
        <v>-40</v>
      </c>
      <c r="F38" s="10">
        <f t="shared" ca="1" si="0"/>
        <v>14</v>
      </c>
      <c r="G38" s="10" t="str">
        <f t="shared" ca="1" si="1"/>
        <v>8 - Grow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"/>
  <sheetViews>
    <sheetView workbookViewId="0">
      <selection activeCell="E2" sqref="E2"/>
    </sheetView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"/>
  <sheetViews>
    <sheetView topLeftCell="J1" workbookViewId="0">
      <selection activeCell="S31" sqref="S30:AB31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39"/>
  <sheetViews>
    <sheetView showGridLines="0" workbookViewId="0">
      <selection activeCell="L2" sqref="L2:O11"/>
    </sheetView>
  </sheetViews>
  <sheetFormatPr baseColWidth="10" defaultRowHeight="16" x14ac:dyDescent="0.2"/>
  <cols>
    <col min="1" max="1" width="1.6640625" customWidth="1"/>
    <col min="2" max="2" width="34" customWidth="1"/>
    <col min="3" max="3" width="17.6640625" customWidth="1"/>
    <col min="4" max="4" width="1" customWidth="1"/>
    <col min="5" max="5" width="11.5" customWidth="1"/>
    <col min="6" max="6" width="11.33203125" customWidth="1"/>
    <col min="7" max="7" width="11.1640625" customWidth="1"/>
    <col min="8" max="8" width="11.33203125" customWidth="1"/>
    <col min="10" max="10" width="15" customWidth="1"/>
    <col min="11" max="11" width="1.1640625" customWidth="1"/>
    <col min="12" max="12" width="13.6640625" customWidth="1"/>
    <col min="13" max="15" width="12.33203125" customWidth="1"/>
  </cols>
  <sheetData>
    <row r="1" spans="2:15" ht="6" customHeight="1" x14ac:dyDescent="0.2"/>
    <row r="2" spans="2:15" x14ac:dyDescent="0.2">
      <c r="E2" s="151" t="s">
        <v>207</v>
      </c>
      <c r="F2" s="151"/>
      <c r="G2" s="151"/>
      <c r="H2" s="151"/>
      <c r="I2" s="151"/>
      <c r="J2" s="151"/>
      <c r="L2" s="153" t="s">
        <v>216</v>
      </c>
      <c r="M2" s="154"/>
      <c r="N2" s="154"/>
      <c r="O2" s="155"/>
    </row>
    <row r="3" spans="2:15" x14ac:dyDescent="0.2">
      <c r="E3" s="21" t="s">
        <v>208</v>
      </c>
      <c r="F3" s="22" t="s">
        <v>135</v>
      </c>
      <c r="G3" s="22" t="s">
        <v>137</v>
      </c>
      <c r="H3" s="22" t="s">
        <v>136</v>
      </c>
      <c r="I3" s="22" t="s">
        <v>138</v>
      </c>
      <c r="J3" s="22" t="s">
        <v>32</v>
      </c>
      <c r="L3" s="41" t="s">
        <v>48</v>
      </c>
      <c r="M3" s="42" t="s">
        <v>67</v>
      </c>
      <c r="N3" s="43" t="s">
        <v>68</v>
      </c>
      <c r="O3" s="44" t="s">
        <v>32</v>
      </c>
    </row>
    <row r="4" spans="2:15" x14ac:dyDescent="0.2">
      <c r="E4" s="2">
        <v>1</v>
      </c>
      <c r="F4" s="5">
        <f>'Revenue Assumptions'!C28</f>
        <v>160</v>
      </c>
      <c r="G4" s="5">
        <f>'Revenue Assumptions'!D28</f>
        <v>0</v>
      </c>
      <c r="H4" s="5">
        <f>'Revenue Assumptions'!E28</f>
        <v>0</v>
      </c>
      <c r="I4" s="5">
        <f>'Revenue Assumptions'!F28</f>
        <v>0</v>
      </c>
      <c r="J4" s="5">
        <f>SUM(F4:I4)</f>
        <v>160</v>
      </c>
      <c r="L4" s="38" t="s">
        <v>49</v>
      </c>
      <c r="M4" s="39">
        <v>1</v>
      </c>
      <c r="N4" s="39">
        <v>0</v>
      </c>
      <c r="O4" s="40">
        <v>1</v>
      </c>
    </row>
    <row r="5" spans="2:15" x14ac:dyDescent="0.2">
      <c r="E5" s="2">
        <v>2</v>
      </c>
      <c r="F5" s="5">
        <f>'Revenue Assumptions'!C40</f>
        <v>1275</v>
      </c>
      <c r="G5" s="5">
        <f>'Revenue Assumptions'!D40</f>
        <v>0</v>
      </c>
      <c r="H5" s="5">
        <f>'Revenue Assumptions'!E40</f>
        <v>0</v>
      </c>
      <c r="I5" s="5">
        <f>'Revenue Assumptions'!F40</f>
        <v>0</v>
      </c>
      <c r="J5" s="5">
        <f t="shared" ref="J5:J8" si="0">SUM(F5:I5)</f>
        <v>1275</v>
      </c>
      <c r="L5" s="41" t="s">
        <v>50</v>
      </c>
      <c r="M5" s="43">
        <v>1</v>
      </c>
      <c r="N5" s="43">
        <v>0</v>
      </c>
      <c r="O5" s="44">
        <v>1</v>
      </c>
    </row>
    <row r="6" spans="2:15" x14ac:dyDescent="0.2">
      <c r="E6" s="2">
        <v>3</v>
      </c>
      <c r="F6" s="5">
        <f>'Revenue Assumptions'!C52</f>
        <v>3275</v>
      </c>
      <c r="G6" s="5">
        <f>'Revenue Assumptions'!D52</f>
        <v>4501.0256410256416</v>
      </c>
      <c r="H6" s="5">
        <f>'Revenue Assumptions'!E52</f>
        <v>5844.6153846153838</v>
      </c>
      <c r="I6" s="5">
        <f>'Revenue Assumptions'!F52</f>
        <v>2309.6082089552237</v>
      </c>
      <c r="J6" s="5">
        <f t="shared" si="0"/>
        <v>15930.249234596249</v>
      </c>
      <c r="L6" s="38" t="s">
        <v>51</v>
      </c>
      <c r="M6" s="39" t="s">
        <v>204</v>
      </c>
      <c r="N6" s="39">
        <v>0</v>
      </c>
      <c r="O6" s="40" t="s">
        <v>204</v>
      </c>
    </row>
    <row r="7" spans="2:15" x14ac:dyDescent="0.2">
      <c r="E7" s="2">
        <v>4</v>
      </c>
      <c r="F7" s="5">
        <f>'Revenue Assumptions'!C64</f>
        <v>5881.4294677224752</v>
      </c>
      <c r="G7" s="5">
        <f>'Revenue Assumptions'!D64</f>
        <v>8083.1953710237103</v>
      </c>
      <c r="H7" s="5">
        <f>'Revenue Assumptions'!E64</f>
        <v>10496.089511627799</v>
      </c>
      <c r="I7" s="5">
        <f>'Revenue Assumptions'!F64</f>
        <v>4147.7245126848793</v>
      </c>
      <c r="J7" s="5">
        <f t="shared" si="0"/>
        <v>28608.438863058866</v>
      </c>
      <c r="L7" s="41" t="s">
        <v>52</v>
      </c>
      <c r="M7" s="43">
        <v>2</v>
      </c>
      <c r="N7" s="43">
        <v>5</v>
      </c>
      <c r="O7" s="44">
        <v>7</v>
      </c>
    </row>
    <row r="8" spans="2:15" x14ac:dyDescent="0.2">
      <c r="E8" s="2">
        <v>5</v>
      </c>
      <c r="F8" s="5">
        <f>'Revenue Assumptions'!C76</f>
        <v>10562.202315662378</v>
      </c>
      <c r="G8" s="5">
        <f>'Revenue Assumptions'!D76</f>
        <v>14516.257541525732</v>
      </c>
      <c r="H8" s="5">
        <f>'Revenue Assumptions'!E76</f>
        <v>18849.468747951316</v>
      </c>
      <c r="I8" s="5">
        <f>'Revenue Assumptions'!F76</f>
        <v>7448.7173047021979</v>
      </c>
      <c r="J8" s="5">
        <f t="shared" si="0"/>
        <v>51376.645909841631</v>
      </c>
      <c r="L8" s="38" t="s">
        <v>56</v>
      </c>
      <c r="M8" s="39">
        <v>7</v>
      </c>
      <c r="N8" s="39" t="s">
        <v>217</v>
      </c>
      <c r="O8" s="40">
        <v>7</v>
      </c>
    </row>
    <row r="9" spans="2:15" x14ac:dyDescent="0.2">
      <c r="L9" s="41" t="s">
        <v>53</v>
      </c>
      <c r="M9" s="43">
        <v>65</v>
      </c>
      <c r="N9" s="43" t="s">
        <v>217</v>
      </c>
      <c r="O9" s="44">
        <v>65</v>
      </c>
    </row>
    <row r="10" spans="2:15" x14ac:dyDescent="0.2">
      <c r="L10" s="38" t="s">
        <v>57</v>
      </c>
      <c r="M10" s="39" t="s">
        <v>217</v>
      </c>
      <c r="N10" s="39" t="s">
        <v>217</v>
      </c>
      <c r="O10" s="40"/>
    </row>
    <row r="11" spans="2:15" x14ac:dyDescent="0.2">
      <c r="L11" s="45" t="s">
        <v>54</v>
      </c>
      <c r="M11" s="46" t="s">
        <v>217</v>
      </c>
      <c r="N11" s="46" t="s">
        <v>217</v>
      </c>
      <c r="O11" s="47" t="s">
        <v>217</v>
      </c>
    </row>
    <row r="13" spans="2:15" x14ac:dyDescent="0.2">
      <c r="E13" s="151" t="s">
        <v>209</v>
      </c>
      <c r="F13" s="151"/>
      <c r="G13" s="151"/>
      <c r="H13" s="151"/>
      <c r="I13" s="151"/>
      <c r="J13" s="151"/>
    </row>
    <row r="14" spans="2:15" x14ac:dyDescent="0.2">
      <c r="E14" s="23" t="s">
        <v>208</v>
      </c>
      <c r="F14" s="24" t="s">
        <v>135</v>
      </c>
      <c r="G14" s="24" t="s">
        <v>137</v>
      </c>
      <c r="H14" s="24" t="s">
        <v>136</v>
      </c>
      <c r="I14" s="24" t="s">
        <v>138</v>
      </c>
      <c r="J14" s="24" t="s">
        <v>32</v>
      </c>
    </row>
    <row r="15" spans="2:15" x14ac:dyDescent="0.2">
      <c r="E15" s="2">
        <v>1</v>
      </c>
      <c r="F15" s="5"/>
      <c r="G15" s="5"/>
      <c r="H15" s="5"/>
      <c r="I15" s="5"/>
      <c r="J15" s="12">
        <f>'Year1-Test-IncomeStatement'!O9</f>
        <v>3350333.333333333</v>
      </c>
    </row>
    <row r="16" spans="2:15" x14ac:dyDescent="0.2">
      <c r="B16" s="26"/>
      <c r="C16" s="26"/>
      <c r="D16" s="26"/>
      <c r="E16" s="27">
        <v>2</v>
      </c>
      <c r="F16" s="28"/>
      <c r="G16" s="28"/>
      <c r="H16" s="28"/>
      <c r="I16" s="5"/>
      <c r="J16" s="12">
        <f>'Year2-Test-IncomeStatement'!O9</f>
        <v>23324875</v>
      </c>
    </row>
    <row r="17" spans="2:10" x14ac:dyDescent="0.2">
      <c r="B17" s="26"/>
      <c r="C17" s="26"/>
      <c r="D17" s="26"/>
      <c r="E17" s="27">
        <v>3</v>
      </c>
      <c r="F17" s="28"/>
      <c r="G17" s="28"/>
      <c r="H17" s="28"/>
      <c r="I17" s="5"/>
      <c r="J17" s="12">
        <f>'ScaleUp-Initial- Year3 - Income'!O9</f>
        <v>469149690.78246576</v>
      </c>
    </row>
    <row r="18" spans="2:10" x14ac:dyDescent="0.2">
      <c r="B18" s="26"/>
      <c r="C18" s="26"/>
      <c r="D18" s="26"/>
      <c r="E18" s="27">
        <v>4</v>
      </c>
      <c r="F18" s="28"/>
      <c r="G18" s="28"/>
      <c r="H18" s="28"/>
      <c r="I18" s="5"/>
      <c r="J18" s="12">
        <f>'ScaleUp-Growth - Year4 - Income'!O9</f>
        <v>969564551.83667779</v>
      </c>
    </row>
    <row r="19" spans="2:10" x14ac:dyDescent="0.2">
      <c r="B19" s="29" t="s">
        <v>34</v>
      </c>
      <c r="C19" s="30" t="s">
        <v>33</v>
      </c>
      <c r="D19" s="26"/>
      <c r="E19" s="27">
        <v>5</v>
      </c>
      <c r="F19" s="28"/>
      <c r="G19" s="28"/>
      <c r="H19" s="28"/>
      <c r="I19" s="5"/>
      <c r="J19" s="12">
        <f>'ScaleUp-Mature - Year5'!O9</f>
        <v>1741198633.9027095</v>
      </c>
    </row>
    <row r="20" spans="2:10" x14ac:dyDescent="0.2">
      <c r="B20" s="31" t="s">
        <v>215</v>
      </c>
      <c r="C20" s="32">
        <v>500</v>
      </c>
      <c r="D20" s="26"/>
      <c r="E20" s="26"/>
      <c r="F20" s="26"/>
      <c r="G20" s="26"/>
      <c r="H20" s="26"/>
    </row>
    <row r="21" spans="2:10" x14ac:dyDescent="0.2">
      <c r="B21" s="31" t="s">
        <v>26</v>
      </c>
      <c r="C21" s="32">
        <v>5000</v>
      </c>
      <c r="D21" s="26"/>
      <c r="E21" s="26"/>
      <c r="F21" s="26"/>
      <c r="G21" s="26"/>
      <c r="H21" s="26"/>
    </row>
    <row r="22" spans="2:10" x14ac:dyDescent="0.2">
      <c r="B22" s="31" t="s">
        <v>214</v>
      </c>
      <c r="C22" s="32">
        <f>3*50*7*5*26</f>
        <v>136500</v>
      </c>
      <c r="D22" s="26"/>
      <c r="E22" s="26"/>
      <c r="F22" s="26"/>
      <c r="G22" s="26"/>
      <c r="H22" s="26"/>
    </row>
    <row r="23" spans="2:10" x14ac:dyDescent="0.2">
      <c r="B23" s="31" t="s">
        <v>37</v>
      </c>
      <c r="C23" s="32">
        <v>15000</v>
      </c>
      <c r="D23" s="26"/>
      <c r="E23" s="26"/>
      <c r="F23" s="26"/>
      <c r="G23" s="26"/>
      <c r="H23" s="26"/>
    </row>
    <row r="24" spans="2:10" x14ac:dyDescent="0.2">
      <c r="B24" s="31" t="s">
        <v>29</v>
      </c>
      <c r="C24" s="32">
        <v>500</v>
      </c>
      <c r="D24" s="26"/>
      <c r="E24" s="26"/>
      <c r="F24" s="26"/>
      <c r="G24" s="26"/>
      <c r="H24" s="26"/>
    </row>
    <row r="25" spans="2:10" x14ac:dyDescent="0.2">
      <c r="B25" s="31" t="s">
        <v>30</v>
      </c>
      <c r="C25" s="32">
        <v>7500</v>
      </c>
      <c r="D25" s="26"/>
      <c r="E25" s="26"/>
      <c r="F25" s="26"/>
      <c r="G25" s="26"/>
      <c r="H25" s="26"/>
    </row>
    <row r="26" spans="2:10" x14ac:dyDescent="0.2">
      <c r="B26" s="31" t="s">
        <v>31</v>
      </c>
      <c r="C26" s="32">
        <f>50*200</f>
        <v>10000</v>
      </c>
      <c r="D26" s="26"/>
      <c r="E26" s="152" t="s">
        <v>213</v>
      </c>
      <c r="F26" s="152"/>
      <c r="G26" s="152"/>
      <c r="H26" s="152"/>
      <c r="I26" s="25"/>
      <c r="J26" s="25"/>
    </row>
    <row r="27" spans="2:10" x14ac:dyDescent="0.2">
      <c r="B27" s="31" t="s">
        <v>27</v>
      </c>
      <c r="C27" s="32">
        <v>5000</v>
      </c>
      <c r="D27" s="26"/>
      <c r="E27" s="33" t="s">
        <v>208</v>
      </c>
      <c r="F27" s="31" t="s">
        <v>210</v>
      </c>
      <c r="G27" s="31" t="s">
        <v>211</v>
      </c>
      <c r="H27" s="31" t="s">
        <v>212</v>
      </c>
      <c r="I27" s="25"/>
      <c r="J27" s="25"/>
    </row>
    <row r="28" spans="2:10" x14ac:dyDescent="0.2">
      <c r="B28" s="31" t="s">
        <v>38</v>
      </c>
      <c r="C28" s="32">
        <v>3000</v>
      </c>
      <c r="D28" s="26"/>
      <c r="E28" s="33">
        <v>1</v>
      </c>
      <c r="F28" s="34">
        <f>'Year1-Test-IncomeStatement'!O13</f>
        <v>159466.66666666669</v>
      </c>
      <c r="G28" s="34">
        <f>'Year1-Test-IncomeStatement'!O20</f>
        <v>-371333.33333333326</v>
      </c>
      <c r="H28" s="35">
        <f>'Year1-Test-IncomeStatement'!O34</f>
        <v>-1050133.3333333333</v>
      </c>
      <c r="I28" s="25"/>
      <c r="J28" s="25"/>
    </row>
    <row r="29" spans="2:10" x14ac:dyDescent="0.2">
      <c r="B29" s="31" t="s">
        <v>39</v>
      </c>
      <c r="C29" s="32">
        <v>1500</v>
      </c>
      <c r="D29" s="26"/>
      <c r="E29" s="33">
        <v>2</v>
      </c>
      <c r="F29" s="35">
        <f>'Year2-Test-IncomeStatement'!O13</f>
        <v>1110200</v>
      </c>
      <c r="G29" s="35">
        <f>'Year2-Test-IncomeStatement'!O20</f>
        <v>579400</v>
      </c>
      <c r="H29" s="35">
        <f>'Year2-Test-IncomeStatement'!O34</f>
        <v>-105400</v>
      </c>
      <c r="I29" s="25"/>
      <c r="J29" s="25"/>
    </row>
    <row r="30" spans="2:10" x14ac:dyDescent="0.2">
      <c r="B30" s="31" t="s">
        <v>40</v>
      </c>
      <c r="C30" s="32">
        <f>2*50*8*5*26</f>
        <v>104000</v>
      </c>
      <c r="D30" s="26"/>
      <c r="E30" s="33">
        <v>3</v>
      </c>
      <c r="F30" s="35">
        <f>'ScaleUp-Initial- Year3 - Income'!O13</f>
        <v>22330236.998341624</v>
      </c>
      <c r="G30" s="35">
        <f>'ScaleUp-Initial- Year3 - Income'!O20</f>
        <v>18381236.998341624</v>
      </c>
      <c r="H30" s="35">
        <f>'ScaleUp-Initial- Year3 - Income'!O34</f>
        <v>14594636.998341624</v>
      </c>
      <c r="I30" s="25"/>
      <c r="J30" s="25"/>
    </row>
    <row r="31" spans="2:10" x14ac:dyDescent="0.2">
      <c r="B31" s="31" t="s">
        <v>35</v>
      </c>
      <c r="C31" s="32">
        <v>500</v>
      </c>
      <c r="D31" s="26"/>
      <c r="E31" s="33">
        <v>4</v>
      </c>
      <c r="F31" s="35">
        <f>'ScaleUp-Growth - Year4 - Income'!O13</f>
        <v>46148610.247603893</v>
      </c>
      <c r="G31" s="35">
        <f>'ScaleUp-Growth - Year4 - Income'!O20</f>
        <v>42199610.247603893</v>
      </c>
      <c r="H31" s="35">
        <f>'ScaleUp-Growth - Year4 - Income'!O34</f>
        <v>38407010.247603893</v>
      </c>
      <c r="I31" s="25"/>
      <c r="J31" s="25"/>
    </row>
    <row r="32" spans="2:10" x14ac:dyDescent="0.2">
      <c r="B32" s="31" t="s">
        <v>120</v>
      </c>
      <c r="C32" s="32">
        <v>600</v>
      </c>
      <c r="D32" s="26"/>
      <c r="E32" s="33">
        <v>5</v>
      </c>
      <c r="F32" s="35">
        <f>'ScaleUp-Mature - Year5'!O13</f>
        <v>82876273.650289148</v>
      </c>
      <c r="G32" s="35">
        <f>'ScaleUp-Mature - Year5'!O20</f>
        <v>78927273.650289148</v>
      </c>
      <c r="H32" s="35">
        <f>'ScaleUp-Mature - Year5'!O34</f>
        <v>75128673.650289148</v>
      </c>
      <c r="I32" s="25"/>
      <c r="J32" s="25"/>
    </row>
    <row r="33" spans="2:10" x14ac:dyDescent="0.2">
      <c r="B33" s="31"/>
      <c r="C33" s="31"/>
      <c r="D33" s="26"/>
      <c r="E33" s="31"/>
      <c r="F33" s="31"/>
      <c r="G33" s="31"/>
      <c r="H33" s="31"/>
      <c r="I33" s="25"/>
      <c r="J33" s="25"/>
    </row>
    <row r="34" spans="2:10" x14ac:dyDescent="0.2">
      <c r="B34" s="29" t="s">
        <v>205</v>
      </c>
      <c r="C34" s="36">
        <f>SUM(C20:C23)</f>
        <v>157000</v>
      </c>
      <c r="D34" s="26"/>
      <c r="E34" s="31"/>
      <c r="F34" s="31"/>
      <c r="G34" s="31"/>
      <c r="H34" s="31"/>
      <c r="I34" s="25"/>
      <c r="J34" s="25"/>
    </row>
    <row r="35" spans="2:10" x14ac:dyDescent="0.2">
      <c r="B35" s="29" t="s">
        <v>206</v>
      </c>
      <c r="C35" s="36">
        <f>SUM(C24:C32)</f>
        <v>132600</v>
      </c>
      <c r="D35" s="26"/>
      <c r="E35" s="31"/>
      <c r="F35" s="31"/>
      <c r="G35" s="31"/>
      <c r="H35" s="31"/>
      <c r="I35" s="25"/>
      <c r="J35" s="25"/>
    </row>
    <row r="36" spans="2:10" x14ac:dyDescent="0.2">
      <c r="B36" s="31"/>
      <c r="C36" s="31"/>
      <c r="D36" s="26"/>
      <c r="E36" s="31"/>
      <c r="F36" s="31"/>
      <c r="G36" s="31"/>
      <c r="H36" s="31"/>
      <c r="I36" s="25"/>
      <c r="J36" s="25"/>
    </row>
    <row r="37" spans="2:10" x14ac:dyDescent="0.2">
      <c r="B37" s="31"/>
      <c r="C37" s="31"/>
      <c r="D37" s="26"/>
      <c r="E37" s="31"/>
      <c r="F37" s="31"/>
      <c r="G37" s="31"/>
      <c r="H37" s="31"/>
      <c r="I37" s="25"/>
      <c r="J37" s="25"/>
    </row>
    <row r="38" spans="2:10" x14ac:dyDescent="0.2">
      <c r="B38" s="26"/>
      <c r="C38" s="26"/>
      <c r="D38" s="26"/>
      <c r="E38" s="31"/>
      <c r="F38" s="31"/>
      <c r="G38" s="31"/>
      <c r="H38" s="31"/>
      <c r="I38" s="25"/>
      <c r="J38" s="25"/>
    </row>
    <row r="39" spans="2:10" x14ac:dyDescent="0.2">
      <c r="B39" s="26"/>
      <c r="C39" s="26"/>
      <c r="D39" s="26"/>
      <c r="E39" s="26"/>
      <c r="F39" s="26"/>
      <c r="G39" s="26"/>
      <c r="H39" s="26"/>
    </row>
  </sheetData>
  <mergeCells count="4">
    <mergeCell ref="E2:J2"/>
    <mergeCell ref="E13:J13"/>
    <mergeCell ref="E26:H26"/>
    <mergeCell ref="L2:O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F23"/>
  <sheetViews>
    <sheetView showGridLines="0" workbookViewId="0">
      <selection activeCell="D27" sqref="D27"/>
    </sheetView>
  </sheetViews>
  <sheetFormatPr baseColWidth="10" defaultRowHeight="16" x14ac:dyDescent="0.2"/>
  <cols>
    <col min="2" max="2" width="21.6640625" bestFit="1" customWidth="1"/>
    <col min="3" max="3" width="36.83203125" bestFit="1" customWidth="1"/>
    <col min="4" max="4" width="40.33203125" bestFit="1" customWidth="1"/>
    <col min="5" max="5" width="26.1640625" bestFit="1" customWidth="1"/>
    <col min="6" max="6" width="42" bestFit="1" customWidth="1"/>
  </cols>
  <sheetData>
    <row r="2" spans="2:6" ht="17" thickBot="1" x14ac:dyDescent="0.25"/>
    <row r="3" spans="2:6" x14ac:dyDescent="0.2">
      <c r="B3" s="177" t="s">
        <v>343</v>
      </c>
      <c r="C3" s="122" t="s">
        <v>296</v>
      </c>
      <c r="D3" s="122" t="s">
        <v>297</v>
      </c>
      <c r="E3" s="122" t="s">
        <v>298</v>
      </c>
      <c r="F3" s="123" t="s">
        <v>299</v>
      </c>
    </row>
    <row r="4" spans="2:6" ht="17" thickBot="1" x14ac:dyDescent="0.25">
      <c r="B4" s="178"/>
      <c r="C4" s="120"/>
      <c r="D4" s="120"/>
      <c r="E4" s="120"/>
      <c r="F4" s="119"/>
    </row>
    <row r="5" spans="2:6" x14ac:dyDescent="0.2">
      <c r="B5" s="166" t="s">
        <v>292</v>
      </c>
      <c r="C5" s="124" t="s">
        <v>300</v>
      </c>
      <c r="D5" s="124" t="s">
        <v>301</v>
      </c>
      <c r="E5" s="125" t="s">
        <v>302</v>
      </c>
      <c r="F5" s="126" t="s">
        <v>303</v>
      </c>
    </row>
    <row r="6" spans="2:6" x14ac:dyDescent="0.2">
      <c r="B6" s="167"/>
      <c r="C6" s="127" t="s">
        <v>304</v>
      </c>
      <c r="D6" s="127" t="s">
        <v>305</v>
      </c>
      <c r="E6" s="127" t="s">
        <v>306</v>
      </c>
      <c r="F6" s="128" t="s">
        <v>307</v>
      </c>
    </row>
    <row r="7" spans="2:6" x14ac:dyDescent="0.2">
      <c r="B7" s="167"/>
      <c r="C7" s="127" t="s">
        <v>308</v>
      </c>
      <c r="D7" s="127" t="s">
        <v>309</v>
      </c>
      <c r="E7" s="127" t="s">
        <v>344</v>
      </c>
      <c r="F7" s="128" t="s">
        <v>310</v>
      </c>
    </row>
    <row r="8" spans="2:6" ht="17" thickBot="1" x14ac:dyDescent="0.25">
      <c r="B8" s="168"/>
      <c r="C8" s="129" t="s">
        <v>314</v>
      </c>
      <c r="D8" s="129" t="s">
        <v>311</v>
      </c>
      <c r="E8" s="129" t="s">
        <v>312</v>
      </c>
      <c r="F8" s="130" t="s">
        <v>313</v>
      </c>
    </row>
    <row r="9" spans="2:6" x14ac:dyDescent="0.2">
      <c r="B9" s="121"/>
      <c r="C9" s="120"/>
      <c r="D9" s="120"/>
      <c r="E9" s="120"/>
      <c r="F9" s="119"/>
    </row>
    <row r="10" spans="2:6" ht="17" thickBot="1" x14ac:dyDescent="0.25">
      <c r="B10" s="121"/>
      <c r="C10" s="120"/>
      <c r="D10" s="120"/>
      <c r="E10" s="120"/>
      <c r="F10" s="119"/>
    </row>
    <row r="11" spans="2:6" x14ac:dyDescent="0.2">
      <c r="B11" s="169" t="s">
        <v>293</v>
      </c>
      <c r="C11" s="131" t="s">
        <v>315</v>
      </c>
      <c r="D11" s="131" t="s">
        <v>316</v>
      </c>
      <c r="E11" s="131" t="s">
        <v>317</v>
      </c>
      <c r="F11" s="132" t="s">
        <v>318</v>
      </c>
    </row>
    <row r="12" spans="2:6" x14ac:dyDescent="0.2">
      <c r="B12" s="170"/>
      <c r="C12" s="133" t="s">
        <v>319</v>
      </c>
      <c r="D12" s="133" t="s">
        <v>320</v>
      </c>
      <c r="E12" s="133" t="s">
        <v>321</v>
      </c>
      <c r="F12" s="134" t="s">
        <v>322</v>
      </c>
    </row>
    <row r="13" spans="2:6" x14ac:dyDescent="0.2">
      <c r="B13" s="170"/>
      <c r="C13" s="133" t="s">
        <v>323</v>
      </c>
      <c r="D13" s="133" t="s">
        <v>324</v>
      </c>
      <c r="E13" s="133" t="s">
        <v>325</v>
      </c>
      <c r="F13" s="134" t="s">
        <v>326</v>
      </c>
    </row>
    <row r="14" spans="2:6" ht="17" thickBot="1" x14ac:dyDescent="0.25">
      <c r="B14" s="171"/>
      <c r="C14" s="135"/>
      <c r="D14" s="135"/>
      <c r="E14" s="135"/>
      <c r="F14" s="136" t="s">
        <v>330</v>
      </c>
    </row>
    <row r="15" spans="2:6" x14ac:dyDescent="0.2">
      <c r="B15" s="147"/>
      <c r="C15" s="120"/>
      <c r="D15" s="120"/>
      <c r="E15" s="120"/>
      <c r="F15" s="119"/>
    </row>
    <row r="16" spans="2:6" ht="17" thickBot="1" x14ac:dyDescent="0.25">
      <c r="B16" s="121"/>
      <c r="C16" s="120"/>
      <c r="D16" s="120"/>
      <c r="E16" s="120"/>
      <c r="F16" s="119"/>
    </row>
    <row r="17" spans="2:6" x14ac:dyDescent="0.2">
      <c r="B17" s="172" t="s">
        <v>294</v>
      </c>
      <c r="C17" s="137" t="s">
        <v>327</v>
      </c>
      <c r="D17" s="137" t="s">
        <v>320</v>
      </c>
      <c r="E17" s="137" t="s">
        <v>328</v>
      </c>
      <c r="F17" s="138" t="s">
        <v>329</v>
      </c>
    </row>
    <row r="18" spans="2:6" x14ac:dyDescent="0.2">
      <c r="B18" s="173"/>
      <c r="C18" s="139" t="s">
        <v>331</v>
      </c>
      <c r="D18" s="139" t="s">
        <v>316</v>
      </c>
      <c r="E18" s="139" t="s">
        <v>317</v>
      </c>
      <c r="F18" s="140" t="s">
        <v>332</v>
      </c>
    </row>
    <row r="19" spans="2:6" ht="17" thickBot="1" x14ac:dyDescent="0.25">
      <c r="B19" s="174"/>
      <c r="C19" s="141" t="s">
        <v>333</v>
      </c>
      <c r="D19" s="141" t="s">
        <v>334</v>
      </c>
      <c r="E19" s="141" t="s">
        <v>317</v>
      </c>
      <c r="F19" s="142" t="s">
        <v>335</v>
      </c>
    </row>
    <row r="20" spans="2:6" x14ac:dyDescent="0.2">
      <c r="B20" s="121"/>
      <c r="C20" s="120"/>
      <c r="D20" s="120"/>
      <c r="E20" s="120"/>
      <c r="F20" s="119"/>
    </row>
    <row r="21" spans="2:6" ht="17" thickBot="1" x14ac:dyDescent="0.25">
      <c r="B21" s="121"/>
      <c r="C21" s="120"/>
      <c r="D21" s="120"/>
      <c r="E21" s="120"/>
      <c r="F21" s="119"/>
    </row>
    <row r="22" spans="2:6" x14ac:dyDescent="0.2">
      <c r="B22" s="175" t="s">
        <v>295</v>
      </c>
      <c r="C22" s="143" t="s">
        <v>336</v>
      </c>
      <c r="D22" s="143" t="s">
        <v>334</v>
      </c>
      <c r="E22" s="143" t="s">
        <v>337</v>
      </c>
      <c r="F22" s="144" t="s">
        <v>338</v>
      </c>
    </row>
    <row r="23" spans="2:6" ht="17" thickBot="1" x14ac:dyDescent="0.25">
      <c r="B23" s="176"/>
      <c r="C23" s="145" t="s">
        <v>339</v>
      </c>
      <c r="D23" s="145" t="s">
        <v>340</v>
      </c>
      <c r="E23" s="145" t="s">
        <v>341</v>
      </c>
      <c r="F23" s="146" t="s">
        <v>342</v>
      </c>
    </row>
  </sheetData>
  <mergeCells count="5">
    <mergeCell ref="B5:B8"/>
    <mergeCell ref="B11:B14"/>
    <mergeCell ref="B17:B19"/>
    <mergeCell ref="B22:B23"/>
    <mergeCell ref="B3:B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showGridLines="0" zoomScale="75" zoomScaleNormal="75" zoomScalePageLayoutView="75" workbookViewId="0">
      <selection activeCell="N33" sqref="N33"/>
    </sheetView>
  </sheetViews>
  <sheetFormatPr baseColWidth="10" defaultRowHeight="16" x14ac:dyDescent="0.2"/>
  <cols>
    <col min="10" max="10" width="15.5" bestFit="1" customWidth="1"/>
    <col min="11" max="11" width="28.83203125" bestFit="1" customWidth="1"/>
    <col min="12" max="12" width="27.6640625" bestFit="1" customWidth="1"/>
    <col min="13" max="13" width="22.33203125" bestFit="1" customWidth="1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N101"/>
  <sheetViews>
    <sheetView workbookViewId="0">
      <selection activeCell="E26" sqref="E26"/>
    </sheetView>
  </sheetViews>
  <sheetFormatPr baseColWidth="10" defaultRowHeight="16" x14ac:dyDescent="0.2"/>
  <cols>
    <col min="1" max="1" width="1.1640625" customWidth="1"/>
    <col min="2" max="2" width="28.6640625" bestFit="1" customWidth="1"/>
    <col min="3" max="3" width="19.6640625" customWidth="1"/>
    <col min="4" max="5" width="11.1640625" customWidth="1"/>
    <col min="6" max="6" width="10.1640625" customWidth="1"/>
    <col min="7" max="7" width="14.6640625" customWidth="1"/>
    <col min="8" max="8" width="1" customWidth="1"/>
    <col min="9" max="9" width="12.1640625" customWidth="1"/>
    <col min="13" max="13" width="14.1640625" bestFit="1" customWidth="1"/>
    <col min="14" max="14" width="23" bestFit="1" customWidth="1"/>
  </cols>
  <sheetData>
    <row r="1" spans="2:14" x14ac:dyDescent="0.2">
      <c r="B1" s="65" t="s">
        <v>250</v>
      </c>
    </row>
    <row r="2" spans="2:14" x14ac:dyDescent="0.2">
      <c r="B2" s="65"/>
    </row>
    <row r="3" spans="2:14" x14ac:dyDescent="0.2">
      <c r="B3" s="65"/>
    </row>
    <row r="4" spans="2:14" x14ac:dyDescent="0.2">
      <c r="B4" s="65" t="s">
        <v>284</v>
      </c>
      <c r="C4" s="99">
        <v>4066000</v>
      </c>
    </row>
    <row r="5" spans="2:14" x14ac:dyDescent="0.2">
      <c r="B5" s="65" t="s">
        <v>285</v>
      </c>
      <c r="C5" s="100">
        <v>0.17199999999999999</v>
      </c>
    </row>
    <row r="6" spans="2:14" x14ac:dyDescent="0.2">
      <c r="M6" s="101" t="s">
        <v>286</v>
      </c>
      <c r="N6" s="102" t="s">
        <v>287</v>
      </c>
    </row>
    <row r="7" spans="2:14" x14ac:dyDescent="0.2">
      <c r="B7" s="90" t="s">
        <v>140</v>
      </c>
      <c r="C7" s="49">
        <f>C4*C5</f>
        <v>699352</v>
      </c>
      <c r="D7" s="156" t="s">
        <v>141</v>
      </c>
      <c r="E7" s="156"/>
      <c r="F7" s="156"/>
      <c r="G7" s="156"/>
      <c r="I7" s="74" t="s">
        <v>245</v>
      </c>
      <c r="J7" s="74"/>
      <c r="K7" s="74"/>
      <c r="L7" s="74"/>
      <c r="M7" s="75">
        <v>43700</v>
      </c>
      <c r="N7" s="75">
        <v>58937</v>
      </c>
    </row>
    <row r="8" spans="2:14" x14ac:dyDescent="0.2">
      <c r="B8" s="50" t="s">
        <v>142</v>
      </c>
      <c r="C8" s="51">
        <f>C7*G8</f>
        <v>133576.23199999999</v>
      </c>
      <c r="D8" s="10"/>
      <c r="E8" s="10"/>
      <c r="F8" s="10"/>
      <c r="G8" s="48">
        <f>0.137+0.054</f>
        <v>0.191</v>
      </c>
      <c r="I8" s="37" t="s">
        <v>238</v>
      </c>
      <c r="J8" s="37"/>
      <c r="K8" s="37"/>
      <c r="L8" s="37"/>
      <c r="M8" s="158"/>
      <c r="N8" s="158"/>
    </row>
    <row r="9" spans="2:14" x14ac:dyDescent="0.2">
      <c r="I9" s="76"/>
      <c r="J9" s="76" t="s">
        <v>239</v>
      </c>
      <c r="K9" s="76"/>
      <c r="L9" s="76"/>
      <c r="M9" s="159">
        <v>5</v>
      </c>
      <c r="N9" s="159"/>
    </row>
    <row r="10" spans="2:14" x14ac:dyDescent="0.2">
      <c r="C10" s="19" t="s">
        <v>135</v>
      </c>
      <c r="D10" s="53" t="s">
        <v>136</v>
      </c>
      <c r="E10" s="54" t="s">
        <v>137</v>
      </c>
      <c r="F10" s="55" t="s">
        <v>138</v>
      </c>
      <c r="G10" s="56" t="s">
        <v>219</v>
      </c>
      <c r="I10" s="37"/>
      <c r="J10" s="37" t="s">
        <v>240</v>
      </c>
      <c r="K10" s="37"/>
      <c r="L10" s="37"/>
      <c r="M10" s="158">
        <v>8</v>
      </c>
      <c r="N10" s="158"/>
    </row>
    <row r="11" spans="2:14" x14ac:dyDescent="0.2">
      <c r="B11" t="s">
        <v>139</v>
      </c>
      <c r="C11" s="52">
        <v>0.19500000000000001</v>
      </c>
      <c r="D11" s="52">
        <v>0.26800000000000002</v>
      </c>
      <c r="E11" s="52">
        <v>0.34799999999999998</v>
      </c>
      <c r="F11" s="52">
        <v>0.189</v>
      </c>
      <c r="G11" s="4">
        <f>SUM(C11:F11)</f>
        <v>1</v>
      </c>
      <c r="I11" s="76"/>
      <c r="J11" s="76" t="s">
        <v>241</v>
      </c>
      <c r="K11" s="76"/>
      <c r="L11" s="76"/>
      <c r="M11" s="159">
        <f>M9*M10</f>
        <v>40</v>
      </c>
      <c r="N11" s="159"/>
    </row>
    <row r="12" spans="2:14" x14ac:dyDescent="0.2">
      <c r="B12" t="s">
        <v>218</v>
      </c>
      <c r="C12" s="17">
        <f>$C$8*C11</f>
        <v>26047.365239999999</v>
      </c>
      <c r="D12" s="17">
        <f t="shared" ref="D12:F12" si="0">$C$8*D11</f>
        <v>35798.430176000002</v>
      </c>
      <c r="E12" s="17">
        <f t="shared" si="0"/>
        <v>46484.528735999993</v>
      </c>
      <c r="F12" s="17">
        <f t="shared" si="0"/>
        <v>25245.907847999999</v>
      </c>
      <c r="G12" s="6">
        <f>SUM(C12:F12)</f>
        <v>133576.23199999999</v>
      </c>
      <c r="I12" s="37"/>
      <c r="J12" s="37"/>
      <c r="K12" s="37"/>
      <c r="L12" s="37"/>
      <c r="M12" s="158"/>
      <c r="N12" s="158"/>
    </row>
    <row r="13" spans="2:14" x14ac:dyDescent="0.2">
      <c r="B13" t="s">
        <v>143</v>
      </c>
      <c r="C13" s="17">
        <f>C12*0.95</f>
        <v>24744.996977999999</v>
      </c>
      <c r="D13" s="17">
        <f t="shared" ref="D13:F13" si="1">D12*0.95</f>
        <v>34008.508667200003</v>
      </c>
      <c r="E13" s="17">
        <f t="shared" si="1"/>
        <v>44160.30229919999</v>
      </c>
      <c r="F13" s="17">
        <f t="shared" si="1"/>
        <v>23983.6124556</v>
      </c>
      <c r="G13" s="6">
        <f>SUM(C13:F13)</f>
        <v>126897.42039999999</v>
      </c>
      <c r="I13" s="76" t="s">
        <v>242</v>
      </c>
      <c r="J13" s="76"/>
      <c r="K13" s="76"/>
      <c r="L13" s="76"/>
      <c r="M13" s="159">
        <v>52</v>
      </c>
      <c r="N13" s="159"/>
    </row>
    <row r="14" spans="2:14" x14ac:dyDescent="0.2">
      <c r="I14" s="37"/>
      <c r="J14" s="37" t="s">
        <v>243</v>
      </c>
      <c r="K14" s="37"/>
      <c r="L14" s="37"/>
      <c r="M14" s="158">
        <f>M13*M11</f>
        <v>2080</v>
      </c>
      <c r="N14" s="158"/>
    </row>
    <row r="15" spans="2:14" x14ac:dyDescent="0.2">
      <c r="B15" s="157" t="s">
        <v>222</v>
      </c>
      <c r="C15" s="157"/>
      <c r="D15" s="157"/>
      <c r="E15" s="157"/>
      <c r="F15" s="157"/>
      <c r="G15" s="157"/>
      <c r="I15" s="76"/>
      <c r="J15" s="76"/>
      <c r="K15" s="76"/>
      <c r="L15" s="76"/>
      <c r="M15" s="159"/>
      <c r="N15" s="159"/>
    </row>
    <row r="16" spans="2:14" x14ac:dyDescent="0.2">
      <c r="C16" s="19" t="s">
        <v>220</v>
      </c>
      <c r="D16" s="53" t="s">
        <v>136</v>
      </c>
      <c r="E16" s="54" t="s">
        <v>137</v>
      </c>
      <c r="F16" s="55" t="s">
        <v>138</v>
      </c>
      <c r="G16" s="56" t="s">
        <v>221</v>
      </c>
      <c r="I16" s="77" t="s">
        <v>244</v>
      </c>
      <c r="J16" s="77"/>
      <c r="K16" s="77"/>
      <c r="L16" s="77"/>
      <c r="M16" s="78">
        <f>M7/M14</f>
        <v>21.009615384615383</v>
      </c>
      <c r="N16" s="78">
        <f>N7/M14</f>
        <v>28.335096153846155</v>
      </c>
    </row>
    <row r="17" spans="2:14" x14ac:dyDescent="0.2">
      <c r="B17" t="s">
        <v>144</v>
      </c>
      <c r="C17" s="5">
        <v>5</v>
      </c>
      <c r="D17">
        <v>0</v>
      </c>
      <c r="E17">
        <v>0</v>
      </c>
      <c r="F17">
        <v>0</v>
      </c>
      <c r="G17" s="6">
        <f>SUM(C17:F17)</f>
        <v>5</v>
      </c>
    </row>
    <row r="18" spans="2:14" x14ac:dyDescent="0.2">
      <c r="B18" t="s">
        <v>145</v>
      </c>
      <c r="C18" s="5">
        <v>15</v>
      </c>
      <c r="D18">
        <v>0</v>
      </c>
      <c r="E18">
        <v>0</v>
      </c>
      <c r="F18">
        <v>0</v>
      </c>
      <c r="G18" s="6">
        <f t="shared" ref="G18:G76" si="2">SUM(C18:F18)</f>
        <v>15</v>
      </c>
    </row>
    <row r="19" spans="2:14" x14ac:dyDescent="0.2">
      <c r="B19" t="s">
        <v>146</v>
      </c>
      <c r="C19" s="5">
        <v>25</v>
      </c>
      <c r="D19">
        <v>0</v>
      </c>
      <c r="E19">
        <v>0</v>
      </c>
      <c r="F19">
        <v>0</v>
      </c>
      <c r="G19" s="6">
        <f t="shared" si="2"/>
        <v>25</v>
      </c>
      <c r="I19" t="s">
        <v>246</v>
      </c>
      <c r="M19" s="79">
        <v>-1</v>
      </c>
      <c r="N19" s="79">
        <v>-1</v>
      </c>
    </row>
    <row r="20" spans="2:14" x14ac:dyDescent="0.2">
      <c r="B20" t="s">
        <v>147</v>
      </c>
      <c r="C20" s="5">
        <v>40</v>
      </c>
      <c r="D20">
        <v>0</v>
      </c>
      <c r="E20">
        <v>0</v>
      </c>
      <c r="F20">
        <v>0</v>
      </c>
      <c r="G20" s="6">
        <f t="shared" si="2"/>
        <v>40</v>
      </c>
    </row>
    <row r="21" spans="2:14" x14ac:dyDescent="0.2">
      <c r="B21" t="s">
        <v>148</v>
      </c>
      <c r="C21" s="5">
        <v>50</v>
      </c>
      <c r="D21">
        <v>0</v>
      </c>
      <c r="E21">
        <v>0</v>
      </c>
      <c r="F21">
        <v>0</v>
      </c>
      <c r="G21" s="6">
        <f t="shared" si="2"/>
        <v>50</v>
      </c>
      <c r="I21" t="s">
        <v>247</v>
      </c>
      <c r="M21" s="20">
        <f>M16+M19</f>
        <v>20.009615384615383</v>
      </c>
      <c r="N21" s="20">
        <f>N16+N19</f>
        <v>27.335096153846155</v>
      </c>
    </row>
    <row r="22" spans="2:14" x14ac:dyDescent="0.2">
      <c r="B22" t="s">
        <v>149</v>
      </c>
      <c r="C22" s="5">
        <v>70</v>
      </c>
      <c r="D22">
        <v>0</v>
      </c>
      <c r="E22">
        <v>0</v>
      </c>
      <c r="F22">
        <v>0</v>
      </c>
      <c r="G22" s="6">
        <f t="shared" si="2"/>
        <v>70</v>
      </c>
    </row>
    <row r="23" spans="2:14" x14ac:dyDescent="0.2">
      <c r="B23" t="s">
        <v>150</v>
      </c>
      <c r="C23" s="5">
        <v>80</v>
      </c>
      <c r="D23">
        <v>0</v>
      </c>
      <c r="E23">
        <v>0</v>
      </c>
      <c r="F23">
        <v>0</v>
      </c>
      <c r="G23" s="6">
        <f t="shared" si="2"/>
        <v>80</v>
      </c>
    </row>
    <row r="24" spans="2:14" x14ac:dyDescent="0.2">
      <c r="B24" t="s">
        <v>151</v>
      </c>
      <c r="C24" s="5">
        <v>95</v>
      </c>
      <c r="D24">
        <v>0</v>
      </c>
      <c r="E24">
        <v>0</v>
      </c>
      <c r="F24">
        <v>0</v>
      </c>
      <c r="G24" s="6">
        <f t="shared" si="2"/>
        <v>95</v>
      </c>
    </row>
    <row r="25" spans="2:14" x14ac:dyDescent="0.2">
      <c r="B25" t="s">
        <v>152</v>
      </c>
      <c r="C25" s="5">
        <v>110</v>
      </c>
      <c r="D25">
        <v>0</v>
      </c>
      <c r="E25">
        <v>0</v>
      </c>
      <c r="F25">
        <v>0</v>
      </c>
      <c r="G25" s="6">
        <f t="shared" si="2"/>
        <v>110</v>
      </c>
      <c r="I25" s="81" t="s">
        <v>248</v>
      </c>
      <c r="J25" s="81"/>
      <c r="K25" s="81"/>
      <c r="L25" s="81"/>
      <c r="M25" s="81"/>
    </row>
    <row r="26" spans="2:14" x14ac:dyDescent="0.2">
      <c r="B26" t="s">
        <v>153</v>
      </c>
      <c r="C26" s="5">
        <v>125</v>
      </c>
      <c r="D26">
        <v>0</v>
      </c>
      <c r="E26">
        <v>0</v>
      </c>
      <c r="F26">
        <v>0</v>
      </c>
      <c r="G26" s="6">
        <f t="shared" si="2"/>
        <v>125</v>
      </c>
    </row>
    <row r="27" spans="2:14" x14ac:dyDescent="0.2">
      <c r="B27" t="s">
        <v>154</v>
      </c>
      <c r="C27" s="5">
        <v>145</v>
      </c>
      <c r="D27">
        <v>0</v>
      </c>
      <c r="E27">
        <v>0</v>
      </c>
      <c r="F27">
        <v>0</v>
      </c>
      <c r="G27" s="6">
        <f t="shared" si="2"/>
        <v>145</v>
      </c>
      <c r="I27" s="70" t="s">
        <v>249</v>
      </c>
      <c r="J27" s="70"/>
      <c r="K27" s="70"/>
      <c r="L27" s="70"/>
      <c r="M27" s="80">
        <f>-M19</f>
        <v>1</v>
      </c>
    </row>
    <row r="28" spans="2:14" x14ac:dyDescent="0.2">
      <c r="B28" t="s">
        <v>155</v>
      </c>
      <c r="C28" s="5">
        <v>160</v>
      </c>
      <c r="D28">
        <v>0</v>
      </c>
      <c r="E28">
        <v>0</v>
      </c>
      <c r="F28">
        <v>0</v>
      </c>
      <c r="G28" s="6">
        <f t="shared" si="2"/>
        <v>160</v>
      </c>
    </row>
    <row r="29" spans="2:14" x14ac:dyDescent="0.2">
      <c r="B29" t="s">
        <v>156</v>
      </c>
      <c r="C29" s="5">
        <v>180</v>
      </c>
      <c r="D29">
        <v>0</v>
      </c>
      <c r="E29">
        <v>0</v>
      </c>
      <c r="F29">
        <v>0</v>
      </c>
      <c r="G29" s="6">
        <f t="shared" si="2"/>
        <v>180</v>
      </c>
    </row>
    <row r="30" spans="2:14" x14ac:dyDescent="0.2">
      <c r="B30" t="s">
        <v>157</v>
      </c>
      <c r="C30" s="5">
        <v>200</v>
      </c>
      <c r="D30">
        <v>0</v>
      </c>
      <c r="E30">
        <v>0</v>
      </c>
      <c r="F30">
        <v>0</v>
      </c>
      <c r="G30" s="6">
        <f t="shared" si="2"/>
        <v>200</v>
      </c>
    </row>
    <row r="31" spans="2:14" x14ac:dyDescent="0.2">
      <c r="B31" t="s">
        <v>158</v>
      </c>
      <c r="C31" s="5">
        <v>210</v>
      </c>
      <c r="D31">
        <v>0</v>
      </c>
      <c r="E31">
        <v>0</v>
      </c>
      <c r="F31">
        <v>0</v>
      </c>
      <c r="G31" s="6">
        <f t="shared" si="2"/>
        <v>210</v>
      </c>
    </row>
    <row r="32" spans="2:14" x14ac:dyDescent="0.2">
      <c r="B32" t="s">
        <v>159</v>
      </c>
      <c r="C32" s="5">
        <v>240</v>
      </c>
      <c r="D32">
        <v>0</v>
      </c>
      <c r="E32">
        <v>0</v>
      </c>
      <c r="F32">
        <v>0</v>
      </c>
      <c r="G32" s="6">
        <f t="shared" si="2"/>
        <v>240</v>
      </c>
    </row>
    <row r="33" spans="2:7" x14ac:dyDescent="0.2">
      <c r="B33" t="s">
        <v>160</v>
      </c>
      <c r="C33" s="5">
        <v>275</v>
      </c>
      <c r="D33">
        <v>0</v>
      </c>
      <c r="E33">
        <v>0</v>
      </c>
      <c r="F33">
        <v>0</v>
      </c>
      <c r="G33" s="6">
        <f t="shared" si="2"/>
        <v>275</v>
      </c>
    </row>
    <row r="34" spans="2:7" x14ac:dyDescent="0.2">
      <c r="B34" t="s">
        <v>161</v>
      </c>
      <c r="C34" s="5">
        <v>400</v>
      </c>
      <c r="D34">
        <v>0</v>
      </c>
      <c r="E34">
        <v>0</v>
      </c>
      <c r="F34">
        <v>0</v>
      </c>
      <c r="G34" s="6">
        <f t="shared" si="2"/>
        <v>400</v>
      </c>
    </row>
    <row r="35" spans="2:7" x14ac:dyDescent="0.2">
      <c r="B35" t="s">
        <v>162</v>
      </c>
      <c r="C35" s="5">
        <v>450</v>
      </c>
      <c r="D35">
        <v>0</v>
      </c>
      <c r="E35">
        <v>0</v>
      </c>
      <c r="F35">
        <v>0</v>
      </c>
      <c r="G35" s="6">
        <f t="shared" si="2"/>
        <v>450</v>
      </c>
    </row>
    <row r="36" spans="2:7" x14ac:dyDescent="0.2">
      <c r="B36" t="s">
        <v>163</v>
      </c>
      <c r="C36" s="5">
        <v>520</v>
      </c>
      <c r="D36">
        <v>0</v>
      </c>
      <c r="E36">
        <v>0</v>
      </c>
      <c r="F36">
        <v>0</v>
      </c>
      <c r="G36" s="6">
        <f t="shared" si="2"/>
        <v>520</v>
      </c>
    </row>
    <row r="37" spans="2:7" x14ac:dyDescent="0.2">
      <c r="B37" t="s">
        <v>164</v>
      </c>
      <c r="C37" s="5">
        <v>700</v>
      </c>
      <c r="D37">
        <v>0</v>
      </c>
      <c r="E37">
        <v>0</v>
      </c>
      <c r="F37">
        <v>0</v>
      </c>
      <c r="G37" s="6">
        <f t="shared" si="2"/>
        <v>700</v>
      </c>
    </row>
    <row r="38" spans="2:7" x14ac:dyDescent="0.2">
      <c r="B38" t="s">
        <v>165</v>
      </c>
      <c r="C38" s="5">
        <v>930</v>
      </c>
      <c r="D38">
        <v>0</v>
      </c>
      <c r="E38">
        <v>0</v>
      </c>
      <c r="F38">
        <v>0</v>
      </c>
      <c r="G38" s="6">
        <f t="shared" si="2"/>
        <v>930</v>
      </c>
    </row>
    <row r="39" spans="2:7" x14ac:dyDescent="0.2">
      <c r="B39" t="s">
        <v>166</v>
      </c>
      <c r="C39" s="5">
        <v>1025</v>
      </c>
      <c r="D39">
        <v>0</v>
      </c>
      <c r="E39">
        <v>0</v>
      </c>
      <c r="F39">
        <v>0</v>
      </c>
      <c r="G39" s="6">
        <f t="shared" si="2"/>
        <v>1025</v>
      </c>
    </row>
    <row r="40" spans="2:7" x14ac:dyDescent="0.2">
      <c r="B40" t="s">
        <v>167</v>
      </c>
      <c r="C40" s="5">
        <v>1275</v>
      </c>
      <c r="D40">
        <v>0</v>
      </c>
      <c r="E40">
        <v>0</v>
      </c>
      <c r="F40">
        <v>0</v>
      </c>
      <c r="G40" s="6">
        <f t="shared" si="2"/>
        <v>1275</v>
      </c>
    </row>
    <row r="41" spans="2:7" x14ac:dyDescent="0.2">
      <c r="B41" t="s">
        <v>168</v>
      </c>
      <c r="C41" s="5">
        <v>1400</v>
      </c>
      <c r="D41" s="18">
        <f>(C41/C$13)*$D$13</f>
        <v>1924.1025641025642</v>
      </c>
      <c r="E41" s="18">
        <f>($C41/C$13)*$E$13</f>
        <v>2498.4615384615377</v>
      </c>
      <c r="F41" s="18">
        <f>($C41/D$13)*$F$13</f>
        <v>987.31343283582078</v>
      </c>
      <c r="G41" s="6">
        <f t="shared" si="2"/>
        <v>6809.8775353999226</v>
      </c>
    </row>
    <row r="42" spans="2:7" x14ac:dyDescent="0.2">
      <c r="B42" t="s">
        <v>169</v>
      </c>
      <c r="C42" s="5">
        <v>1525</v>
      </c>
      <c r="D42" s="18">
        <f t="shared" ref="D42:D76" si="3">(C42/C$13)*$D$13</f>
        <v>2095.897435897436</v>
      </c>
      <c r="E42" s="18">
        <f t="shared" ref="E42:E76" si="4">($C42/C$13)*$E$13</f>
        <v>2721.538461538461</v>
      </c>
      <c r="F42" s="18">
        <f t="shared" ref="F42:F76" si="5">($C42/D$13)*$F$13</f>
        <v>1075.4664179104477</v>
      </c>
      <c r="G42" s="6">
        <f t="shared" si="2"/>
        <v>7417.902315346344</v>
      </c>
    </row>
    <row r="43" spans="2:7" x14ac:dyDescent="0.2">
      <c r="B43" t="s">
        <v>170</v>
      </c>
      <c r="C43" s="5">
        <v>1600</v>
      </c>
      <c r="D43" s="18">
        <f t="shared" si="3"/>
        <v>2198.9743589743593</v>
      </c>
      <c r="E43" s="18">
        <f t="shared" si="4"/>
        <v>2855.3846153846148</v>
      </c>
      <c r="F43" s="18">
        <f t="shared" si="5"/>
        <v>1128.3582089552237</v>
      </c>
      <c r="G43" s="6">
        <f t="shared" si="2"/>
        <v>7782.7171833141983</v>
      </c>
    </row>
    <row r="44" spans="2:7" x14ac:dyDescent="0.2">
      <c r="B44" t="s">
        <v>171</v>
      </c>
      <c r="C44" s="5">
        <v>1675</v>
      </c>
      <c r="D44" s="18">
        <f t="shared" si="3"/>
        <v>2302.0512820512822</v>
      </c>
      <c r="E44" s="18">
        <f t="shared" si="4"/>
        <v>2989.2307692307681</v>
      </c>
      <c r="F44" s="18">
        <f t="shared" si="5"/>
        <v>1181.2499999999998</v>
      </c>
      <c r="G44" s="6">
        <f t="shared" si="2"/>
        <v>8147.5320512820508</v>
      </c>
    </row>
    <row r="45" spans="2:7" x14ac:dyDescent="0.2">
      <c r="B45" t="s">
        <v>172</v>
      </c>
      <c r="C45" s="5">
        <v>1820</v>
      </c>
      <c r="D45" s="18">
        <f t="shared" si="3"/>
        <v>2501.3333333333335</v>
      </c>
      <c r="E45" s="18">
        <f t="shared" si="4"/>
        <v>3247.9999999999991</v>
      </c>
      <c r="F45" s="18">
        <f t="shared" si="5"/>
        <v>1283.5074626865671</v>
      </c>
      <c r="G45" s="6">
        <f t="shared" si="2"/>
        <v>8852.8407960199002</v>
      </c>
    </row>
    <row r="46" spans="2:7" x14ac:dyDescent="0.2">
      <c r="B46" t="s">
        <v>173</v>
      </c>
      <c r="C46" s="5">
        <v>2010</v>
      </c>
      <c r="D46" s="18">
        <f t="shared" si="3"/>
        <v>2762.4615384615386</v>
      </c>
      <c r="E46" s="18">
        <f t="shared" si="4"/>
        <v>3587.0769230769224</v>
      </c>
      <c r="F46" s="18">
        <f t="shared" si="5"/>
        <v>1417.4999999999998</v>
      </c>
      <c r="G46" s="6">
        <f t="shared" si="2"/>
        <v>9777.038461538461</v>
      </c>
    </row>
    <row r="47" spans="2:7" x14ac:dyDescent="0.2">
      <c r="B47" t="s">
        <v>174</v>
      </c>
      <c r="C47" s="5">
        <v>2230</v>
      </c>
      <c r="D47" s="18">
        <f t="shared" si="3"/>
        <v>3064.8205128205132</v>
      </c>
      <c r="E47" s="18">
        <f t="shared" si="4"/>
        <v>3979.6923076923067</v>
      </c>
      <c r="F47" s="18">
        <f t="shared" si="5"/>
        <v>1572.6492537313429</v>
      </c>
      <c r="G47" s="6">
        <f t="shared" si="2"/>
        <v>10847.162074244163</v>
      </c>
    </row>
    <row r="48" spans="2:7" x14ac:dyDescent="0.2">
      <c r="B48" t="s">
        <v>175</v>
      </c>
      <c r="C48" s="5">
        <v>2400</v>
      </c>
      <c r="D48" s="18">
        <f t="shared" si="3"/>
        <v>3298.461538461539</v>
      </c>
      <c r="E48" s="18">
        <f t="shared" si="4"/>
        <v>4283.0769230769229</v>
      </c>
      <c r="F48" s="18">
        <f t="shared" si="5"/>
        <v>1692.5373134328356</v>
      </c>
      <c r="G48" s="6">
        <f t="shared" si="2"/>
        <v>11674.075774971298</v>
      </c>
    </row>
    <row r="49" spans="2:7" x14ac:dyDescent="0.2">
      <c r="B49" t="s">
        <v>176</v>
      </c>
      <c r="C49" s="5">
        <v>2620</v>
      </c>
      <c r="D49" s="18">
        <f t="shared" si="3"/>
        <v>3600.8205128205136</v>
      </c>
      <c r="E49" s="18">
        <f t="shared" si="4"/>
        <v>4675.6923076923067</v>
      </c>
      <c r="F49" s="18">
        <f t="shared" si="5"/>
        <v>1847.686567164179</v>
      </c>
      <c r="G49" s="6">
        <f t="shared" si="2"/>
        <v>12744.199387676999</v>
      </c>
    </row>
    <row r="50" spans="2:7" x14ac:dyDescent="0.2">
      <c r="B50" t="s">
        <v>177</v>
      </c>
      <c r="C50" s="5">
        <v>2880</v>
      </c>
      <c r="D50" s="18">
        <f t="shared" si="3"/>
        <v>3958.1538461538466</v>
      </c>
      <c r="E50" s="18">
        <f t="shared" si="4"/>
        <v>5139.6923076923067</v>
      </c>
      <c r="F50" s="18">
        <f t="shared" si="5"/>
        <v>2031.0447761194027</v>
      </c>
      <c r="G50" s="6">
        <f t="shared" si="2"/>
        <v>14008.890929965555</v>
      </c>
    </row>
    <row r="51" spans="2:7" x14ac:dyDescent="0.2">
      <c r="B51" t="s">
        <v>178</v>
      </c>
      <c r="C51" s="5">
        <v>3050</v>
      </c>
      <c r="D51" s="18">
        <f t="shared" si="3"/>
        <v>4191.7948717948721</v>
      </c>
      <c r="E51" s="18">
        <f t="shared" si="4"/>
        <v>5443.076923076922</v>
      </c>
      <c r="F51" s="18">
        <f t="shared" si="5"/>
        <v>2150.9328358208954</v>
      </c>
      <c r="G51" s="6">
        <f t="shared" si="2"/>
        <v>14835.804630692688</v>
      </c>
    </row>
    <row r="52" spans="2:7" x14ac:dyDescent="0.2">
      <c r="B52" t="s">
        <v>179</v>
      </c>
      <c r="C52" s="5">
        <v>3275</v>
      </c>
      <c r="D52" s="18">
        <f t="shared" si="3"/>
        <v>4501.0256410256416</v>
      </c>
      <c r="E52" s="18">
        <f t="shared" si="4"/>
        <v>5844.6153846153838</v>
      </c>
      <c r="F52" s="18">
        <f t="shared" si="5"/>
        <v>2309.6082089552237</v>
      </c>
      <c r="G52" s="6">
        <f t="shared" si="2"/>
        <v>15930.249234596249</v>
      </c>
    </row>
    <row r="53" spans="2:7" x14ac:dyDescent="0.2">
      <c r="B53" t="s">
        <v>180</v>
      </c>
      <c r="C53" s="5">
        <f>C52*1.05</f>
        <v>3438.75</v>
      </c>
      <c r="D53" s="18">
        <f t="shared" si="3"/>
        <v>4726.0769230769238</v>
      </c>
      <c r="E53" s="18">
        <f t="shared" si="4"/>
        <v>6136.8461538461524</v>
      </c>
      <c r="F53" s="18">
        <f t="shared" si="5"/>
        <v>2425.0886194029849</v>
      </c>
      <c r="G53" s="6">
        <f t="shared" si="2"/>
        <v>16726.761696326063</v>
      </c>
    </row>
    <row r="54" spans="2:7" x14ac:dyDescent="0.2">
      <c r="B54" t="s">
        <v>181</v>
      </c>
      <c r="C54" s="5">
        <f t="shared" ref="C54:C76" si="6">C53*1.05</f>
        <v>3610.6875</v>
      </c>
      <c r="D54" s="18">
        <f t="shared" si="3"/>
        <v>4962.3807692307701</v>
      </c>
      <c r="E54" s="18">
        <f t="shared" si="4"/>
        <v>6443.6884615384606</v>
      </c>
      <c r="F54" s="18">
        <f t="shared" si="5"/>
        <v>2546.3430503731342</v>
      </c>
      <c r="G54" s="6">
        <f t="shared" si="2"/>
        <v>17563.099781142366</v>
      </c>
    </row>
    <row r="55" spans="2:7" x14ac:dyDescent="0.2">
      <c r="B55" t="s">
        <v>182</v>
      </c>
      <c r="C55" s="5">
        <f t="shared" si="6"/>
        <v>3791.2218750000002</v>
      </c>
      <c r="D55" s="18">
        <f t="shared" si="3"/>
        <v>5210.4998076923084</v>
      </c>
      <c r="E55" s="18">
        <f t="shared" si="4"/>
        <v>6765.8728846153836</v>
      </c>
      <c r="F55" s="18">
        <f t="shared" si="5"/>
        <v>2673.660202891791</v>
      </c>
      <c r="G55" s="6">
        <f t="shared" si="2"/>
        <v>18441.254770199484</v>
      </c>
    </row>
    <row r="56" spans="2:7" x14ac:dyDescent="0.2">
      <c r="B56" t="s">
        <v>183</v>
      </c>
      <c r="C56" s="5">
        <f t="shared" si="6"/>
        <v>3980.7829687500002</v>
      </c>
      <c r="D56" s="18">
        <f t="shared" si="3"/>
        <v>5471.0247980769245</v>
      </c>
      <c r="E56" s="18">
        <f t="shared" si="4"/>
        <v>7104.1665288461527</v>
      </c>
      <c r="F56" s="18">
        <f t="shared" si="5"/>
        <v>2807.3432130363803</v>
      </c>
      <c r="G56" s="6">
        <f t="shared" si="2"/>
        <v>19363.317508709457</v>
      </c>
    </row>
    <row r="57" spans="2:7" x14ac:dyDescent="0.2">
      <c r="B57" t="s">
        <v>184</v>
      </c>
      <c r="C57" s="5">
        <f t="shared" si="6"/>
        <v>4179.8221171875002</v>
      </c>
      <c r="D57" s="18">
        <f t="shared" si="3"/>
        <v>5744.5760379807698</v>
      </c>
      <c r="E57" s="18">
        <f t="shared" si="4"/>
        <v>7459.3748552884599</v>
      </c>
      <c r="F57" s="18">
        <f t="shared" si="5"/>
        <v>2947.7103736881995</v>
      </c>
      <c r="G57" s="6">
        <f t="shared" si="2"/>
        <v>20331.483384144929</v>
      </c>
    </row>
    <row r="58" spans="2:7" x14ac:dyDescent="0.2">
      <c r="B58" t="s">
        <v>185</v>
      </c>
      <c r="C58" s="5">
        <f t="shared" si="6"/>
        <v>4388.8132230468755</v>
      </c>
      <c r="D58" s="18">
        <f t="shared" si="3"/>
        <v>6031.8048398798092</v>
      </c>
      <c r="E58" s="18">
        <f t="shared" si="4"/>
        <v>7832.3435980528839</v>
      </c>
      <c r="F58" s="18">
        <f t="shared" si="5"/>
        <v>3095.0958923726093</v>
      </c>
      <c r="G58" s="6">
        <f t="shared" si="2"/>
        <v>21348.057553352181</v>
      </c>
    </row>
    <row r="59" spans="2:7" x14ac:dyDescent="0.2">
      <c r="B59" t="s">
        <v>186</v>
      </c>
      <c r="C59" s="5">
        <f t="shared" si="6"/>
        <v>4608.2538841992191</v>
      </c>
      <c r="D59" s="18">
        <f t="shared" si="3"/>
        <v>6333.3950818737994</v>
      </c>
      <c r="E59" s="18">
        <f t="shared" si="4"/>
        <v>8223.9607779555281</v>
      </c>
      <c r="F59" s="18">
        <f t="shared" si="5"/>
        <v>3249.8506869912399</v>
      </c>
      <c r="G59" s="6">
        <f t="shared" si="2"/>
        <v>22415.460431019783</v>
      </c>
    </row>
    <row r="60" spans="2:7" x14ac:dyDescent="0.2">
      <c r="B60" t="s">
        <v>187</v>
      </c>
      <c r="C60" s="5">
        <f t="shared" si="6"/>
        <v>4838.6665784091801</v>
      </c>
      <c r="D60" s="18">
        <f t="shared" si="3"/>
        <v>6650.0648359674897</v>
      </c>
      <c r="E60" s="18">
        <f t="shared" si="4"/>
        <v>8635.1588168533053</v>
      </c>
      <c r="F60" s="18">
        <f t="shared" si="5"/>
        <v>3412.3432213408018</v>
      </c>
      <c r="G60" s="6">
        <f t="shared" si="2"/>
        <v>23536.233452570777</v>
      </c>
    </row>
    <row r="61" spans="2:7" x14ac:dyDescent="0.2">
      <c r="B61" t="s">
        <v>188</v>
      </c>
      <c r="C61" s="5">
        <f t="shared" si="6"/>
        <v>5080.5999073296398</v>
      </c>
      <c r="D61" s="18">
        <f t="shared" si="3"/>
        <v>6982.5680777658654</v>
      </c>
      <c r="E61" s="18">
        <f t="shared" si="4"/>
        <v>9066.9167576959717</v>
      </c>
      <c r="F61" s="18">
        <f t="shared" si="5"/>
        <v>3582.9603824078426</v>
      </c>
      <c r="G61" s="6">
        <f t="shared" si="2"/>
        <v>24713.045125199322</v>
      </c>
    </row>
    <row r="62" spans="2:7" x14ac:dyDescent="0.2">
      <c r="B62" t="s">
        <v>189</v>
      </c>
      <c r="C62" s="5">
        <f t="shared" si="6"/>
        <v>5334.6299026961224</v>
      </c>
      <c r="D62" s="18">
        <f t="shared" si="3"/>
        <v>7331.6964816541595</v>
      </c>
      <c r="E62" s="18">
        <f t="shared" si="4"/>
        <v>9520.2625955807707</v>
      </c>
      <c r="F62" s="18">
        <f t="shared" si="5"/>
        <v>3762.1084015282354</v>
      </c>
      <c r="G62" s="6">
        <f t="shared" si="2"/>
        <v>25948.697381459289</v>
      </c>
    </row>
    <row r="63" spans="2:7" x14ac:dyDescent="0.2">
      <c r="B63" t="s">
        <v>190</v>
      </c>
      <c r="C63" s="5">
        <f t="shared" si="6"/>
        <v>5601.3613978309286</v>
      </c>
      <c r="D63" s="18">
        <f t="shared" si="3"/>
        <v>7698.2813057368667</v>
      </c>
      <c r="E63" s="18">
        <f t="shared" si="4"/>
        <v>9996.2757253598083</v>
      </c>
      <c r="F63" s="18">
        <f t="shared" si="5"/>
        <v>3950.2138216046469</v>
      </c>
      <c r="G63" s="6">
        <f t="shared" si="2"/>
        <v>27246.13225053225</v>
      </c>
    </row>
    <row r="64" spans="2:7" x14ac:dyDescent="0.2">
      <c r="B64" t="s">
        <v>191</v>
      </c>
      <c r="C64" s="5">
        <f t="shared" si="6"/>
        <v>5881.4294677224752</v>
      </c>
      <c r="D64" s="18">
        <f t="shared" si="3"/>
        <v>8083.1953710237103</v>
      </c>
      <c r="E64" s="18">
        <f t="shared" si="4"/>
        <v>10496.089511627799</v>
      </c>
      <c r="F64" s="18">
        <f t="shared" si="5"/>
        <v>4147.7245126848793</v>
      </c>
      <c r="G64" s="6">
        <f t="shared" si="2"/>
        <v>28608.438863058866</v>
      </c>
    </row>
    <row r="65" spans="2:7" x14ac:dyDescent="0.2">
      <c r="B65" t="s">
        <v>192</v>
      </c>
      <c r="C65" s="5">
        <f t="shared" si="6"/>
        <v>6175.5009411085994</v>
      </c>
      <c r="D65" s="18">
        <f t="shared" si="3"/>
        <v>8487.3551395748964</v>
      </c>
      <c r="E65" s="18">
        <f t="shared" si="4"/>
        <v>11020.893987209191</v>
      </c>
      <c r="F65" s="18">
        <f t="shared" si="5"/>
        <v>4355.1107383191238</v>
      </c>
      <c r="G65" s="6">
        <f t="shared" si="2"/>
        <v>30038.860806211811</v>
      </c>
    </row>
    <row r="66" spans="2:7" x14ac:dyDescent="0.2">
      <c r="B66" t="s">
        <v>193</v>
      </c>
      <c r="C66" s="5">
        <f t="shared" si="6"/>
        <v>6484.2759881640295</v>
      </c>
      <c r="D66" s="18">
        <f t="shared" si="3"/>
        <v>8911.7228965536415</v>
      </c>
      <c r="E66" s="18">
        <f t="shared" si="4"/>
        <v>11571.938686569651</v>
      </c>
      <c r="F66" s="18">
        <f t="shared" si="5"/>
        <v>4572.8662752350801</v>
      </c>
      <c r="G66" s="6">
        <f t="shared" si="2"/>
        <v>31540.803846522402</v>
      </c>
    </row>
    <row r="67" spans="2:7" x14ac:dyDescent="0.2">
      <c r="B67" t="s">
        <v>194</v>
      </c>
      <c r="C67" s="5">
        <f t="shared" si="6"/>
        <v>6808.4897875722309</v>
      </c>
      <c r="D67" s="18">
        <f t="shared" si="3"/>
        <v>9357.3090413813243</v>
      </c>
      <c r="E67" s="18">
        <f t="shared" si="4"/>
        <v>12150.535620898134</v>
      </c>
      <c r="F67" s="18">
        <f t="shared" si="5"/>
        <v>4801.5095889968334</v>
      </c>
      <c r="G67" s="6">
        <f t="shared" si="2"/>
        <v>33117.844038848525</v>
      </c>
    </row>
    <row r="68" spans="2:7" x14ac:dyDescent="0.2">
      <c r="B68" t="s">
        <v>195</v>
      </c>
      <c r="C68" s="5">
        <f t="shared" si="6"/>
        <v>7148.9142769508426</v>
      </c>
      <c r="D68" s="18">
        <f t="shared" si="3"/>
        <v>9825.1744934503895</v>
      </c>
      <c r="E68" s="18">
        <f t="shared" si="4"/>
        <v>12758.06240194304</v>
      </c>
      <c r="F68" s="18">
        <f t="shared" si="5"/>
        <v>5041.5850684466759</v>
      </c>
      <c r="G68" s="6">
        <f t="shared" si="2"/>
        <v>34773.736240790946</v>
      </c>
    </row>
    <row r="69" spans="2:7" x14ac:dyDescent="0.2">
      <c r="B69" t="s">
        <v>196</v>
      </c>
      <c r="C69" s="5">
        <f t="shared" si="6"/>
        <v>7506.3599907983853</v>
      </c>
      <c r="D69" s="18">
        <f t="shared" si="3"/>
        <v>10316.433218122911</v>
      </c>
      <c r="E69" s="18">
        <f t="shared" si="4"/>
        <v>13395.965522040193</v>
      </c>
      <c r="F69" s="18">
        <f t="shared" si="5"/>
        <v>5293.6643218690097</v>
      </c>
      <c r="G69" s="6">
        <f t="shared" si="2"/>
        <v>36512.423052830498</v>
      </c>
    </row>
    <row r="70" spans="2:7" x14ac:dyDescent="0.2">
      <c r="B70" t="s">
        <v>197</v>
      </c>
      <c r="C70" s="5">
        <f t="shared" si="6"/>
        <v>7881.6779903383049</v>
      </c>
      <c r="D70" s="18">
        <f t="shared" si="3"/>
        <v>10832.254879029057</v>
      </c>
      <c r="E70" s="18">
        <f t="shared" si="4"/>
        <v>14065.763798142203</v>
      </c>
      <c r="F70" s="18">
        <f t="shared" si="5"/>
        <v>5558.3475379624606</v>
      </c>
      <c r="G70" s="6">
        <f t="shared" si="2"/>
        <v>38338.044205472019</v>
      </c>
    </row>
    <row r="71" spans="2:7" x14ac:dyDescent="0.2">
      <c r="B71" t="s">
        <v>198</v>
      </c>
      <c r="C71" s="5">
        <f t="shared" si="6"/>
        <v>8275.7618898552209</v>
      </c>
      <c r="D71" s="18">
        <f t="shared" si="3"/>
        <v>11373.86762298051</v>
      </c>
      <c r="E71" s="18">
        <f t="shared" si="4"/>
        <v>14769.051988049314</v>
      </c>
      <c r="F71" s="18">
        <f t="shared" si="5"/>
        <v>5836.2649148605842</v>
      </c>
      <c r="G71" s="6">
        <f t="shared" si="2"/>
        <v>40254.946415745631</v>
      </c>
    </row>
    <row r="72" spans="2:7" x14ac:dyDescent="0.2">
      <c r="B72" t="s">
        <v>199</v>
      </c>
      <c r="C72" s="5">
        <f t="shared" si="6"/>
        <v>8689.5499843479829</v>
      </c>
      <c r="D72" s="18">
        <f t="shared" si="3"/>
        <v>11942.561004129537</v>
      </c>
      <c r="E72" s="18">
        <f t="shared" si="4"/>
        <v>15507.504587451782</v>
      </c>
      <c r="F72" s="18">
        <f t="shared" si="5"/>
        <v>6128.0781606036144</v>
      </c>
      <c r="G72" s="6">
        <f t="shared" si="2"/>
        <v>42267.693736532921</v>
      </c>
    </row>
    <row r="73" spans="2:7" x14ac:dyDescent="0.2">
      <c r="B73" t="s">
        <v>200</v>
      </c>
      <c r="C73" s="5">
        <f t="shared" si="6"/>
        <v>9124.0274835653818</v>
      </c>
      <c r="D73" s="18">
        <f t="shared" si="3"/>
        <v>12539.689054336015</v>
      </c>
      <c r="E73" s="18">
        <f t="shared" si="4"/>
        <v>16282.879816824372</v>
      </c>
      <c r="F73" s="18">
        <f t="shared" si="5"/>
        <v>6434.4820686337953</v>
      </c>
      <c r="G73" s="6">
        <f t="shared" si="2"/>
        <v>44381.078423359562</v>
      </c>
    </row>
    <row r="74" spans="2:7" x14ac:dyDescent="0.2">
      <c r="B74" t="s">
        <v>201</v>
      </c>
      <c r="C74" s="5">
        <f t="shared" si="6"/>
        <v>9580.228857743652</v>
      </c>
      <c r="D74" s="18">
        <f t="shared" si="3"/>
        <v>13166.673507052816</v>
      </c>
      <c r="E74" s="18">
        <f t="shared" si="4"/>
        <v>17097.023807665591</v>
      </c>
      <c r="F74" s="18">
        <f t="shared" si="5"/>
        <v>6756.2061720654847</v>
      </c>
      <c r="G74" s="6">
        <f t="shared" si="2"/>
        <v>46600.132344527541</v>
      </c>
    </row>
    <row r="75" spans="2:7" x14ac:dyDescent="0.2">
      <c r="B75" t="s">
        <v>202</v>
      </c>
      <c r="C75" s="5">
        <f t="shared" si="6"/>
        <v>10059.240300630836</v>
      </c>
      <c r="D75" s="18">
        <f t="shared" si="3"/>
        <v>13825.007182405458</v>
      </c>
      <c r="E75" s="18">
        <f t="shared" si="4"/>
        <v>17951.874998048872</v>
      </c>
      <c r="F75" s="18">
        <f t="shared" si="5"/>
        <v>7094.0164806687608</v>
      </c>
      <c r="G75" s="6">
        <f t="shared" si="2"/>
        <v>48930.138961753924</v>
      </c>
    </row>
    <row r="76" spans="2:7" x14ac:dyDescent="0.2">
      <c r="B76" t="s">
        <v>203</v>
      </c>
      <c r="C76" s="5">
        <f t="shared" si="6"/>
        <v>10562.202315662378</v>
      </c>
      <c r="D76" s="18">
        <f t="shared" si="3"/>
        <v>14516.257541525732</v>
      </c>
      <c r="E76" s="18">
        <f t="shared" si="4"/>
        <v>18849.468747951316</v>
      </c>
      <c r="F76" s="18">
        <f t="shared" si="5"/>
        <v>7448.7173047021979</v>
      </c>
      <c r="G76" s="6">
        <f t="shared" si="2"/>
        <v>51376.645909841631</v>
      </c>
    </row>
    <row r="77" spans="2:7" x14ac:dyDescent="0.2">
      <c r="D77" s="5"/>
      <c r="E77" s="5"/>
      <c r="F77" s="5"/>
    </row>
    <row r="78" spans="2:7" x14ac:dyDescent="0.2">
      <c r="D78" s="5"/>
      <c r="E78" s="5"/>
      <c r="F78" s="5"/>
    </row>
    <row r="79" spans="2:7" x14ac:dyDescent="0.2">
      <c r="D79" s="5"/>
      <c r="E79" s="5"/>
      <c r="F79" s="5"/>
    </row>
    <row r="80" spans="2:7" x14ac:dyDescent="0.2">
      <c r="D80" s="5"/>
      <c r="E80" s="5"/>
      <c r="F80" s="5"/>
    </row>
    <row r="81" spans="4:6" x14ac:dyDescent="0.2">
      <c r="D81" s="5"/>
      <c r="E81" s="5"/>
      <c r="F81" s="5"/>
    </row>
    <row r="82" spans="4:6" x14ac:dyDescent="0.2">
      <c r="D82" s="5"/>
      <c r="E82" s="5"/>
      <c r="F82" s="5"/>
    </row>
    <row r="83" spans="4:6" x14ac:dyDescent="0.2">
      <c r="D83" s="5"/>
      <c r="E83" s="5"/>
      <c r="F83" s="5"/>
    </row>
    <row r="84" spans="4:6" x14ac:dyDescent="0.2">
      <c r="D84" s="5"/>
      <c r="E84" s="5"/>
      <c r="F84" s="5"/>
    </row>
    <row r="85" spans="4:6" x14ac:dyDescent="0.2">
      <c r="D85" s="5"/>
      <c r="E85" s="5"/>
      <c r="F85" s="5"/>
    </row>
    <row r="86" spans="4:6" x14ac:dyDescent="0.2">
      <c r="D86" s="5"/>
      <c r="E86" s="5"/>
      <c r="F86" s="5"/>
    </row>
    <row r="87" spans="4:6" x14ac:dyDescent="0.2">
      <c r="D87" s="5"/>
      <c r="E87" s="5"/>
      <c r="F87" s="5"/>
    </row>
    <row r="88" spans="4:6" x14ac:dyDescent="0.2">
      <c r="D88" s="5"/>
      <c r="E88" s="5"/>
      <c r="F88" s="5"/>
    </row>
    <row r="89" spans="4:6" x14ac:dyDescent="0.2">
      <c r="D89" s="5"/>
      <c r="E89" s="5"/>
      <c r="F89" s="5"/>
    </row>
    <row r="90" spans="4:6" x14ac:dyDescent="0.2">
      <c r="D90" s="5"/>
      <c r="E90" s="5"/>
      <c r="F90" s="5"/>
    </row>
    <row r="91" spans="4:6" x14ac:dyDescent="0.2">
      <c r="D91" s="5"/>
      <c r="E91" s="5"/>
      <c r="F91" s="5"/>
    </row>
    <row r="92" spans="4:6" x14ac:dyDescent="0.2">
      <c r="D92" s="5"/>
      <c r="E92" s="5"/>
      <c r="F92" s="5"/>
    </row>
    <row r="93" spans="4:6" x14ac:dyDescent="0.2">
      <c r="D93" s="5"/>
      <c r="E93" s="5"/>
      <c r="F93" s="5"/>
    </row>
    <row r="94" spans="4:6" x14ac:dyDescent="0.2">
      <c r="D94" s="5"/>
      <c r="E94" s="5"/>
      <c r="F94" s="5"/>
    </row>
    <row r="95" spans="4:6" x14ac:dyDescent="0.2">
      <c r="D95" s="5"/>
      <c r="E95" s="5"/>
      <c r="F95" s="5"/>
    </row>
    <row r="96" spans="4:6" x14ac:dyDescent="0.2">
      <c r="D96" s="5"/>
      <c r="E96" s="5"/>
      <c r="F96" s="5"/>
    </row>
    <row r="97" spans="4:6" x14ac:dyDescent="0.2">
      <c r="D97" s="5"/>
      <c r="E97" s="5"/>
      <c r="F97" s="5"/>
    </row>
    <row r="98" spans="4:6" x14ac:dyDescent="0.2">
      <c r="D98" s="5"/>
      <c r="E98" s="5"/>
      <c r="F98" s="5"/>
    </row>
    <row r="99" spans="4:6" x14ac:dyDescent="0.2">
      <c r="D99" s="5"/>
      <c r="E99" s="5"/>
      <c r="F99" s="5"/>
    </row>
    <row r="100" spans="4:6" x14ac:dyDescent="0.2">
      <c r="D100" s="5"/>
      <c r="E100" s="5"/>
      <c r="F100" s="5"/>
    </row>
    <row r="101" spans="4:6" x14ac:dyDescent="0.2">
      <c r="D101" s="5"/>
      <c r="E101" s="5"/>
      <c r="F101" s="5"/>
    </row>
  </sheetData>
  <mergeCells count="10">
    <mergeCell ref="D7:G7"/>
    <mergeCell ref="B15:G15"/>
    <mergeCell ref="M14:N14"/>
    <mergeCell ref="M13:N13"/>
    <mergeCell ref="M11:N11"/>
    <mergeCell ref="M12:N12"/>
    <mergeCell ref="M10:N10"/>
    <mergeCell ref="M9:N9"/>
    <mergeCell ref="M15:N15"/>
    <mergeCell ref="M8:N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L25"/>
  <sheetViews>
    <sheetView topLeftCell="B1" workbookViewId="0">
      <selection activeCell="M20" sqref="M20"/>
    </sheetView>
  </sheetViews>
  <sheetFormatPr baseColWidth="10" defaultRowHeight="16" x14ac:dyDescent="0.2"/>
  <cols>
    <col min="1" max="1" width="1.5" customWidth="1"/>
    <col min="2" max="2" width="5.33203125" customWidth="1"/>
    <col min="3" max="3" width="30.6640625" customWidth="1"/>
    <col min="4" max="4" width="19.1640625" style="12" customWidth="1"/>
    <col min="5" max="5" width="1.83203125" customWidth="1"/>
    <col min="6" max="6" width="5.6640625" customWidth="1"/>
    <col min="7" max="7" width="29.83203125" customWidth="1"/>
    <col min="8" max="8" width="12.6640625" style="11" customWidth="1"/>
    <col min="9" max="9" width="2" style="11" customWidth="1"/>
    <col min="10" max="10" width="5.33203125" customWidth="1"/>
    <col min="11" max="11" width="29.83203125" customWidth="1"/>
    <col min="12" max="12" width="12.83203125" style="9" customWidth="1"/>
  </cols>
  <sheetData>
    <row r="1" spans="2:12" x14ac:dyDescent="0.2">
      <c r="B1" s="65" t="s">
        <v>251</v>
      </c>
    </row>
    <row r="3" spans="2:12" x14ac:dyDescent="0.2">
      <c r="B3" s="160" t="s">
        <v>28</v>
      </c>
      <c r="C3" s="160"/>
      <c r="D3" s="160"/>
      <c r="F3" s="161" t="s">
        <v>58</v>
      </c>
      <c r="G3" s="161"/>
      <c r="H3" s="161"/>
      <c r="I3" s="2"/>
      <c r="J3" s="162" t="s">
        <v>224</v>
      </c>
      <c r="K3" s="162"/>
      <c r="L3" s="162"/>
    </row>
    <row r="5" spans="2:12" x14ac:dyDescent="0.2">
      <c r="B5" s="66" t="s">
        <v>59</v>
      </c>
      <c r="C5" s="66" t="s">
        <v>223</v>
      </c>
      <c r="D5" s="67" t="s">
        <v>33</v>
      </c>
      <c r="F5" s="68" t="s">
        <v>59</v>
      </c>
      <c r="G5" s="68" t="s">
        <v>223</v>
      </c>
      <c r="H5" s="69" t="s">
        <v>84</v>
      </c>
      <c r="J5" s="61" t="s">
        <v>59</v>
      </c>
      <c r="K5" s="61" t="s">
        <v>223</v>
      </c>
      <c r="L5" s="62" t="s">
        <v>134</v>
      </c>
    </row>
    <row r="6" spans="2:12" x14ac:dyDescent="0.2">
      <c r="B6" t="s">
        <v>60</v>
      </c>
      <c r="C6" t="s">
        <v>25</v>
      </c>
      <c r="D6" s="12">
        <v>500</v>
      </c>
      <c r="F6" t="s">
        <v>61</v>
      </c>
      <c r="G6" t="s">
        <v>62</v>
      </c>
      <c r="H6" s="11">
        <f>400*12</f>
        <v>4800</v>
      </c>
      <c r="J6" t="s">
        <v>61</v>
      </c>
      <c r="K6" t="s">
        <v>62</v>
      </c>
      <c r="L6" s="9">
        <f>2000*12</f>
        <v>24000</v>
      </c>
    </row>
    <row r="7" spans="2:12" x14ac:dyDescent="0.2">
      <c r="B7" t="s">
        <v>60</v>
      </c>
      <c r="C7" t="s">
        <v>26</v>
      </c>
      <c r="D7" s="12">
        <v>5000</v>
      </c>
      <c r="F7" t="s">
        <v>61</v>
      </c>
      <c r="G7" t="s">
        <v>63</v>
      </c>
      <c r="H7" s="11">
        <v>6000</v>
      </c>
      <c r="J7" t="s">
        <v>61</v>
      </c>
      <c r="K7" t="s">
        <v>83</v>
      </c>
      <c r="L7" s="9">
        <v>25000</v>
      </c>
    </row>
    <row r="8" spans="2:12" x14ac:dyDescent="0.2">
      <c r="B8" t="s">
        <v>60</v>
      </c>
      <c r="C8" t="s">
        <v>36</v>
      </c>
      <c r="D8" s="12">
        <f>3*50*7*5*26</f>
        <v>136500</v>
      </c>
      <c r="F8" t="s">
        <v>88</v>
      </c>
      <c r="G8" t="s">
        <v>64</v>
      </c>
      <c r="H8" s="11">
        <f>5*50*8*5*52</f>
        <v>520000</v>
      </c>
      <c r="J8" t="s">
        <v>88</v>
      </c>
      <c r="K8" t="s">
        <v>64</v>
      </c>
      <c r="L8" s="9">
        <f>Sheet9!P15*8*5*52</f>
        <v>3900000</v>
      </c>
    </row>
    <row r="9" spans="2:12" x14ac:dyDescent="0.2">
      <c r="B9" t="s">
        <v>60</v>
      </c>
      <c r="C9" t="s">
        <v>37</v>
      </c>
      <c r="D9" s="12">
        <v>15000</v>
      </c>
      <c r="F9" t="s">
        <v>61</v>
      </c>
      <c r="G9" t="s">
        <v>65</v>
      </c>
      <c r="H9" s="11">
        <v>5000</v>
      </c>
      <c r="J9" t="s">
        <v>61</v>
      </c>
      <c r="K9" t="s">
        <v>87</v>
      </c>
      <c r="L9" s="9">
        <f>H9*2</f>
        <v>10000</v>
      </c>
    </row>
    <row r="10" spans="2:12" x14ac:dyDescent="0.2">
      <c r="B10" t="s">
        <v>61</v>
      </c>
      <c r="C10" t="s">
        <v>29</v>
      </c>
      <c r="D10" s="12">
        <v>500</v>
      </c>
      <c r="F10" t="s">
        <v>60</v>
      </c>
      <c r="G10" t="s">
        <v>37</v>
      </c>
      <c r="H10" s="11">
        <v>30000</v>
      </c>
      <c r="J10" t="s">
        <v>60</v>
      </c>
      <c r="K10" t="s">
        <v>37</v>
      </c>
      <c r="L10" s="9">
        <v>500000</v>
      </c>
    </row>
    <row r="11" spans="2:12" x14ac:dyDescent="0.2">
      <c r="B11" t="s">
        <v>61</v>
      </c>
      <c r="C11" t="s">
        <v>30</v>
      </c>
      <c r="D11" s="12">
        <v>7500</v>
      </c>
      <c r="F11" t="s">
        <v>61</v>
      </c>
      <c r="G11" t="s">
        <v>80</v>
      </c>
      <c r="H11" s="11">
        <v>25000</v>
      </c>
      <c r="J11" t="s">
        <v>61</v>
      </c>
      <c r="K11" t="s">
        <v>80</v>
      </c>
      <c r="L11" s="9">
        <v>120000</v>
      </c>
    </row>
    <row r="12" spans="2:12" x14ac:dyDescent="0.2">
      <c r="B12" t="s">
        <v>61</v>
      </c>
      <c r="C12" t="s">
        <v>31</v>
      </c>
      <c r="D12" s="12">
        <f>50*200</f>
        <v>10000</v>
      </c>
      <c r="F12" t="s">
        <v>61</v>
      </c>
      <c r="G12" t="s">
        <v>81</v>
      </c>
      <c r="H12" s="11">
        <v>250000</v>
      </c>
      <c r="J12" t="s">
        <v>61</v>
      </c>
      <c r="K12" t="s">
        <v>85</v>
      </c>
      <c r="L12" s="9">
        <v>250000</v>
      </c>
    </row>
    <row r="13" spans="2:12" x14ac:dyDescent="0.2">
      <c r="B13" t="s">
        <v>61</v>
      </c>
      <c r="C13" t="s">
        <v>27</v>
      </c>
      <c r="D13" s="12">
        <v>5000</v>
      </c>
      <c r="F13" t="s">
        <v>61</v>
      </c>
      <c r="G13" t="s">
        <v>27</v>
      </c>
      <c r="H13" s="11">
        <v>25000</v>
      </c>
      <c r="J13" t="s">
        <v>61</v>
      </c>
      <c r="K13" t="s">
        <v>27</v>
      </c>
      <c r="L13" s="9">
        <f>H13*10</f>
        <v>250000</v>
      </c>
    </row>
    <row r="14" spans="2:12" x14ac:dyDescent="0.2">
      <c r="B14" t="s">
        <v>61</v>
      </c>
      <c r="C14" t="s">
        <v>38</v>
      </c>
      <c r="D14" s="12">
        <v>3000</v>
      </c>
      <c r="F14" t="s">
        <v>61</v>
      </c>
      <c r="G14" t="s">
        <v>86</v>
      </c>
      <c r="H14" s="11">
        <f>(2*50*8*5*52)*1.4</f>
        <v>291200</v>
      </c>
      <c r="J14" t="s">
        <v>61</v>
      </c>
      <c r="K14" t="s">
        <v>86</v>
      </c>
      <c r="L14" s="9">
        <f>(15*52.5*8*5*52)*1.4</f>
        <v>2293200</v>
      </c>
    </row>
    <row r="15" spans="2:12" x14ac:dyDescent="0.2">
      <c r="B15" t="s">
        <v>61</v>
      </c>
      <c r="C15" t="s">
        <v>39</v>
      </c>
      <c r="D15" s="12">
        <v>1500</v>
      </c>
      <c r="F15" t="s">
        <v>61</v>
      </c>
      <c r="G15" t="s">
        <v>82</v>
      </c>
      <c r="H15" s="11">
        <v>25000</v>
      </c>
      <c r="J15" t="s">
        <v>61</v>
      </c>
      <c r="K15" t="s">
        <v>82</v>
      </c>
      <c r="L15" s="9">
        <v>500000</v>
      </c>
    </row>
    <row r="16" spans="2:12" x14ac:dyDescent="0.2">
      <c r="B16" t="s">
        <v>61</v>
      </c>
      <c r="C16" t="s">
        <v>40</v>
      </c>
      <c r="D16" s="12">
        <f>2*50*8*5*26</f>
        <v>104000</v>
      </c>
      <c r="F16" t="s">
        <v>61</v>
      </c>
      <c r="G16" t="s">
        <v>26</v>
      </c>
      <c r="H16" s="11">
        <v>25000</v>
      </c>
      <c r="J16" t="s">
        <v>61</v>
      </c>
      <c r="K16" t="s">
        <v>26</v>
      </c>
      <c r="L16" s="9">
        <v>300000</v>
      </c>
    </row>
    <row r="17" spans="2:12" x14ac:dyDescent="0.2">
      <c r="B17" t="s">
        <v>61</v>
      </c>
      <c r="C17" t="s">
        <v>35</v>
      </c>
      <c r="D17" s="12">
        <v>500</v>
      </c>
      <c r="F17" t="s">
        <v>61</v>
      </c>
      <c r="G17" t="s">
        <v>119</v>
      </c>
      <c r="H17" s="11">
        <v>5000</v>
      </c>
      <c r="J17" t="s">
        <v>61</v>
      </c>
      <c r="K17" t="s">
        <v>35</v>
      </c>
      <c r="L17" s="9">
        <f>65*20*12</f>
        <v>15600</v>
      </c>
    </row>
    <row r="18" spans="2:12" x14ac:dyDescent="0.2">
      <c r="B18" t="s">
        <v>61</v>
      </c>
      <c r="C18" t="s">
        <v>120</v>
      </c>
      <c r="D18" s="12">
        <v>600</v>
      </c>
      <c r="F18" t="s">
        <v>61</v>
      </c>
      <c r="G18" t="s">
        <v>120</v>
      </c>
      <c r="H18" s="11">
        <v>1200</v>
      </c>
      <c r="J18" t="s">
        <v>61</v>
      </c>
      <c r="K18" t="s">
        <v>120</v>
      </c>
      <c r="L18" s="9">
        <f>H18*12</f>
        <v>14400</v>
      </c>
    </row>
    <row r="20" spans="2:12" x14ac:dyDescent="0.2">
      <c r="C20" s="57" t="s">
        <v>32</v>
      </c>
      <c r="D20" s="58">
        <f>SUM(D6:D18)</f>
        <v>289600</v>
      </c>
      <c r="G20" s="59" t="s">
        <v>32</v>
      </c>
      <c r="H20" s="60">
        <f>SUM(H6:H19)</f>
        <v>1213200</v>
      </c>
      <c r="K20" s="63" t="s">
        <v>32</v>
      </c>
      <c r="L20" s="64">
        <f>SUM(L6:L18)</f>
        <v>8202200</v>
      </c>
    </row>
    <row r="23" spans="2:12" x14ac:dyDescent="0.2">
      <c r="C23" t="s">
        <v>116</v>
      </c>
      <c r="D23" s="12">
        <f>SUM(D6:D9)</f>
        <v>157000</v>
      </c>
      <c r="G23" t="s">
        <v>116</v>
      </c>
      <c r="H23" s="11">
        <f>H10</f>
        <v>30000</v>
      </c>
      <c r="K23" t="s">
        <v>116</v>
      </c>
      <c r="L23" s="11">
        <f>L10</f>
        <v>500000</v>
      </c>
    </row>
    <row r="24" spans="2:12" x14ac:dyDescent="0.2">
      <c r="C24" t="s">
        <v>117</v>
      </c>
      <c r="G24" t="s">
        <v>117</v>
      </c>
      <c r="K24" t="s">
        <v>117</v>
      </c>
      <c r="L24" s="11"/>
    </row>
    <row r="25" spans="2:12" x14ac:dyDescent="0.2">
      <c r="C25" t="s">
        <v>118</v>
      </c>
      <c r="D25" s="12">
        <f>D23/60</f>
        <v>2616.6666666666665</v>
      </c>
      <c r="G25" t="s">
        <v>118</v>
      </c>
      <c r="H25" s="11">
        <f>H23/60</f>
        <v>500</v>
      </c>
      <c r="K25" t="s">
        <v>118</v>
      </c>
      <c r="L25" s="11">
        <f>L23/60</f>
        <v>8333.3333333333339</v>
      </c>
    </row>
  </sheetData>
  <mergeCells count="3">
    <mergeCell ref="B3:D3"/>
    <mergeCell ref="F3:H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G31"/>
  <sheetViews>
    <sheetView topLeftCell="A6" workbookViewId="0">
      <selection activeCell="J10" sqref="J10"/>
    </sheetView>
  </sheetViews>
  <sheetFormatPr baseColWidth="10" defaultRowHeight="16" x14ac:dyDescent="0.2"/>
  <cols>
    <col min="1" max="1" width="21.6640625" customWidth="1"/>
    <col min="2" max="7" width="11" customWidth="1"/>
  </cols>
  <sheetData>
    <row r="2" spans="1:7" x14ac:dyDescent="0.2">
      <c r="A2" s="163" t="s">
        <v>237</v>
      </c>
      <c r="B2" s="163"/>
      <c r="C2" s="163"/>
      <c r="D2" s="163"/>
      <c r="E2" s="163"/>
      <c r="F2" s="163"/>
      <c r="G2" s="163"/>
    </row>
    <row r="4" spans="1:7" x14ac:dyDescent="0.2">
      <c r="B4" s="73" t="s">
        <v>28</v>
      </c>
      <c r="C4" s="73" t="s">
        <v>225</v>
      </c>
      <c r="D4" s="73" t="s">
        <v>226</v>
      </c>
      <c r="E4" s="73" t="s">
        <v>227</v>
      </c>
      <c r="F4" s="73" t="s">
        <v>228</v>
      </c>
      <c r="G4" s="73" t="s">
        <v>229</v>
      </c>
    </row>
    <row r="5" spans="1:7" x14ac:dyDescent="0.2">
      <c r="A5" t="s">
        <v>116</v>
      </c>
      <c r="B5" s="17">
        <f>'Expense Assumptions'!D23</f>
        <v>157000</v>
      </c>
      <c r="C5" s="17">
        <f>'Expense Assumptions'!H23</f>
        <v>30000</v>
      </c>
      <c r="D5" s="17">
        <f>'Expense Assumptions'!H23</f>
        <v>30000</v>
      </c>
      <c r="E5" s="17">
        <f>'Expense Assumptions'!L23</f>
        <v>500000</v>
      </c>
      <c r="F5" s="17">
        <f>E5</f>
        <v>500000</v>
      </c>
      <c r="G5" s="17">
        <f>F5</f>
        <v>500000</v>
      </c>
    </row>
    <row r="6" spans="1:7" x14ac:dyDescent="0.2">
      <c r="A6" t="s">
        <v>230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</row>
    <row r="7" spans="1:7" x14ac:dyDescent="0.2">
      <c r="A7" t="s">
        <v>231</v>
      </c>
      <c r="B7" s="6">
        <f>B5/60</f>
        <v>2616.6666666666665</v>
      </c>
      <c r="C7" s="6">
        <f t="shared" ref="C7:G7" si="0">C5/60</f>
        <v>500</v>
      </c>
      <c r="D7" s="6">
        <f t="shared" si="0"/>
        <v>500</v>
      </c>
      <c r="E7" s="6">
        <f t="shared" si="0"/>
        <v>8333.3333333333339</v>
      </c>
      <c r="F7" s="6">
        <f t="shared" si="0"/>
        <v>8333.3333333333339</v>
      </c>
      <c r="G7" s="6">
        <f t="shared" si="0"/>
        <v>8333.3333333333339</v>
      </c>
    </row>
    <row r="10" spans="1:7" x14ac:dyDescent="0.2">
      <c r="B10" s="16">
        <v>1</v>
      </c>
      <c r="C10" s="6">
        <f>$B$7</f>
        <v>2616.6666666666665</v>
      </c>
      <c r="D10" s="6">
        <f>C10+$C$7</f>
        <v>3116.6666666666665</v>
      </c>
      <c r="E10" s="6">
        <f>D10+$D$7</f>
        <v>3616.6666666666665</v>
      </c>
      <c r="F10" s="6">
        <f>E10+$E$7</f>
        <v>11950</v>
      </c>
      <c r="G10" s="6">
        <f>F10+$F$7</f>
        <v>20283.333333333336</v>
      </c>
    </row>
    <row r="11" spans="1:7" x14ac:dyDescent="0.2">
      <c r="B11" s="16">
        <v>2</v>
      </c>
      <c r="C11" s="6">
        <f t="shared" ref="C11:C21" si="1">$B$7</f>
        <v>2616.6666666666665</v>
      </c>
      <c r="D11" s="6">
        <f t="shared" ref="D11:D21" si="2">C11+$C$7</f>
        <v>3116.6666666666665</v>
      </c>
      <c r="E11" s="6">
        <f t="shared" ref="E11:E21" si="3">D11+$D$7</f>
        <v>3616.6666666666665</v>
      </c>
      <c r="F11" s="6">
        <f t="shared" ref="F11:F21" si="4">E11+$E$7</f>
        <v>11950</v>
      </c>
      <c r="G11" s="6">
        <f t="shared" ref="G11:G21" si="5">F11+$F$7</f>
        <v>20283.333333333336</v>
      </c>
    </row>
    <row r="12" spans="1:7" x14ac:dyDescent="0.2">
      <c r="B12" s="16">
        <v>3</v>
      </c>
      <c r="C12" s="6">
        <f t="shared" si="1"/>
        <v>2616.6666666666665</v>
      </c>
      <c r="D12" s="6">
        <f t="shared" si="2"/>
        <v>3116.6666666666665</v>
      </c>
      <c r="E12" s="6">
        <f t="shared" si="3"/>
        <v>3616.6666666666665</v>
      </c>
      <c r="F12" s="6">
        <f t="shared" si="4"/>
        <v>11950</v>
      </c>
      <c r="G12" s="6">
        <f t="shared" si="5"/>
        <v>20283.333333333336</v>
      </c>
    </row>
    <row r="13" spans="1:7" x14ac:dyDescent="0.2">
      <c r="B13" s="16">
        <v>4</v>
      </c>
      <c r="C13" s="6">
        <f t="shared" si="1"/>
        <v>2616.6666666666665</v>
      </c>
      <c r="D13" s="6">
        <f t="shared" si="2"/>
        <v>3116.6666666666665</v>
      </c>
      <c r="E13" s="6">
        <f t="shared" si="3"/>
        <v>3616.6666666666665</v>
      </c>
      <c r="F13" s="6">
        <f t="shared" si="4"/>
        <v>11950</v>
      </c>
      <c r="G13" s="6">
        <f t="shared" si="5"/>
        <v>20283.333333333336</v>
      </c>
    </row>
    <row r="14" spans="1:7" x14ac:dyDescent="0.2">
      <c r="B14" s="16">
        <v>5</v>
      </c>
      <c r="C14" s="6">
        <f t="shared" si="1"/>
        <v>2616.6666666666665</v>
      </c>
      <c r="D14" s="6">
        <f t="shared" si="2"/>
        <v>3116.6666666666665</v>
      </c>
      <c r="E14" s="6">
        <f t="shared" si="3"/>
        <v>3616.6666666666665</v>
      </c>
      <c r="F14" s="6">
        <f t="shared" si="4"/>
        <v>11950</v>
      </c>
      <c r="G14" s="6">
        <f t="shared" si="5"/>
        <v>20283.333333333336</v>
      </c>
    </row>
    <row r="15" spans="1:7" x14ac:dyDescent="0.2">
      <c r="B15" s="16">
        <v>6</v>
      </c>
      <c r="C15" s="6">
        <f t="shared" si="1"/>
        <v>2616.6666666666665</v>
      </c>
      <c r="D15" s="6">
        <f t="shared" si="2"/>
        <v>3116.6666666666665</v>
      </c>
      <c r="E15" s="6">
        <f t="shared" si="3"/>
        <v>3616.6666666666665</v>
      </c>
      <c r="F15" s="6">
        <f t="shared" si="4"/>
        <v>11950</v>
      </c>
      <c r="G15" s="6">
        <f t="shared" si="5"/>
        <v>20283.333333333336</v>
      </c>
    </row>
    <row r="16" spans="1:7" x14ac:dyDescent="0.2">
      <c r="B16" s="16">
        <v>7</v>
      </c>
      <c r="C16" s="6">
        <f t="shared" si="1"/>
        <v>2616.6666666666665</v>
      </c>
      <c r="D16" s="6">
        <f t="shared" si="2"/>
        <v>3116.6666666666665</v>
      </c>
      <c r="E16" s="6">
        <f t="shared" si="3"/>
        <v>3616.6666666666665</v>
      </c>
      <c r="F16" s="6">
        <f t="shared" si="4"/>
        <v>11950</v>
      </c>
      <c r="G16" s="6">
        <f t="shared" si="5"/>
        <v>20283.333333333336</v>
      </c>
    </row>
    <row r="17" spans="2:7" x14ac:dyDescent="0.2">
      <c r="B17" s="16">
        <v>8</v>
      </c>
      <c r="C17" s="6">
        <f t="shared" si="1"/>
        <v>2616.6666666666665</v>
      </c>
      <c r="D17" s="6">
        <f t="shared" si="2"/>
        <v>3116.6666666666665</v>
      </c>
      <c r="E17" s="6">
        <f t="shared" si="3"/>
        <v>3616.6666666666665</v>
      </c>
      <c r="F17" s="6">
        <f t="shared" si="4"/>
        <v>11950</v>
      </c>
      <c r="G17" s="6">
        <f t="shared" si="5"/>
        <v>20283.333333333336</v>
      </c>
    </row>
    <row r="18" spans="2:7" x14ac:dyDescent="0.2">
      <c r="B18" s="16">
        <v>9</v>
      </c>
      <c r="C18" s="6">
        <f t="shared" si="1"/>
        <v>2616.6666666666665</v>
      </c>
      <c r="D18" s="6">
        <f t="shared" si="2"/>
        <v>3116.6666666666665</v>
      </c>
      <c r="E18" s="6">
        <f t="shared" si="3"/>
        <v>3616.6666666666665</v>
      </c>
      <c r="F18" s="6">
        <f t="shared" si="4"/>
        <v>11950</v>
      </c>
      <c r="G18" s="6">
        <f t="shared" si="5"/>
        <v>20283.333333333336</v>
      </c>
    </row>
    <row r="19" spans="2:7" x14ac:dyDescent="0.2">
      <c r="B19" s="16">
        <v>10</v>
      </c>
      <c r="C19" s="6">
        <f t="shared" si="1"/>
        <v>2616.6666666666665</v>
      </c>
      <c r="D19" s="6">
        <f t="shared" si="2"/>
        <v>3116.6666666666665</v>
      </c>
      <c r="E19" s="6">
        <f t="shared" si="3"/>
        <v>3616.6666666666665</v>
      </c>
      <c r="F19" s="6">
        <f t="shared" si="4"/>
        <v>11950</v>
      </c>
      <c r="G19" s="6">
        <f t="shared" si="5"/>
        <v>20283.333333333336</v>
      </c>
    </row>
    <row r="20" spans="2:7" x14ac:dyDescent="0.2">
      <c r="B20" s="16">
        <v>11</v>
      </c>
      <c r="C20" s="6">
        <f t="shared" si="1"/>
        <v>2616.6666666666665</v>
      </c>
      <c r="D20" s="6">
        <f t="shared" si="2"/>
        <v>3116.6666666666665</v>
      </c>
      <c r="E20" s="6">
        <f t="shared" si="3"/>
        <v>3616.6666666666665</v>
      </c>
      <c r="F20" s="6">
        <f t="shared" si="4"/>
        <v>11950</v>
      </c>
      <c r="G20" s="6">
        <f t="shared" si="5"/>
        <v>20283.333333333336</v>
      </c>
    </row>
    <row r="21" spans="2:7" x14ac:dyDescent="0.2">
      <c r="B21" s="16">
        <v>12</v>
      </c>
      <c r="C21" s="6">
        <f t="shared" si="1"/>
        <v>2616.6666666666665</v>
      </c>
      <c r="D21" s="6">
        <f t="shared" si="2"/>
        <v>3116.6666666666665</v>
      </c>
      <c r="E21" s="6">
        <f t="shared" si="3"/>
        <v>3616.6666666666665</v>
      </c>
      <c r="F21" s="6">
        <f t="shared" si="4"/>
        <v>11950</v>
      </c>
      <c r="G21" s="6">
        <f t="shared" si="5"/>
        <v>20283.333333333336</v>
      </c>
    </row>
    <row r="23" spans="2:7" x14ac:dyDescent="0.2">
      <c r="B23" s="16" t="s">
        <v>32</v>
      </c>
      <c r="C23" s="6">
        <f>SUM(C10:C21)</f>
        <v>31400.000000000004</v>
      </c>
      <c r="D23" s="6">
        <f t="shared" ref="D23:G23" si="6">SUM(D10:D21)</f>
        <v>37400</v>
      </c>
      <c r="E23" s="6">
        <f t="shared" si="6"/>
        <v>43400</v>
      </c>
      <c r="F23" s="6">
        <f t="shared" si="6"/>
        <v>143400</v>
      </c>
      <c r="G23" s="6">
        <f t="shared" si="6"/>
        <v>243400.00000000009</v>
      </c>
    </row>
    <row r="25" spans="2:7" x14ac:dyDescent="0.2">
      <c r="B25" s="16" t="s">
        <v>232</v>
      </c>
    </row>
    <row r="26" spans="2:7" x14ac:dyDescent="0.2">
      <c r="B26" s="16" t="s">
        <v>28</v>
      </c>
      <c r="C26" s="9">
        <f>B5-C23</f>
        <v>125600</v>
      </c>
      <c r="D26" s="9">
        <f>C26-C23</f>
        <v>94200</v>
      </c>
      <c r="E26" s="9">
        <f>D26-C23</f>
        <v>62800</v>
      </c>
      <c r="F26" s="9">
        <f>E26-C23</f>
        <v>31399.999999999996</v>
      </c>
      <c r="G26" s="9">
        <f>F26-C23</f>
        <v>0</v>
      </c>
    </row>
    <row r="27" spans="2:7" x14ac:dyDescent="0.2">
      <c r="B27" s="16" t="s">
        <v>84</v>
      </c>
      <c r="C27" s="9"/>
      <c r="D27" s="9">
        <f>$C$5-(D23-C23)</f>
        <v>24000.000000000004</v>
      </c>
      <c r="E27" s="9">
        <f>$C$5-(E23-C23)</f>
        <v>18000.000000000004</v>
      </c>
      <c r="F27" s="9">
        <v>12000</v>
      </c>
      <c r="G27" s="9">
        <v>6000</v>
      </c>
    </row>
    <row r="28" spans="2:7" x14ac:dyDescent="0.2">
      <c r="B28" s="16" t="s">
        <v>233</v>
      </c>
      <c r="C28" s="9"/>
      <c r="D28" s="9"/>
      <c r="E28" s="9">
        <f>D5-(E23-D23)</f>
        <v>24000</v>
      </c>
      <c r="F28" s="9">
        <v>18000</v>
      </c>
      <c r="G28" s="9">
        <v>12000</v>
      </c>
    </row>
    <row r="29" spans="2:7" x14ac:dyDescent="0.2">
      <c r="B29" s="16" t="s">
        <v>234</v>
      </c>
      <c r="C29" s="9"/>
      <c r="D29" s="9"/>
      <c r="E29" s="9"/>
      <c r="F29" s="14">
        <f>E5-(12*E7)</f>
        <v>400000</v>
      </c>
      <c r="G29" s="9">
        <v>300000</v>
      </c>
    </row>
    <row r="30" spans="2:7" x14ac:dyDescent="0.2">
      <c r="B30" s="16" t="s">
        <v>235</v>
      </c>
      <c r="C30" s="9"/>
      <c r="D30" s="9"/>
      <c r="E30" s="9"/>
      <c r="F30" s="9"/>
      <c r="G30" s="9">
        <v>400000</v>
      </c>
    </row>
    <row r="31" spans="2:7" x14ac:dyDescent="0.2">
      <c r="B31" s="71" t="s">
        <v>236</v>
      </c>
      <c r="C31" s="72"/>
      <c r="D31" s="72"/>
      <c r="E31" s="72"/>
      <c r="F31" s="72"/>
      <c r="G31" s="72">
        <f>SUM(G26:G30)</f>
        <v>718000</v>
      </c>
    </row>
  </sheetData>
  <mergeCells count="1">
    <mergeCell ref="A2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O34"/>
  <sheetViews>
    <sheetView workbookViewId="0">
      <selection activeCell="O16" sqref="O16:O18"/>
    </sheetView>
  </sheetViews>
  <sheetFormatPr baseColWidth="10" defaultRowHeight="16" outlineLevelRow="1" x14ac:dyDescent="0.2"/>
  <cols>
    <col min="1" max="1" width="1.5" customWidth="1"/>
    <col min="2" max="2" width="27.5" customWidth="1"/>
    <col min="3" max="3" width="8.5" customWidth="1"/>
    <col min="4" max="11" width="8.83203125" customWidth="1"/>
    <col min="12" max="14" width="9.83203125" customWidth="1"/>
    <col min="15" max="15" width="14.83203125" bestFit="1" customWidth="1"/>
  </cols>
  <sheetData>
    <row r="2" spans="2:15" x14ac:dyDescent="0.2">
      <c r="B2" s="86" t="s">
        <v>90</v>
      </c>
      <c r="C2" s="86"/>
      <c r="D2" s="87"/>
      <c r="E2" s="87"/>
      <c r="F2" s="87" t="s">
        <v>103</v>
      </c>
      <c r="G2" s="88">
        <v>26047</v>
      </c>
      <c r="H2" s="89"/>
      <c r="I2" s="89"/>
      <c r="J2" s="89"/>
      <c r="K2" s="89"/>
      <c r="L2" s="164" t="s">
        <v>253</v>
      </c>
      <c r="M2" s="164"/>
      <c r="N2" s="164"/>
      <c r="O2" s="164"/>
    </row>
    <row r="4" spans="2:15" x14ac:dyDescent="0.2">
      <c r="B4" s="84" t="s">
        <v>252</v>
      </c>
      <c r="C4" s="84" t="s">
        <v>91</v>
      </c>
      <c r="D4" s="84" t="s">
        <v>92</v>
      </c>
      <c r="E4" s="84" t="s">
        <v>93</v>
      </c>
      <c r="F4" s="84" t="s">
        <v>94</v>
      </c>
      <c r="G4" s="84" t="s">
        <v>95</v>
      </c>
      <c r="H4" s="84" t="s">
        <v>96</v>
      </c>
      <c r="I4" s="84" t="s">
        <v>97</v>
      </c>
      <c r="J4" s="84" t="s">
        <v>98</v>
      </c>
      <c r="K4" s="84" t="s">
        <v>99</v>
      </c>
      <c r="L4" s="84" t="s">
        <v>100</v>
      </c>
      <c r="M4" s="84" t="s">
        <v>101</v>
      </c>
      <c r="N4" s="84" t="s">
        <v>102</v>
      </c>
      <c r="O4" s="85" t="s">
        <v>32</v>
      </c>
    </row>
    <row r="6" spans="2:15" x14ac:dyDescent="0.2">
      <c r="B6" t="s">
        <v>121</v>
      </c>
      <c r="C6">
        <v>5</v>
      </c>
      <c r="D6">
        <v>15</v>
      </c>
      <c r="E6">
        <v>25</v>
      </c>
      <c r="F6">
        <v>40</v>
      </c>
      <c r="G6">
        <v>50</v>
      </c>
      <c r="H6">
        <v>70</v>
      </c>
      <c r="I6">
        <v>80</v>
      </c>
      <c r="J6">
        <v>95</v>
      </c>
      <c r="K6">
        <v>110</v>
      </c>
      <c r="L6">
        <v>125</v>
      </c>
      <c r="M6">
        <v>145</v>
      </c>
      <c r="N6">
        <v>160</v>
      </c>
      <c r="O6" s="65">
        <f>N6</f>
        <v>160</v>
      </c>
    </row>
    <row r="7" spans="2:15" hidden="1" outlineLevel="1" x14ac:dyDescent="0.2">
      <c r="B7" t="s">
        <v>104</v>
      </c>
      <c r="C7" s="11">
        <f>C$6*Sheet6!$M$11*8</f>
        <v>840.38461538461536</v>
      </c>
      <c r="D7" s="11">
        <f>D$6*Sheet6!$M$11*8</f>
        <v>2521.1538461538462</v>
      </c>
      <c r="E7" s="11">
        <f>E$6*Sheet6!$M$11*8</f>
        <v>4201.9230769230762</v>
      </c>
      <c r="F7" s="11">
        <f>F$6*Sheet6!$M$11*8</f>
        <v>6723.0769230769229</v>
      </c>
      <c r="G7" s="11">
        <f>G$6*Sheet6!$M$11*8</f>
        <v>8403.8461538461524</v>
      </c>
      <c r="H7" s="11">
        <f>H$6*Sheet6!$M$11*8</f>
        <v>11765.384615384615</v>
      </c>
      <c r="I7" s="11">
        <f>I$6*Sheet6!$M$11*8</f>
        <v>13446.153846153846</v>
      </c>
      <c r="J7" s="11">
        <f>J$6*Sheet6!$M$11*8</f>
        <v>15967.307692307691</v>
      </c>
      <c r="K7" s="11">
        <f>K$6*Sheet6!$M$11*8</f>
        <v>18488.461538461539</v>
      </c>
      <c r="L7" s="11">
        <f>L$6*Sheet6!$M$11*8</f>
        <v>21009.615384615383</v>
      </c>
      <c r="M7" s="11">
        <f>M$6*Sheet6!$M$11*8</f>
        <v>24371.153846153844</v>
      </c>
      <c r="N7" s="11">
        <f>N$6*Sheet6!$M$11*8</f>
        <v>26892.307692307691</v>
      </c>
      <c r="O7" s="65"/>
    </row>
    <row r="8" spans="2:15" hidden="1" outlineLevel="1" x14ac:dyDescent="0.2">
      <c r="B8" t="s">
        <v>105</v>
      </c>
      <c r="C8" s="11">
        <f>C$6*Sheet6!$M$11*8*5</f>
        <v>4201.9230769230771</v>
      </c>
      <c r="D8" s="11">
        <f>D$6*Sheet6!$M$11*8*5</f>
        <v>12605.76923076923</v>
      </c>
      <c r="E8" s="11">
        <f>E$6*Sheet6!$M$11*8*5</f>
        <v>21009.615384615383</v>
      </c>
      <c r="F8" s="11">
        <f>F$6*Sheet6!$M$11*8*5</f>
        <v>33615.384615384617</v>
      </c>
      <c r="G8" s="11">
        <f>G$6*Sheet6!$M$11*8*5</f>
        <v>42019.230769230766</v>
      </c>
      <c r="H8" s="11">
        <f>H$6*Sheet6!$M$11*8*5</f>
        <v>58826.923076923078</v>
      </c>
      <c r="I8" s="11">
        <f>I$6*Sheet6!$M$11*8*5</f>
        <v>67230.769230769234</v>
      </c>
      <c r="J8" s="11">
        <f>J$6*Sheet6!$M$11*8*5</f>
        <v>79836.538461538454</v>
      </c>
      <c r="K8" s="11">
        <f>K$6*Sheet6!$M$11*8*5</f>
        <v>92442.307692307688</v>
      </c>
      <c r="L8" s="11">
        <f>L$6*Sheet6!$M$11*8*5</f>
        <v>105048.07692307691</v>
      </c>
      <c r="M8" s="11">
        <f>M$6*Sheet6!$M$11*8*5</f>
        <v>121855.76923076922</v>
      </c>
      <c r="N8" s="11">
        <f>N$6*Sheet6!$M$11*8*5</f>
        <v>134461.53846153847</v>
      </c>
      <c r="O8" s="65"/>
    </row>
    <row r="9" spans="2:15" hidden="1" outlineLevel="1" x14ac:dyDescent="0.2">
      <c r="B9" t="s">
        <v>108</v>
      </c>
      <c r="C9" s="9">
        <f>(C8*52)/12</f>
        <v>18208.333333333332</v>
      </c>
      <c r="D9" s="9">
        <f t="shared" ref="D9:N9" si="0">(D8*52)/12</f>
        <v>54625</v>
      </c>
      <c r="E9" s="9">
        <f t="shared" si="0"/>
        <v>91041.666666666672</v>
      </c>
      <c r="F9" s="9">
        <f t="shared" si="0"/>
        <v>145666.66666666666</v>
      </c>
      <c r="G9" s="9">
        <f t="shared" si="0"/>
        <v>182083.33333333334</v>
      </c>
      <c r="H9" s="9">
        <f t="shared" si="0"/>
        <v>254916.66666666666</v>
      </c>
      <c r="I9" s="9">
        <f t="shared" si="0"/>
        <v>291333.33333333331</v>
      </c>
      <c r="J9" s="9">
        <f t="shared" si="0"/>
        <v>345958.33333333331</v>
      </c>
      <c r="K9" s="9">
        <f t="shared" si="0"/>
        <v>400583.33333333331</v>
      </c>
      <c r="L9" s="9">
        <f t="shared" si="0"/>
        <v>455208.33333333326</v>
      </c>
      <c r="M9" s="9">
        <f t="shared" si="0"/>
        <v>528041.66666666663</v>
      </c>
      <c r="N9" s="9">
        <f t="shared" si="0"/>
        <v>582666.66666666663</v>
      </c>
      <c r="O9" s="82">
        <f>SUM(C9:N9)</f>
        <v>3350333.333333333</v>
      </c>
    </row>
    <row r="10" spans="2:15" hidden="1" outlineLevel="1" x14ac:dyDescent="0.2">
      <c r="O10" s="65"/>
    </row>
    <row r="11" spans="2:15" hidden="1" outlineLevel="1" x14ac:dyDescent="0.2">
      <c r="B11" t="s">
        <v>106</v>
      </c>
      <c r="C11" s="9">
        <f>C6*8</f>
        <v>40</v>
      </c>
      <c r="D11" s="9">
        <f t="shared" ref="D11:N11" si="1">D6*8</f>
        <v>120</v>
      </c>
      <c r="E11" s="9">
        <f t="shared" si="1"/>
        <v>200</v>
      </c>
      <c r="F11" s="9">
        <f t="shared" si="1"/>
        <v>320</v>
      </c>
      <c r="G11" s="9">
        <f t="shared" si="1"/>
        <v>400</v>
      </c>
      <c r="H11" s="9">
        <f t="shared" si="1"/>
        <v>560</v>
      </c>
      <c r="I11" s="9">
        <f t="shared" si="1"/>
        <v>640</v>
      </c>
      <c r="J11" s="9">
        <f t="shared" si="1"/>
        <v>760</v>
      </c>
      <c r="K11" s="9">
        <f t="shared" si="1"/>
        <v>880</v>
      </c>
      <c r="L11" s="9">
        <f t="shared" si="1"/>
        <v>1000</v>
      </c>
      <c r="M11" s="9">
        <f t="shared" si="1"/>
        <v>1160</v>
      </c>
      <c r="N11" s="9">
        <f t="shared" si="1"/>
        <v>1280</v>
      </c>
      <c r="O11" s="65"/>
    </row>
    <row r="12" spans="2:15" hidden="1" outlineLevel="1" x14ac:dyDescent="0.2">
      <c r="B12" t="s">
        <v>107</v>
      </c>
      <c r="C12" s="9">
        <f>C6*8*5</f>
        <v>200</v>
      </c>
      <c r="D12" s="9">
        <f t="shared" ref="D12:N12" si="2">D6*8*5</f>
        <v>600</v>
      </c>
      <c r="E12" s="9">
        <f t="shared" si="2"/>
        <v>1000</v>
      </c>
      <c r="F12" s="9">
        <f t="shared" si="2"/>
        <v>1600</v>
      </c>
      <c r="G12" s="9">
        <f t="shared" si="2"/>
        <v>2000</v>
      </c>
      <c r="H12" s="9">
        <f t="shared" si="2"/>
        <v>2800</v>
      </c>
      <c r="I12" s="9">
        <f t="shared" si="2"/>
        <v>3200</v>
      </c>
      <c r="J12" s="9">
        <f t="shared" si="2"/>
        <v>3800</v>
      </c>
      <c r="K12" s="9">
        <f t="shared" si="2"/>
        <v>4400</v>
      </c>
      <c r="L12" s="9">
        <f t="shared" si="2"/>
        <v>5000</v>
      </c>
      <c r="M12" s="9">
        <f t="shared" si="2"/>
        <v>5800</v>
      </c>
      <c r="N12" s="9">
        <f t="shared" si="2"/>
        <v>6400</v>
      </c>
      <c r="O12" s="65"/>
    </row>
    <row r="13" spans="2:15" collapsed="1" x14ac:dyDescent="0.2">
      <c r="B13" s="65" t="s">
        <v>109</v>
      </c>
      <c r="C13" s="104">
        <f>(C12*52)/12</f>
        <v>866.66666666666663</v>
      </c>
      <c r="D13" s="104">
        <f t="shared" ref="D13:N13" si="3">(D12*52)/12</f>
        <v>2600</v>
      </c>
      <c r="E13" s="104">
        <f t="shared" si="3"/>
        <v>4333.333333333333</v>
      </c>
      <c r="F13" s="104">
        <f t="shared" si="3"/>
        <v>6933.333333333333</v>
      </c>
      <c r="G13" s="104">
        <f t="shared" si="3"/>
        <v>8666.6666666666661</v>
      </c>
      <c r="H13" s="104">
        <f t="shared" si="3"/>
        <v>12133.333333333334</v>
      </c>
      <c r="I13" s="104">
        <f t="shared" si="3"/>
        <v>13866.666666666666</v>
      </c>
      <c r="J13" s="104">
        <f t="shared" si="3"/>
        <v>16466.666666666668</v>
      </c>
      <c r="K13" s="104">
        <f t="shared" si="3"/>
        <v>19066.666666666668</v>
      </c>
      <c r="L13" s="104">
        <f t="shared" si="3"/>
        <v>21666.666666666668</v>
      </c>
      <c r="M13" s="104">
        <f t="shared" si="3"/>
        <v>25133.333333333332</v>
      </c>
      <c r="N13" s="104">
        <f t="shared" si="3"/>
        <v>27733.333333333332</v>
      </c>
      <c r="O13" s="105">
        <f>SUM(C13:N13)</f>
        <v>159466.66666666669</v>
      </c>
    </row>
    <row r="14" spans="2:15" x14ac:dyDescent="0.2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5"/>
    </row>
    <row r="15" spans="2:15" x14ac:dyDescent="0.2">
      <c r="B15" t="s">
        <v>110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5"/>
    </row>
    <row r="16" spans="2:15" x14ac:dyDescent="0.2">
      <c r="B16" s="13" t="s">
        <v>64</v>
      </c>
      <c r="C16" s="106">
        <f>'Expense Assumptions'!$H$8/12</f>
        <v>43333.333333333336</v>
      </c>
      <c r="D16" s="106">
        <f>'Expense Assumptions'!$H$8/12</f>
        <v>43333.333333333336</v>
      </c>
      <c r="E16" s="106">
        <f>'Expense Assumptions'!$H$8/12</f>
        <v>43333.333333333336</v>
      </c>
      <c r="F16" s="106">
        <f>'Expense Assumptions'!$H$8/12</f>
        <v>43333.333333333336</v>
      </c>
      <c r="G16" s="106">
        <f>'Expense Assumptions'!$H$8/12</f>
        <v>43333.333333333336</v>
      </c>
      <c r="H16" s="106">
        <f>'Expense Assumptions'!$H$8/12</f>
        <v>43333.333333333336</v>
      </c>
      <c r="I16" s="106">
        <f>'Expense Assumptions'!$H$8/12</f>
        <v>43333.333333333336</v>
      </c>
      <c r="J16" s="106">
        <f>'Expense Assumptions'!$H$8/12</f>
        <v>43333.333333333336</v>
      </c>
      <c r="K16" s="106">
        <f>'Expense Assumptions'!$H$8/12</f>
        <v>43333.333333333336</v>
      </c>
      <c r="L16" s="106">
        <f>'Expense Assumptions'!$H$8/12</f>
        <v>43333.333333333336</v>
      </c>
      <c r="M16" s="106">
        <f>'Expense Assumptions'!$H$8/12</f>
        <v>43333.333333333336</v>
      </c>
      <c r="N16" s="106">
        <f>'Expense Assumptions'!$H$8/12</f>
        <v>43333.333333333336</v>
      </c>
      <c r="O16" s="105">
        <f>SUM(C16:N16)</f>
        <v>519999.99999999994</v>
      </c>
    </row>
    <row r="17" spans="2:15" x14ac:dyDescent="0.2">
      <c r="B17" s="13" t="s">
        <v>62</v>
      </c>
      <c r="C17" s="106">
        <f>'Expense Assumptions'!$H$6/12</f>
        <v>400</v>
      </c>
      <c r="D17" s="106">
        <f>'Expense Assumptions'!$H$6/12</f>
        <v>400</v>
      </c>
      <c r="E17" s="106">
        <f>'Expense Assumptions'!$H$6/12</f>
        <v>400</v>
      </c>
      <c r="F17" s="106">
        <f>'Expense Assumptions'!$H$6/12</f>
        <v>400</v>
      </c>
      <c r="G17" s="106">
        <f>'Expense Assumptions'!$H$6/12</f>
        <v>400</v>
      </c>
      <c r="H17" s="106">
        <f>'Expense Assumptions'!$H$6/12</f>
        <v>400</v>
      </c>
      <c r="I17" s="106">
        <f>'Expense Assumptions'!$H$6/12</f>
        <v>400</v>
      </c>
      <c r="J17" s="106">
        <f>'Expense Assumptions'!$H$6/12</f>
        <v>400</v>
      </c>
      <c r="K17" s="106">
        <f>'Expense Assumptions'!$H$6/12</f>
        <v>400</v>
      </c>
      <c r="L17" s="106">
        <f>'Expense Assumptions'!$H$6/12</f>
        <v>400</v>
      </c>
      <c r="M17" s="106">
        <f>'Expense Assumptions'!$H$6/12</f>
        <v>400</v>
      </c>
      <c r="N17" s="106">
        <f>'Expense Assumptions'!$H$6/12</f>
        <v>400</v>
      </c>
      <c r="O17" s="105">
        <f t="shared" ref="O17:O18" si="4">SUM(C17:N17)</f>
        <v>4800</v>
      </c>
    </row>
    <row r="18" spans="2:15" x14ac:dyDescent="0.2">
      <c r="B18" s="13" t="s">
        <v>83</v>
      </c>
      <c r="C18" s="106">
        <f>'Expense Assumptions'!$H$7/12</f>
        <v>500</v>
      </c>
      <c r="D18" s="106">
        <f>'Expense Assumptions'!$H$7/12</f>
        <v>500</v>
      </c>
      <c r="E18" s="106">
        <f>'Expense Assumptions'!$H$7/12</f>
        <v>500</v>
      </c>
      <c r="F18" s="106">
        <f>'Expense Assumptions'!$H$7/12</f>
        <v>500</v>
      </c>
      <c r="G18" s="106">
        <f>'Expense Assumptions'!$H$7/12</f>
        <v>500</v>
      </c>
      <c r="H18" s="106">
        <f>'Expense Assumptions'!$H$7/12</f>
        <v>500</v>
      </c>
      <c r="I18" s="106">
        <f>'Expense Assumptions'!$H$7/12</f>
        <v>500</v>
      </c>
      <c r="J18" s="106">
        <f>'Expense Assumptions'!$H$7/12</f>
        <v>500</v>
      </c>
      <c r="K18" s="106">
        <f>'Expense Assumptions'!$H$7/12</f>
        <v>500</v>
      </c>
      <c r="L18" s="106">
        <f>'Expense Assumptions'!$H$7/12</f>
        <v>500</v>
      </c>
      <c r="M18" s="106">
        <f>'Expense Assumptions'!$H$7/12</f>
        <v>500</v>
      </c>
      <c r="N18" s="106">
        <f>'Expense Assumptions'!$H$7/12</f>
        <v>500</v>
      </c>
      <c r="O18" s="105">
        <f t="shared" si="4"/>
        <v>6000</v>
      </c>
    </row>
    <row r="19" spans="2:15" x14ac:dyDescent="0.2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5"/>
    </row>
    <row r="20" spans="2:15" x14ac:dyDescent="0.2">
      <c r="B20" s="65" t="s">
        <v>113</v>
      </c>
      <c r="C20" s="105">
        <f>C13-C16-C17-C18</f>
        <v>-43366.666666666672</v>
      </c>
      <c r="D20" s="105">
        <f t="shared" ref="D20:O20" si="5">D13-D16-D17-D18</f>
        <v>-41633.333333333336</v>
      </c>
      <c r="E20" s="105">
        <f t="shared" si="5"/>
        <v>-39900</v>
      </c>
      <c r="F20" s="105">
        <f t="shared" si="5"/>
        <v>-37300</v>
      </c>
      <c r="G20" s="105">
        <f t="shared" si="5"/>
        <v>-35566.666666666672</v>
      </c>
      <c r="H20" s="105">
        <f t="shared" si="5"/>
        <v>-32100</v>
      </c>
      <c r="I20" s="105">
        <f t="shared" si="5"/>
        <v>-30366.666666666672</v>
      </c>
      <c r="J20" s="105">
        <f t="shared" si="5"/>
        <v>-27766.666666666668</v>
      </c>
      <c r="K20" s="105">
        <f t="shared" si="5"/>
        <v>-25166.666666666668</v>
      </c>
      <c r="L20" s="105">
        <f t="shared" si="5"/>
        <v>-22566.666666666668</v>
      </c>
      <c r="M20" s="105">
        <f t="shared" si="5"/>
        <v>-19100.000000000004</v>
      </c>
      <c r="N20" s="105">
        <f t="shared" si="5"/>
        <v>-16500.000000000004</v>
      </c>
      <c r="O20" s="105">
        <f t="shared" si="5"/>
        <v>-371333.33333333326</v>
      </c>
    </row>
    <row r="21" spans="2:15" x14ac:dyDescent="0.2"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5"/>
    </row>
    <row r="22" spans="2:15" x14ac:dyDescent="0.2">
      <c r="B22" t="s">
        <v>111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5"/>
    </row>
    <row r="23" spans="2:15" x14ac:dyDescent="0.2">
      <c r="B23" s="13" t="s">
        <v>82</v>
      </c>
      <c r="C23" s="107">
        <f>'Expense Assumptions'!$H$15/12</f>
        <v>2083.3333333333335</v>
      </c>
      <c r="D23" s="107">
        <f>'Expense Assumptions'!$H$15/12</f>
        <v>2083.3333333333335</v>
      </c>
      <c r="E23" s="107">
        <f>'Expense Assumptions'!$H$15/12</f>
        <v>2083.3333333333335</v>
      </c>
      <c r="F23" s="107">
        <f>'Expense Assumptions'!$H$15/12</f>
        <v>2083.3333333333335</v>
      </c>
      <c r="G23" s="107">
        <f>'Expense Assumptions'!$H$15/12</f>
        <v>2083.3333333333335</v>
      </c>
      <c r="H23" s="107">
        <f>'Expense Assumptions'!$H$15/12</f>
        <v>2083.3333333333335</v>
      </c>
      <c r="I23" s="107">
        <f>'Expense Assumptions'!$H$15/12</f>
        <v>2083.3333333333335</v>
      </c>
      <c r="J23" s="107">
        <f>'Expense Assumptions'!$H$15/12</f>
        <v>2083.3333333333335</v>
      </c>
      <c r="K23" s="107">
        <f>'Expense Assumptions'!$H$15/12</f>
        <v>2083.3333333333335</v>
      </c>
      <c r="L23" s="107">
        <f>'Expense Assumptions'!$H$15/12</f>
        <v>2083.3333333333335</v>
      </c>
      <c r="M23" s="107">
        <f>'Expense Assumptions'!$H$15/12</f>
        <v>2083.3333333333335</v>
      </c>
      <c r="N23" s="107">
        <f>'Expense Assumptions'!$H$15/12</f>
        <v>2083.3333333333335</v>
      </c>
      <c r="O23" s="105">
        <f>SUM(C23:N23)</f>
        <v>24999.999999999996</v>
      </c>
    </row>
    <row r="24" spans="2:15" x14ac:dyDescent="0.2">
      <c r="B24" s="13" t="s">
        <v>26</v>
      </c>
      <c r="C24" s="107">
        <f>'Expense Assumptions'!$H$16/12</f>
        <v>2083.3333333333335</v>
      </c>
      <c r="D24" s="107">
        <f>'Expense Assumptions'!$H$16/12</f>
        <v>2083.3333333333335</v>
      </c>
      <c r="E24" s="107">
        <f>'Expense Assumptions'!$H$16/12</f>
        <v>2083.3333333333335</v>
      </c>
      <c r="F24" s="107">
        <f>'Expense Assumptions'!$H$16/12</f>
        <v>2083.3333333333335</v>
      </c>
      <c r="G24" s="107">
        <f>'Expense Assumptions'!$H$16/12</f>
        <v>2083.3333333333335</v>
      </c>
      <c r="H24" s="107">
        <f>'Expense Assumptions'!$H$16/12</f>
        <v>2083.3333333333335</v>
      </c>
      <c r="I24" s="107">
        <f>'Expense Assumptions'!$H$16/12</f>
        <v>2083.3333333333335</v>
      </c>
      <c r="J24" s="107">
        <f>'Expense Assumptions'!$H$16/12</f>
        <v>2083.3333333333335</v>
      </c>
      <c r="K24" s="107">
        <f>'Expense Assumptions'!$H$16/12</f>
        <v>2083.3333333333335</v>
      </c>
      <c r="L24" s="107">
        <f>'Expense Assumptions'!$H$16/12</f>
        <v>2083.3333333333335</v>
      </c>
      <c r="M24" s="107">
        <f>'Expense Assumptions'!$H$16/12</f>
        <v>2083.3333333333335</v>
      </c>
      <c r="N24" s="107">
        <f>'Expense Assumptions'!$H$16/12</f>
        <v>2083.3333333333335</v>
      </c>
      <c r="O24" s="105">
        <f t="shared" ref="O24:O32" si="6">SUM(C24:N24)</f>
        <v>24999.999999999996</v>
      </c>
    </row>
    <row r="25" spans="2:15" x14ac:dyDescent="0.2">
      <c r="B25" s="13" t="s">
        <v>86</v>
      </c>
      <c r="C25" s="107">
        <f>'Expense Assumptions'!$H$14/12</f>
        <v>24266.666666666668</v>
      </c>
      <c r="D25" s="107">
        <f>'Expense Assumptions'!$H$14/12</f>
        <v>24266.666666666668</v>
      </c>
      <c r="E25" s="107">
        <f>'Expense Assumptions'!$H$14/12</f>
        <v>24266.666666666668</v>
      </c>
      <c r="F25" s="107">
        <f>'Expense Assumptions'!$H$14/12</f>
        <v>24266.666666666668</v>
      </c>
      <c r="G25" s="107">
        <f>'Expense Assumptions'!$H$14/12</f>
        <v>24266.666666666668</v>
      </c>
      <c r="H25" s="107">
        <f>'Expense Assumptions'!$H$14/12</f>
        <v>24266.666666666668</v>
      </c>
      <c r="I25" s="107">
        <f>'Expense Assumptions'!$H$14/12</f>
        <v>24266.666666666668</v>
      </c>
      <c r="J25" s="107">
        <f>'Expense Assumptions'!$H$14/12</f>
        <v>24266.666666666668</v>
      </c>
      <c r="K25" s="107">
        <f>'Expense Assumptions'!$H$14/12</f>
        <v>24266.666666666668</v>
      </c>
      <c r="L25" s="107">
        <f>'Expense Assumptions'!$H$14/12</f>
        <v>24266.666666666668</v>
      </c>
      <c r="M25" s="107">
        <f>'Expense Assumptions'!$H$14/12</f>
        <v>24266.666666666668</v>
      </c>
      <c r="N25" s="107">
        <f>'Expense Assumptions'!$H$14/12</f>
        <v>24266.666666666668</v>
      </c>
      <c r="O25" s="105">
        <f t="shared" si="6"/>
        <v>291200</v>
      </c>
    </row>
    <row r="26" spans="2:15" x14ac:dyDescent="0.2">
      <c r="B26" s="13" t="s">
        <v>80</v>
      </c>
      <c r="C26" s="108">
        <f>'Expense Assumptions'!$H$11/12</f>
        <v>2083.3333333333335</v>
      </c>
      <c r="D26" s="108">
        <f>'Expense Assumptions'!$H$11/12</f>
        <v>2083.3333333333335</v>
      </c>
      <c r="E26" s="108">
        <f>'Expense Assumptions'!$H$11/12</f>
        <v>2083.3333333333335</v>
      </c>
      <c r="F26" s="108">
        <f>'Expense Assumptions'!$H$11/12</f>
        <v>2083.3333333333335</v>
      </c>
      <c r="G26" s="108">
        <f>'Expense Assumptions'!$H$11/12</f>
        <v>2083.3333333333335</v>
      </c>
      <c r="H26" s="108">
        <f>'Expense Assumptions'!$H$11/12</f>
        <v>2083.3333333333335</v>
      </c>
      <c r="I26" s="108">
        <f>'Expense Assumptions'!$H$11/12</f>
        <v>2083.3333333333335</v>
      </c>
      <c r="J26" s="108">
        <f>'Expense Assumptions'!$H$11/12</f>
        <v>2083.3333333333335</v>
      </c>
      <c r="K26" s="108">
        <f>'Expense Assumptions'!$H$11/12</f>
        <v>2083.3333333333335</v>
      </c>
      <c r="L26" s="108">
        <f>'Expense Assumptions'!$H$11/12</f>
        <v>2083.3333333333335</v>
      </c>
      <c r="M26" s="108">
        <f>'Expense Assumptions'!$H$11/12</f>
        <v>2083.3333333333335</v>
      </c>
      <c r="N26" s="108">
        <f>'Expense Assumptions'!$H$11/12</f>
        <v>2083.3333333333335</v>
      </c>
      <c r="O26" s="105">
        <f t="shared" si="6"/>
        <v>24999.999999999996</v>
      </c>
    </row>
    <row r="27" spans="2:15" x14ac:dyDescent="0.2">
      <c r="B27" s="13" t="s">
        <v>81</v>
      </c>
      <c r="C27" s="108">
        <f>'Expense Assumptions'!$H$12/12</f>
        <v>20833.333333333332</v>
      </c>
      <c r="D27" s="108">
        <f>'Expense Assumptions'!$H$12/12</f>
        <v>20833.333333333332</v>
      </c>
      <c r="E27" s="108">
        <f>'Expense Assumptions'!$H$12/12</f>
        <v>20833.333333333332</v>
      </c>
      <c r="F27" s="108">
        <f>'Expense Assumptions'!$H$12/12</f>
        <v>20833.333333333332</v>
      </c>
      <c r="G27" s="108">
        <f>'Expense Assumptions'!$H$12/12</f>
        <v>20833.333333333332</v>
      </c>
      <c r="H27" s="108">
        <f>'Expense Assumptions'!$H$12/12</f>
        <v>20833.333333333332</v>
      </c>
      <c r="I27" s="108">
        <f>'Expense Assumptions'!$H$12/12</f>
        <v>20833.333333333332</v>
      </c>
      <c r="J27" s="108">
        <f>'Expense Assumptions'!$H$12/12</f>
        <v>20833.333333333332</v>
      </c>
      <c r="K27" s="108">
        <f>'Expense Assumptions'!$H$12/12</f>
        <v>20833.333333333332</v>
      </c>
      <c r="L27" s="108">
        <f>'Expense Assumptions'!$H$12/12</f>
        <v>20833.333333333332</v>
      </c>
      <c r="M27" s="108">
        <f>'Expense Assumptions'!$H$12/12</f>
        <v>20833.333333333332</v>
      </c>
      <c r="N27" s="108">
        <f>'Expense Assumptions'!$H$12/12</f>
        <v>20833.333333333332</v>
      </c>
      <c r="O27" s="105">
        <f t="shared" si="6"/>
        <v>250000.00000000003</v>
      </c>
    </row>
    <row r="28" spans="2:15" x14ac:dyDescent="0.2">
      <c r="B28" s="13" t="s">
        <v>115</v>
      </c>
      <c r="C28" s="108">
        <f>'Expense Assumptions'!$D$25</f>
        <v>2616.6666666666665</v>
      </c>
      <c r="D28" s="108">
        <f>'Expense Assumptions'!$D$25</f>
        <v>2616.6666666666665</v>
      </c>
      <c r="E28" s="108">
        <f>'Expense Assumptions'!$D$25</f>
        <v>2616.6666666666665</v>
      </c>
      <c r="F28" s="108">
        <f>'Expense Assumptions'!$D$25</f>
        <v>2616.6666666666665</v>
      </c>
      <c r="G28" s="108">
        <f>'Expense Assumptions'!$D$25</f>
        <v>2616.6666666666665</v>
      </c>
      <c r="H28" s="108">
        <f>'Expense Assumptions'!$D$25</f>
        <v>2616.6666666666665</v>
      </c>
      <c r="I28" s="108">
        <f>'Expense Assumptions'!$D$25</f>
        <v>2616.6666666666665</v>
      </c>
      <c r="J28" s="108">
        <f>'Expense Assumptions'!$D$25</f>
        <v>2616.6666666666665</v>
      </c>
      <c r="K28" s="108">
        <f>'Expense Assumptions'!$D$25</f>
        <v>2616.6666666666665</v>
      </c>
      <c r="L28" s="108">
        <f>'Expense Assumptions'!$D$25</f>
        <v>2616.6666666666665</v>
      </c>
      <c r="M28" s="108">
        <f>'Expense Assumptions'!$D$25</f>
        <v>2616.6666666666665</v>
      </c>
      <c r="N28" s="108">
        <f>'Expense Assumptions'!$D$25</f>
        <v>2616.6666666666665</v>
      </c>
      <c r="O28" s="105">
        <f t="shared" si="6"/>
        <v>31400.000000000004</v>
      </c>
    </row>
    <row r="29" spans="2:15" x14ac:dyDescent="0.2">
      <c r="B29" s="13" t="s">
        <v>27</v>
      </c>
      <c r="C29" s="108">
        <f>'Expense Assumptions'!$H$13/12</f>
        <v>2083.3333333333335</v>
      </c>
      <c r="D29" s="108">
        <f>'Expense Assumptions'!$H$13/12</f>
        <v>2083.3333333333335</v>
      </c>
      <c r="E29" s="108">
        <f>'Expense Assumptions'!$H$13/12</f>
        <v>2083.3333333333335</v>
      </c>
      <c r="F29" s="108">
        <f>'Expense Assumptions'!$H$13/12</f>
        <v>2083.3333333333335</v>
      </c>
      <c r="G29" s="108">
        <f>'Expense Assumptions'!$H$13/12</f>
        <v>2083.3333333333335</v>
      </c>
      <c r="H29" s="108">
        <f>'Expense Assumptions'!$H$13/12</f>
        <v>2083.3333333333335</v>
      </c>
      <c r="I29" s="108">
        <f>'Expense Assumptions'!$H$13/12</f>
        <v>2083.3333333333335</v>
      </c>
      <c r="J29" s="108">
        <f>'Expense Assumptions'!$H$13/12</f>
        <v>2083.3333333333335</v>
      </c>
      <c r="K29" s="108">
        <f>'Expense Assumptions'!$H$13/12</f>
        <v>2083.3333333333335</v>
      </c>
      <c r="L29" s="108">
        <f>'Expense Assumptions'!$H$13/12</f>
        <v>2083.3333333333335</v>
      </c>
      <c r="M29" s="108">
        <f>'Expense Assumptions'!$H$13/12</f>
        <v>2083.3333333333335</v>
      </c>
      <c r="N29" s="108">
        <f>'Expense Assumptions'!$H$13/12</f>
        <v>2083.3333333333335</v>
      </c>
      <c r="O29" s="105">
        <f t="shared" si="6"/>
        <v>24999.999999999996</v>
      </c>
    </row>
    <row r="30" spans="2:15" x14ac:dyDescent="0.2">
      <c r="B30" s="13" t="s">
        <v>35</v>
      </c>
      <c r="C30" s="108">
        <f>'Expense Assumptions'!$H$17/12</f>
        <v>416.66666666666669</v>
      </c>
      <c r="D30" s="108">
        <f>'Expense Assumptions'!$H$17/12</f>
        <v>416.66666666666669</v>
      </c>
      <c r="E30" s="108">
        <f>'Expense Assumptions'!$H$17/12</f>
        <v>416.66666666666669</v>
      </c>
      <c r="F30" s="108">
        <f>'Expense Assumptions'!$H$17/12</f>
        <v>416.66666666666669</v>
      </c>
      <c r="G30" s="108">
        <f>'Expense Assumptions'!$H$17/12</f>
        <v>416.66666666666669</v>
      </c>
      <c r="H30" s="108">
        <f>'Expense Assumptions'!$H$17/12</f>
        <v>416.66666666666669</v>
      </c>
      <c r="I30" s="108">
        <f>'Expense Assumptions'!$H$17/12</f>
        <v>416.66666666666669</v>
      </c>
      <c r="J30" s="108">
        <f>'Expense Assumptions'!$H$17/12</f>
        <v>416.66666666666669</v>
      </c>
      <c r="K30" s="108">
        <f>'Expense Assumptions'!$H$17/12</f>
        <v>416.66666666666669</v>
      </c>
      <c r="L30" s="108">
        <f>'Expense Assumptions'!$H$17/12</f>
        <v>416.66666666666669</v>
      </c>
      <c r="M30" s="108">
        <f>'Expense Assumptions'!$H$17/12</f>
        <v>416.66666666666669</v>
      </c>
      <c r="N30" s="108">
        <f>'Expense Assumptions'!$H$17/12</f>
        <v>416.66666666666669</v>
      </c>
      <c r="O30" s="105">
        <f t="shared" si="6"/>
        <v>5000</v>
      </c>
    </row>
    <row r="31" spans="2:15" x14ac:dyDescent="0.2">
      <c r="B31" s="13" t="s">
        <v>120</v>
      </c>
      <c r="C31" s="108">
        <f>'Expense Assumptions'!$H$18/12</f>
        <v>100</v>
      </c>
      <c r="D31" s="108">
        <f>'Expense Assumptions'!$H$18/12</f>
        <v>100</v>
      </c>
      <c r="E31" s="108">
        <f>'Expense Assumptions'!$H$18/12</f>
        <v>100</v>
      </c>
      <c r="F31" s="108">
        <f>'Expense Assumptions'!$H$18/12</f>
        <v>100</v>
      </c>
      <c r="G31" s="108">
        <f>'Expense Assumptions'!$H$18/12</f>
        <v>100</v>
      </c>
      <c r="H31" s="108">
        <f>'Expense Assumptions'!$H$18/12</f>
        <v>100</v>
      </c>
      <c r="I31" s="108">
        <f>'Expense Assumptions'!$H$18/12</f>
        <v>100</v>
      </c>
      <c r="J31" s="108">
        <f>'Expense Assumptions'!$H$18/12</f>
        <v>100</v>
      </c>
      <c r="K31" s="108">
        <f>'Expense Assumptions'!$H$18/12</f>
        <v>100</v>
      </c>
      <c r="L31" s="108">
        <f>'Expense Assumptions'!$H$18/12</f>
        <v>100</v>
      </c>
      <c r="M31" s="108">
        <f>'Expense Assumptions'!$H$18/12</f>
        <v>100</v>
      </c>
      <c r="N31" s="108">
        <f>'Expense Assumptions'!$H$18/12</f>
        <v>100</v>
      </c>
      <c r="O31" s="105">
        <f t="shared" si="6"/>
        <v>1200</v>
      </c>
    </row>
    <row r="32" spans="2:15" x14ac:dyDescent="0.2">
      <c r="B32" s="15" t="s">
        <v>112</v>
      </c>
      <c r="C32" s="106">
        <f>SUM(C23:C31)</f>
        <v>56566.666666666664</v>
      </c>
      <c r="D32" s="106">
        <f t="shared" ref="D32:N32" si="7">SUM(D23:D31)</f>
        <v>56566.666666666664</v>
      </c>
      <c r="E32" s="106">
        <f t="shared" si="7"/>
        <v>56566.666666666664</v>
      </c>
      <c r="F32" s="106">
        <f t="shared" si="7"/>
        <v>56566.666666666664</v>
      </c>
      <c r="G32" s="106">
        <f t="shared" si="7"/>
        <v>56566.666666666664</v>
      </c>
      <c r="H32" s="106">
        <f t="shared" si="7"/>
        <v>56566.666666666664</v>
      </c>
      <c r="I32" s="106">
        <f t="shared" si="7"/>
        <v>56566.666666666664</v>
      </c>
      <c r="J32" s="106">
        <f t="shared" si="7"/>
        <v>56566.666666666664</v>
      </c>
      <c r="K32" s="106">
        <f t="shared" si="7"/>
        <v>56566.666666666664</v>
      </c>
      <c r="L32" s="106">
        <f t="shared" si="7"/>
        <v>56566.666666666664</v>
      </c>
      <c r="M32" s="106">
        <f t="shared" si="7"/>
        <v>56566.666666666664</v>
      </c>
      <c r="N32" s="106">
        <f t="shared" si="7"/>
        <v>56566.666666666664</v>
      </c>
      <c r="O32" s="105">
        <f t="shared" si="6"/>
        <v>678800</v>
      </c>
    </row>
    <row r="33" spans="2:15" x14ac:dyDescent="0.2"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5"/>
    </row>
    <row r="34" spans="2:15" x14ac:dyDescent="0.2">
      <c r="B34" s="83" t="s">
        <v>114</v>
      </c>
      <c r="C34" s="105">
        <f>C20-C32</f>
        <v>-99933.333333333343</v>
      </c>
      <c r="D34" s="105">
        <f t="shared" ref="D34:O34" si="8">D20-D32</f>
        <v>-98200</v>
      </c>
      <c r="E34" s="105">
        <f t="shared" si="8"/>
        <v>-96466.666666666657</v>
      </c>
      <c r="F34" s="105">
        <f t="shared" si="8"/>
        <v>-93866.666666666657</v>
      </c>
      <c r="G34" s="105">
        <f t="shared" si="8"/>
        <v>-92133.333333333343</v>
      </c>
      <c r="H34" s="105">
        <f t="shared" si="8"/>
        <v>-88666.666666666657</v>
      </c>
      <c r="I34" s="105">
        <f t="shared" si="8"/>
        <v>-86933.333333333343</v>
      </c>
      <c r="J34" s="105">
        <f t="shared" si="8"/>
        <v>-84333.333333333328</v>
      </c>
      <c r="K34" s="105">
        <f t="shared" si="8"/>
        <v>-81733.333333333328</v>
      </c>
      <c r="L34" s="105">
        <f t="shared" si="8"/>
        <v>-79133.333333333328</v>
      </c>
      <c r="M34" s="105">
        <f t="shared" si="8"/>
        <v>-75666.666666666672</v>
      </c>
      <c r="N34" s="105">
        <f t="shared" si="8"/>
        <v>-73066.666666666672</v>
      </c>
      <c r="O34" s="105">
        <f t="shared" si="8"/>
        <v>-1050133.3333333333</v>
      </c>
    </row>
  </sheetData>
  <mergeCells count="1">
    <mergeCell ref="L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O34"/>
  <sheetViews>
    <sheetView workbookViewId="0">
      <selection activeCell="P34" sqref="P34"/>
    </sheetView>
  </sheetViews>
  <sheetFormatPr baseColWidth="10" defaultRowHeight="16" outlineLevelRow="1" x14ac:dyDescent="0.2"/>
  <cols>
    <col min="1" max="1" width="1.1640625" customWidth="1"/>
    <col min="2" max="2" width="27.5" customWidth="1"/>
    <col min="3" max="6" width="9" customWidth="1"/>
    <col min="7" max="8" width="9.6640625" customWidth="1"/>
    <col min="9" max="14" width="9" customWidth="1"/>
    <col min="15" max="15" width="11.33203125" bestFit="1" customWidth="1"/>
  </cols>
  <sheetData>
    <row r="2" spans="2:15" x14ac:dyDescent="0.2">
      <c r="B2" s="86" t="s">
        <v>90</v>
      </c>
      <c r="C2" s="86"/>
      <c r="D2" s="87"/>
      <c r="E2" s="87"/>
      <c r="F2" s="87" t="s">
        <v>103</v>
      </c>
      <c r="G2" s="88">
        <v>26047</v>
      </c>
      <c r="H2" s="89"/>
      <c r="I2" s="89"/>
      <c r="J2" s="89"/>
      <c r="K2" s="89"/>
      <c r="L2" s="164" t="s">
        <v>254</v>
      </c>
      <c r="M2" s="164"/>
      <c r="N2" s="164"/>
      <c r="O2" s="164"/>
    </row>
    <row r="4" spans="2:15" s="65" customFormat="1" x14ac:dyDescent="0.2">
      <c r="B4" s="84" t="s">
        <v>252</v>
      </c>
      <c r="C4" s="84" t="s">
        <v>122</v>
      </c>
      <c r="D4" s="84" t="s">
        <v>123</v>
      </c>
      <c r="E4" s="84" t="s">
        <v>124</v>
      </c>
      <c r="F4" s="84" t="s">
        <v>125</v>
      </c>
      <c r="G4" s="84" t="s">
        <v>126</v>
      </c>
      <c r="H4" s="84" t="s">
        <v>127</v>
      </c>
      <c r="I4" s="84" t="s">
        <v>128</v>
      </c>
      <c r="J4" s="84" t="s">
        <v>129</v>
      </c>
      <c r="K4" s="84" t="s">
        <v>130</v>
      </c>
      <c r="L4" s="84" t="s">
        <v>131</v>
      </c>
      <c r="M4" s="84" t="s">
        <v>132</v>
      </c>
      <c r="N4" s="84" t="s">
        <v>133</v>
      </c>
      <c r="O4" s="85" t="s">
        <v>32</v>
      </c>
    </row>
    <row r="6" spans="2:15" x14ac:dyDescent="0.2">
      <c r="B6" t="s">
        <v>121</v>
      </c>
      <c r="C6">
        <v>180</v>
      </c>
      <c r="D6">
        <v>200</v>
      </c>
      <c r="E6">
        <v>210</v>
      </c>
      <c r="F6">
        <v>240</v>
      </c>
      <c r="G6">
        <v>275</v>
      </c>
      <c r="H6">
        <v>400</v>
      </c>
      <c r="I6">
        <v>450</v>
      </c>
      <c r="J6">
        <v>520</v>
      </c>
      <c r="K6">
        <v>700</v>
      </c>
      <c r="L6">
        <v>930</v>
      </c>
      <c r="M6">
        <v>1025</v>
      </c>
      <c r="N6">
        <v>1275</v>
      </c>
      <c r="O6" s="65">
        <f>N6</f>
        <v>1275</v>
      </c>
    </row>
    <row r="7" spans="2:15" ht="15" hidden="1" customHeight="1" outlineLevel="1" x14ac:dyDescent="0.2">
      <c r="B7" t="s">
        <v>104</v>
      </c>
      <c r="C7" s="11">
        <f>C$6*Sheet6!$M$11*8</f>
        <v>30253.846153846152</v>
      </c>
      <c r="D7" s="11">
        <f>D$6*Sheet6!$M$11*8</f>
        <v>33615.38461538461</v>
      </c>
      <c r="E7" s="11">
        <f>E$6*Sheet6!$M$11*8</f>
        <v>35296.153846153844</v>
      </c>
      <c r="F7" s="11">
        <f>F$6*Sheet6!$M$11*8</f>
        <v>40338.461538461539</v>
      </c>
      <c r="G7" s="11">
        <f>G$6*Sheet6!$M$11*8</f>
        <v>46221.153846153844</v>
      </c>
      <c r="H7" s="11">
        <f>H$6*Sheet6!$M$11*8</f>
        <v>67230.76923076922</v>
      </c>
      <c r="I7" s="11">
        <f>I$6*Sheet6!$M$11*8</f>
        <v>75634.615384615376</v>
      </c>
      <c r="J7" s="11">
        <f>J$6*Sheet6!$M$11*8</f>
        <v>87400</v>
      </c>
      <c r="K7" s="11">
        <f>K$6*Sheet6!$M$11*8</f>
        <v>117653.84615384614</v>
      </c>
      <c r="L7" s="11">
        <f>L$6*Sheet6!$M$11*8</f>
        <v>156311.53846153844</v>
      </c>
      <c r="M7" s="11">
        <f>M$6*Sheet6!$M$11*8</f>
        <v>172278.84615384616</v>
      </c>
      <c r="N7" s="11">
        <f>N$6*Sheet6!$M$11*8</f>
        <v>214298.07692307691</v>
      </c>
      <c r="O7" s="65"/>
    </row>
    <row r="8" spans="2:15" ht="15" hidden="1" customHeight="1" outlineLevel="1" x14ac:dyDescent="0.2">
      <c r="B8" t="s">
        <v>105</v>
      </c>
      <c r="C8" s="11">
        <f>C$6*Sheet6!$M$11*8*5</f>
        <v>151269.23076923075</v>
      </c>
      <c r="D8" s="11">
        <f>D$6*Sheet6!$M$11*8*5</f>
        <v>168076.92307692306</v>
      </c>
      <c r="E8" s="11">
        <f>E$6*Sheet6!$M$11*8*5</f>
        <v>176480.76923076922</v>
      </c>
      <c r="F8" s="11">
        <f>F$6*Sheet6!$M$11*8*5</f>
        <v>201692.30769230769</v>
      </c>
      <c r="G8" s="11">
        <f>G$6*Sheet6!$M$11*8*5</f>
        <v>231105.76923076922</v>
      </c>
      <c r="H8" s="11">
        <f>H$6*Sheet6!$M$11*8*5</f>
        <v>336153.84615384613</v>
      </c>
      <c r="I8" s="11">
        <f>I$6*Sheet6!$M$11*8*5</f>
        <v>378173.07692307688</v>
      </c>
      <c r="J8" s="11">
        <f>J$6*Sheet6!$M$11*8*5</f>
        <v>437000</v>
      </c>
      <c r="K8" s="11">
        <f>K$6*Sheet6!$M$11*8*5</f>
        <v>588269.23076923075</v>
      </c>
      <c r="L8" s="11">
        <f>L$6*Sheet6!$M$11*8*5</f>
        <v>781557.69230769225</v>
      </c>
      <c r="M8" s="11">
        <f>M$6*Sheet6!$M$11*8*5</f>
        <v>861394.23076923075</v>
      </c>
      <c r="N8" s="11">
        <f>N$6*Sheet6!$M$11*8*5</f>
        <v>1071490.3846153845</v>
      </c>
      <c r="O8" s="65"/>
    </row>
    <row r="9" spans="2:15" ht="15" hidden="1" customHeight="1" collapsed="1" x14ac:dyDescent="0.2">
      <c r="B9" t="s">
        <v>108</v>
      </c>
      <c r="C9" s="9">
        <f>(C8*52)/12</f>
        <v>655499.99999999988</v>
      </c>
      <c r="D9" s="9">
        <f t="shared" ref="D9:N9" si="0">(D8*52)/12</f>
        <v>728333.33333333337</v>
      </c>
      <c r="E9" s="9">
        <f t="shared" si="0"/>
        <v>764750</v>
      </c>
      <c r="F9" s="9">
        <f t="shared" si="0"/>
        <v>874000</v>
      </c>
      <c r="G9" s="9">
        <f t="shared" si="0"/>
        <v>1001458.3333333334</v>
      </c>
      <c r="H9" s="9">
        <f t="shared" si="0"/>
        <v>1456666.6666666667</v>
      </c>
      <c r="I9" s="9">
        <f t="shared" si="0"/>
        <v>1638749.9999999998</v>
      </c>
      <c r="J9" s="9">
        <f t="shared" si="0"/>
        <v>1893666.6666666667</v>
      </c>
      <c r="K9" s="9">
        <f t="shared" si="0"/>
        <v>2549166.6666666665</v>
      </c>
      <c r="L9" s="9">
        <f t="shared" si="0"/>
        <v>3386750</v>
      </c>
      <c r="M9" s="9">
        <f t="shared" si="0"/>
        <v>3732708.3333333335</v>
      </c>
      <c r="N9" s="9">
        <f t="shared" si="0"/>
        <v>4643124.9999999991</v>
      </c>
      <c r="O9" s="82">
        <f>SUM(C9:N9)</f>
        <v>23324875</v>
      </c>
    </row>
    <row r="10" spans="2:15" ht="15" hidden="1" customHeight="1" x14ac:dyDescent="0.2">
      <c r="O10" s="65"/>
    </row>
    <row r="11" spans="2:15" ht="15" hidden="1" customHeight="1" outlineLevel="1" x14ac:dyDescent="0.2">
      <c r="B11" t="s">
        <v>106</v>
      </c>
      <c r="C11" s="9">
        <f>C6*8</f>
        <v>1440</v>
      </c>
      <c r="D11" s="9">
        <f t="shared" ref="D11:N11" si="1">D6*8</f>
        <v>1600</v>
      </c>
      <c r="E11" s="9">
        <f t="shared" si="1"/>
        <v>1680</v>
      </c>
      <c r="F11" s="9">
        <f t="shared" si="1"/>
        <v>1920</v>
      </c>
      <c r="G11" s="9">
        <f t="shared" si="1"/>
        <v>2200</v>
      </c>
      <c r="H11" s="9">
        <f t="shared" si="1"/>
        <v>3200</v>
      </c>
      <c r="I11" s="9">
        <f t="shared" si="1"/>
        <v>3600</v>
      </c>
      <c r="J11" s="9">
        <f t="shared" si="1"/>
        <v>4160</v>
      </c>
      <c r="K11" s="9">
        <f t="shared" si="1"/>
        <v>5600</v>
      </c>
      <c r="L11" s="9">
        <f t="shared" si="1"/>
        <v>7440</v>
      </c>
      <c r="M11" s="9">
        <f t="shared" si="1"/>
        <v>8200</v>
      </c>
      <c r="N11" s="9">
        <f t="shared" si="1"/>
        <v>10200</v>
      </c>
      <c r="O11" s="65"/>
    </row>
    <row r="12" spans="2:15" ht="15" hidden="1" customHeight="1" outlineLevel="1" x14ac:dyDescent="0.2">
      <c r="B12" t="s">
        <v>107</v>
      </c>
      <c r="C12" s="9">
        <f>C6*8*5</f>
        <v>7200</v>
      </c>
      <c r="D12" s="9">
        <f t="shared" ref="D12:N12" si="2">D6*8*5</f>
        <v>8000</v>
      </c>
      <c r="E12" s="9">
        <f t="shared" si="2"/>
        <v>8400</v>
      </c>
      <c r="F12" s="9">
        <f t="shared" si="2"/>
        <v>9600</v>
      </c>
      <c r="G12" s="9">
        <f t="shared" si="2"/>
        <v>11000</v>
      </c>
      <c r="H12" s="9">
        <f t="shared" si="2"/>
        <v>16000</v>
      </c>
      <c r="I12" s="9">
        <f t="shared" si="2"/>
        <v>18000</v>
      </c>
      <c r="J12" s="9">
        <f t="shared" si="2"/>
        <v>20800</v>
      </c>
      <c r="K12" s="9">
        <f t="shared" si="2"/>
        <v>28000</v>
      </c>
      <c r="L12" s="9">
        <f t="shared" si="2"/>
        <v>37200</v>
      </c>
      <c r="M12" s="9">
        <f t="shared" si="2"/>
        <v>41000</v>
      </c>
      <c r="N12" s="9">
        <f t="shared" si="2"/>
        <v>51000</v>
      </c>
      <c r="O12" s="65"/>
    </row>
    <row r="13" spans="2:15" s="65" customFormat="1" collapsed="1" x14ac:dyDescent="0.2">
      <c r="B13" s="65" t="s">
        <v>109</v>
      </c>
      <c r="C13" s="104">
        <f>(C12*52)/12</f>
        <v>31200</v>
      </c>
      <c r="D13" s="104">
        <f t="shared" ref="D13:N13" si="3">(D12*52)/12</f>
        <v>34666.666666666664</v>
      </c>
      <c r="E13" s="104">
        <f t="shared" si="3"/>
        <v>36400</v>
      </c>
      <c r="F13" s="104">
        <f t="shared" si="3"/>
        <v>41600</v>
      </c>
      <c r="G13" s="104">
        <f t="shared" si="3"/>
        <v>47666.666666666664</v>
      </c>
      <c r="H13" s="104">
        <f t="shared" si="3"/>
        <v>69333.333333333328</v>
      </c>
      <c r="I13" s="104">
        <f t="shared" si="3"/>
        <v>78000</v>
      </c>
      <c r="J13" s="104">
        <f t="shared" si="3"/>
        <v>90133.333333333328</v>
      </c>
      <c r="K13" s="104">
        <f t="shared" si="3"/>
        <v>121333.33333333333</v>
      </c>
      <c r="L13" s="104">
        <f t="shared" si="3"/>
        <v>161200</v>
      </c>
      <c r="M13" s="104">
        <f t="shared" si="3"/>
        <v>177666.66666666666</v>
      </c>
      <c r="N13" s="104">
        <f t="shared" si="3"/>
        <v>221000</v>
      </c>
      <c r="O13" s="105">
        <f>SUM(C13:N13)</f>
        <v>1110200</v>
      </c>
    </row>
    <row r="14" spans="2:15" x14ac:dyDescent="0.2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5"/>
    </row>
    <row r="15" spans="2:15" x14ac:dyDescent="0.2">
      <c r="B15" t="s">
        <v>110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5"/>
    </row>
    <row r="16" spans="2:15" x14ac:dyDescent="0.2">
      <c r="B16" s="13" t="s">
        <v>64</v>
      </c>
      <c r="C16" s="106">
        <f>'Expense Assumptions'!$H$8/12</f>
        <v>43333.333333333336</v>
      </c>
      <c r="D16" s="106">
        <f>'Expense Assumptions'!$H$8/12</f>
        <v>43333.333333333336</v>
      </c>
      <c r="E16" s="106">
        <f>'Expense Assumptions'!$H$8/12</f>
        <v>43333.333333333336</v>
      </c>
      <c r="F16" s="106">
        <f>'Expense Assumptions'!$H$8/12</f>
        <v>43333.333333333336</v>
      </c>
      <c r="G16" s="106">
        <f>'Expense Assumptions'!$H$8/12</f>
        <v>43333.333333333336</v>
      </c>
      <c r="H16" s="106">
        <f>'Expense Assumptions'!$H$8/12</f>
        <v>43333.333333333336</v>
      </c>
      <c r="I16" s="106">
        <f>'Expense Assumptions'!$H$8/12</f>
        <v>43333.333333333336</v>
      </c>
      <c r="J16" s="106">
        <f>'Expense Assumptions'!$H$8/12</f>
        <v>43333.333333333336</v>
      </c>
      <c r="K16" s="106">
        <f>'Expense Assumptions'!$H$8/12</f>
        <v>43333.333333333336</v>
      </c>
      <c r="L16" s="106">
        <f>'Expense Assumptions'!$H$8/12</f>
        <v>43333.333333333336</v>
      </c>
      <c r="M16" s="106">
        <f>'Expense Assumptions'!$H$8/12</f>
        <v>43333.333333333336</v>
      </c>
      <c r="N16" s="106">
        <f>'Expense Assumptions'!$H$8/12</f>
        <v>43333.333333333336</v>
      </c>
      <c r="O16" s="105">
        <f>SUM(C16:N16)</f>
        <v>519999.99999999994</v>
      </c>
    </row>
    <row r="17" spans="2:15" x14ac:dyDescent="0.2">
      <c r="B17" s="13" t="s">
        <v>62</v>
      </c>
      <c r="C17" s="106">
        <f>'Expense Assumptions'!$H$6/12</f>
        <v>400</v>
      </c>
      <c r="D17" s="106">
        <f>'Expense Assumptions'!$H$6/12</f>
        <v>400</v>
      </c>
      <c r="E17" s="106">
        <f>'Expense Assumptions'!$H$6/12</f>
        <v>400</v>
      </c>
      <c r="F17" s="106">
        <f>'Expense Assumptions'!$H$6/12</f>
        <v>400</v>
      </c>
      <c r="G17" s="106">
        <f>'Expense Assumptions'!$H$6/12</f>
        <v>400</v>
      </c>
      <c r="H17" s="106">
        <f>'Expense Assumptions'!$H$6/12</f>
        <v>400</v>
      </c>
      <c r="I17" s="106">
        <f>'Expense Assumptions'!$H$6/12</f>
        <v>400</v>
      </c>
      <c r="J17" s="106">
        <f>'Expense Assumptions'!$H$6/12</f>
        <v>400</v>
      </c>
      <c r="K17" s="106">
        <f>'Expense Assumptions'!$H$6/12</f>
        <v>400</v>
      </c>
      <c r="L17" s="106">
        <f>'Expense Assumptions'!$H$6/12</f>
        <v>400</v>
      </c>
      <c r="M17" s="106">
        <f>'Expense Assumptions'!$H$6/12</f>
        <v>400</v>
      </c>
      <c r="N17" s="106">
        <f>'Expense Assumptions'!$H$6/12</f>
        <v>400</v>
      </c>
      <c r="O17" s="105">
        <f t="shared" ref="O17:O18" si="4">SUM(C17:N17)</f>
        <v>4800</v>
      </c>
    </row>
    <row r="18" spans="2:15" x14ac:dyDescent="0.2">
      <c r="B18" s="13" t="s">
        <v>83</v>
      </c>
      <c r="C18" s="106">
        <f>'Expense Assumptions'!$H$7/12</f>
        <v>500</v>
      </c>
      <c r="D18" s="106">
        <f>'Expense Assumptions'!$H$7/12</f>
        <v>500</v>
      </c>
      <c r="E18" s="106">
        <f>'Expense Assumptions'!$H$7/12</f>
        <v>500</v>
      </c>
      <c r="F18" s="106">
        <f>'Expense Assumptions'!$H$7/12</f>
        <v>500</v>
      </c>
      <c r="G18" s="106">
        <f>'Expense Assumptions'!$H$7/12</f>
        <v>500</v>
      </c>
      <c r="H18" s="106">
        <f>'Expense Assumptions'!$H$7/12</f>
        <v>500</v>
      </c>
      <c r="I18" s="106">
        <f>'Expense Assumptions'!$H$7/12</f>
        <v>500</v>
      </c>
      <c r="J18" s="106">
        <f>'Expense Assumptions'!$H$7/12</f>
        <v>500</v>
      </c>
      <c r="K18" s="106">
        <f>'Expense Assumptions'!$H$7/12</f>
        <v>500</v>
      </c>
      <c r="L18" s="106">
        <f>'Expense Assumptions'!$H$7/12</f>
        <v>500</v>
      </c>
      <c r="M18" s="106">
        <f>'Expense Assumptions'!$H$7/12</f>
        <v>500</v>
      </c>
      <c r="N18" s="106">
        <f>'Expense Assumptions'!$H$7/12</f>
        <v>500</v>
      </c>
      <c r="O18" s="105">
        <f t="shared" si="4"/>
        <v>6000</v>
      </c>
    </row>
    <row r="19" spans="2:15" x14ac:dyDescent="0.2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5"/>
    </row>
    <row r="20" spans="2:15" s="65" customFormat="1" x14ac:dyDescent="0.2">
      <c r="B20" s="65" t="s">
        <v>113</v>
      </c>
      <c r="C20" s="105">
        <f>C13-C16-C17-C18</f>
        <v>-13033.333333333336</v>
      </c>
      <c r="D20" s="105">
        <f t="shared" ref="D20:N20" si="5">D13-D16-D17-D18</f>
        <v>-9566.6666666666715</v>
      </c>
      <c r="E20" s="105">
        <f t="shared" si="5"/>
        <v>-7833.3333333333358</v>
      </c>
      <c r="F20" s="105">
        <f t="shared" si="5"/>
        <v>-2633.3333333333358</v>
      </c>
      <c r="G20" s="105">
        <f t="shared" si="5"/>
        <v>3433.3333333333285</v>
      </c>
      <c r="H20" s="105">
        <f t="shared" si="5"/>
        <v>25099.999999999993</v>
      </c>
      <c r="I20" s="105">
        <f t="shared" si="5"/>
        <v>33766.666666666664</v>
      </c>
      <c r="J20" s="105">
        <f t="shared" si="5"/>
        <v>45899.999999999993</v>
      </c>
      <c r="K20" s="105">
        <f t="shared" si="5"/>
        <v>77100</v>
      </c>
      <c r="L20" s="105">
        <f t="shared" si="5"/>
        <v>116966.66666666666</v>
      </c>
      <c r="M20" s="105">
        <f t="shared" si="5"/>
        <v>133433.33333333331</v>
      </c>
      <c r="N20" s="105">
        <f t="shared" si="5"/>
        <v>176766.66666666666</v>
      </c>
      <c r="O20" s="105">
        <f>O13-O16-O17-O18</f>
        <v>579400</v>
      </c>
    </row>
    <row r="21" spans="2:15" x14ac:dyDescent="0.2"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5"/>
    </row>
    <row r="22" spans="2:15" x14ac:dyDescent="0.2">
      <c r="B22" t="s">
        <v>111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5"/>
    </row>
    <row r="23" spans="2:15" x14ac:dyDescent="0.2">
      <c r="B23" s="13" t="s">
        <v>82</v>
      </c>
      <c r="C23" s="107">
        <f>'Expense Assumptions'!$H$15/12</f>
        <v>2083.3333333333335</v>
      </c>
      <c r="D23" s="107">
        <f>'Expense Assumptions'!$H$15/12</f>
        <v>2083.3333333333335</v>
      </c>
      <c r="E23" s="107">
        <f>'Expense Assumptions'!$H$15/12</f>
        <v>2083.3333333333335</v>
      </c>
      <c r="F23" s="107">
        <f>'Expense Assumptions'!$H$15/12</f>
        <v>2083.3333333333335</v>
      </c>
      <c r="G23" s="107">
        <f>'Expense Assumptions'!$H$15/12</f>
        <v>2083.3333333333335</v>
      </c>
      <c r="H23" s="107">
        <f>'Expense Assumptions'!$H$15/12</f>
        <v>2083.3333333333335</v>
      </c>
      <c r="I23" s="107">
        <f>'Expense Assumptions'!$H$15/12</f>
        <v>2083.3333333333335</v>
      </c>
      <c r="J23" s="107">
        <f>'Expense Assumptions'!$H$15/12</f>
        <v>2083.3333333333335</v>
      </c>
      <c r="K23" s="107">
        <f>'Expense Assumptions'!$H$15/12</f>
        <v>2083.3333333333335</v>
      </c>
      <c r="L23" s="107">
        <f>'Expense Assumptions'!$H$15/12</f>
        <v>2083.3333333333335</v>
      </c>
      <c r="M23" s="107">
        <f>'Expense Assumptions'!$H$15/12</f>
        <v>2083.3333333333335</v>
      </c>
      <c r="N23" s="107">
        <f>'Expense Assumptions'!$H$15/12</f>
        <v>2083.3333333333335</v>
      </c>
      <c r="O23" s="105">
        <f>SUM(C23:N23)</f>
        <v>24999.999999999996</v>
      </c>
    </row>
    <row r="24" spans="2:15" x14ac:dyDescent="0.2">
      <c r="B24" s="13" t="s">
        <v>26</v>
      </c>
      <c r="C24" s="107">
        <f>'Expense Assumptions'!$H$16/12</f>
        <v>2083.3333333333335</v>
      </c>
      <c r="D24" s="107">
        <f>'Expense Assumptions'!$H$16/12</f>
        <v>2083.3333333333335</v>
      </c>
      <c r="E24" s="107">
        <f>'Expense Assumptions'!$H$16/12</f>
        <v>2083.3333333333335</v>
      </c>
      <c r="F24" s="107">
        <f>'Expense Assumptions'!$H$16/12</f>
        <v>2083.3333333333335</v>
      </c>
      <c r="G24" s="107">
        <f>'Expense Assumptions'!$H$16/12</f>
        <v>2083.3333333333335</v>
      </c>
      <c r="H24" s="107">
        <f>'Expense Assumptions'!$H$16/12</f>
        <v>2083.3333333333335</v>
      </c>
      <c r="I24" s="107">
        <f>'Expense Assumptions'!$H$16/12</f>
        <v>2083.3333333333335</v>
      </c>
      <c r="J24" s="107">
        <f>'Expense Assumptions'!$H$16/12</f>
        <v>2083.3333333333335</v>
      </c>
      <c r="K24" s="107">
        <f>'Expense Assumptions'!$H$16/12</f>
        <v>2083.3333333333335</v>
      </c>
      <c r="L24" s="107">
        <f>'Expense Assumptions'!$H$16/12</f>
        <v>2083.3333333333335</v>
      </c>
      <c r="M24" s="107">
        <f>'Expense Assumptions'!$H$16/12</f>
        <v>2083.3333333333335</v>
      </c>
      <c r="N24" s="107">
        <f>'Expense Assumptions'!$H$16/12</f>
        <v>2083.3333333333335</v>
      </c>
      <c r="O24" s="105">
        <f t="shared" ref="O24:O32" si="6">SUM(C24:N24)</f>
        <v>24999.999999999996</v>
      </c>
    </row>
    <row r="25" spans="2:15" x14ac:dyDescent="0.2">
      <c r="B25" s="13" t="s">
        <v>86</v>
      </c>
      <c r="C25" s="107">
        <f>'Expense Assumptions'!$H$14/12</f>
        <v>24266.666666666668</v>
      </c>
      <c r="D25" s="107">
        <f>'Expense Assumptions'!$H$14/12</f>
        <v>24266.666666666668</v>
      </c>
      <c r="E25" s="107">
        <f>'Expense Assumptions'!$H$14/12</f>
        <v>24266.666666666668</v>
      </c>
      <c r="F25" s="107">
        <f>'Expense Assumptions'!$H$14/12</f>
        <v>24266.666666666668</v>
      </c>
      <c r="G25" s="107">
        <f>'Expense Assumptions'!$H$14/12</f>
        <v>24266.666666666668</v>
      </c>
      <c r="H25" s="107">
        <f>'Expense Assumptions'!$H$14/12</f>
        <v>24266.666666666668</v>
      </c>
      <c r="I25" s="107">
        <f>'Expense Assumptions'!$H$14/12</f>
        <v>24266.666666666668</v>
      </c>
      <c r="J25" s="107">
        <f>'Expense Assumptions'!$H$14/12</f>
        <v>24266.666666666668</v>
      </c>
      <c r="K25" s="107">
        <f>'Expense Assumptions'!$H$14/12</f>
        <v>24266.666666666668</v>
      </c>
      <c r="L25" s="107">
        <f>'Expense Assumptions'!$H$14/12</f>
        <v>24266.666666666668</v>
      </c>
      <c r="M25" s="107">
        <f>'Expense Assumptions'!$H$14/12</f>
        <v>24266.666666666668</v>
      </c>
      <c r="N25" s="107">
        <f>'Expense Assumptions'!$H$14/12</f>
        <v>24266.666666666668</v>
      </c>
      <c r="O25" s="105">
        <f t="shared" si="6"/>
        <v>291200</v>
      </c>
    </row>
    <row r="26" spans="2:15" x14ac:dyDescent="0.2">
      <c r="B26" s="13" t="s">
        <v>80</v>
      </c>
      <c r="C26" s="108">
        <f>'Expense Assumptions'!$H$11/12</f>
        <v>2083.3333333333335</v>
      </c>
      <c r="D26" s="108">
        <f>'Expense Assumptions'!$H$11/12</f>
        <v>2083.3333333333335</v>
      </c>
      <c r="E26" s="108">
        <f>'Expense Assumptions'!$H$11/12</f>
        <v>2083.3333333333335</v>
      </c>
      <c r="F26" s="108">
        <f>'Expense Assumptions'!$H$11/12</f>
        <v>2083.3333333333335</v>
      </c>
      <c r="G26" s="108">
        <f>'Expense Assumptions'!$H$11/12</f>
        <v>2083.3333333333335</v>
      </c>
      <c r="H26" s="108">
        <f>'Expense Assumptions'!$H$11/12</f>
        <v>2083.3333333333335</v>
      </c>
      <c r="I26" s="108">
        <f>'Expense Assumptions'!$H$11/12</f>
        <v>2083.3333333333335</v>
      </c>
      <c r="J26" s="108">
        <f>'Expense Assumptions'!$H$11/12</f>
        <v>2083.3333333333335</v>
      </c>
      <c r="K26" s="108">
        <f>'Expense Assumptions'!$H$11/12</f>
        <v>2083.3333333333335</v>
      </c>
      <c r="L26" s="108">
        <f>'Expense Assumptions'!$H$11/12</f>
        <v>2083.3333333333335</v>
      </c>
      <c r="M26" s="108">
        <f>'Expense Assumptions'!$H$11/12</f>
        <v>2083.3333333333335</v>
      </c>
      <c r="N26" s="108">
        <f>'Expense Assumptions'!$H$11/12</f>
        <v>2083.3333333333335</v>
      </c>
      <c r="O26" s="105">
        <f t="shared" si="6"/>
        <v>24999.999999999996</v>
      </c>
    </row>
    <row r="27" spans="2:15" x14ac:dyDescent="0.2">
      <c r="B27" s="13" t="s">
        <v>81</v>
      </c>
      <c r="C27" s="108">
        <f>'Expense Assumptions'!$H$12/12</f>
        <v>20833.333333333332</v>
      </c>
      <c r="D27" s="108">
        <f>'Expense Assumptions'!$H$12/12</f>
        <v>20833.333333333332</v>
      </c>
      <c r="E27" s="108">
        <f>'Expense Assumptions'!$H$12/12</f>
        <v>20833.333333333332</v>
      </c>
      <c r="F27" s="108">
        <f>'Expense Assumptions'!$H$12/12</f>
        <v>20833.333333333332</v>
      </c>
      <c r="G27" s="108">
        <f>'Expense Assumptions'!$H$12/12</f>
        <v>20833.333333333332</v>
      </c>
      <c r="H27" s="108">
        <f>'Expense Assumptions'!$H$12/12</f>
        <v>20833.333333333332</v>
      </c>
      <c r="I27" s="108">
        <f>'Expense Assumptions'!$H$12/12</f>
        <v>20833.333333333332</v>
      </c>
      <c r="J27" s="108">
        <f>'Expense Assumptions'!$H$12/12</f>
        <v>20833.333333333332</v>
      </c>
      <c r="K27" s="108">
        <f>'Expense Assumptions'!$H$12/12</f>
        <v>20833.333333333332</v>
      </c>
      <c r="L27" s="108">
        <f>'Expense Assumptions'!$H$12/12</f>
        <v>20833.333333333332</v>
      </c>
      <c r="M27" s="108">
        <f>'Expense Assumptions'!$H$12/12</f>
        <v>20833.333333333332</v>
      </c>
      <c r="N27" s="108">
        <f>'Expense Assumptions'!$H$12/12</f>
        <v>20833.333333333332</v>
      </c>
      <c r="O27" s="105">
        <f t="shared" si="6"/>
        <v>250000.00000000003</v>
      </c>
    </row>
    <row r="28" spans="2:15" x14ac:dyDescent="0.2">
      <c r="B28" s="13" t="s">
        <v>115</v>
      </c>
      <c r="C28" s="108">
        <f>'Expense Assumptions'!$D$25+'Expense Assumptions'!$H$25</f>
        <v>3116.6666666666665</v>
      </c>
      <c r="D28" s="108">
        <f>'Expense Assumptions'!$D$25+'Expense Assumptions'!$H$25</f>
        <v>3116.6666666666665</v>
      </c>
      <c r="E28" s="108">
        <f>'Expense Assumptions'!$D$25+'Expense Assumptions'!$H$25</f>
        <v>3116.6666666666665</v>
      </c>
      <c r="F28" s="108">
        <f>'Expense Assumptions'!$D$25+'Expense Assumptions'!$H$25</f>
        <v>3116.6666666666665</v>
      </c>
      <c r="G28" s="108">
        <f>'Expense Assumptions'!$D$25+'Expense Assumptions'!$H$25</f>
        <v>3116.6666666666665</v>
      </c>
      <c r="H28" s="108">
        <f>'Expense Assumptions'!$D$25+'Expense Assumptions'!$H$25</f>
        <v>3116.6666666666665</v>
      </c>
      <c r="I28" s="108">
        <f>'Expense Assumptions'!$D$25+'Expense Assumptions'!$H$25</f>
        <v>3116.6666666666665</v>
      </c>
      <c r="J28" s="108">
        <f>'Expense Assumptions'!$D$25+'Expense Assumptions'!$H$25</f>
        <v>3116.6666666666665</v>
      </c>
      <c r="K28" s="108">
        <f>'Expense Assumptions'!$D$25+'Expense Assumptions'!$H$25</f>
        <v>3116.6666666666665</v>
      </c>
      <c r="L28" s="108">
        <f>'Expense Assumptions'!$D$25+'Expense Assumptions'!$H$25</f>
        <v>3116.6666666666665</v>
      </c>
      <c r="M28" s="108">
        <f>'Expense Assumptions'!$D$25+'Expense Assumptions'!$H$25</f>
        <v>3116.6666666666665</v>
      </c>
      <c r="N28" s="108">
        <f>'Expense Assumptions'!$D$25+'Expense Assumptions'!$H$25</f>
        <v>3116.6666666666665</v>
      </c>
      <c r="O28" s="105">
        <f>'Expense Assumptions'!$D$25+'Expense Assumptions'!$H$25</f>
        <v>3116.6666666666665</v>
      </c>
    </row>
    <row r="29" spans="2:15" x14ac:dyDescent="0.2">
      <c r="B29" s="13" t="s">
        <v>27</v>
      </c>
      <c r="C29" s="108">
        <f>'Expense Assumptions'!$H$13/12</f>
        <v>2083.3333333333335</v>
      </c>
      <c r="D29" s="108">
        <f>'Expense Assumptions'!$H$13/12</f>
        <v>2083.3333333333335</v>
      </c>
      <c r="E29" s="108">
        <f>'Expense Assumptions'!$H$13/12</f>
        <v>2083.3333333333335</v>
      </c>
      <c r="F29" s="108">
        <f>'Expense Assumptions'!$H$13/12</f>
        <v>2083.3333333333335</v>
      </c>
      <c r="G29" s="108">
        <f>'Expense Assumptions'!$H$13/12</f>
        <v>2083.3333333333335</v>
      </c>
      <c r="H29" s="108">
        <f>'Expense Assumptions'!$H$13/12</f>
        <v>2083.3333333333335</v>
      </c>
      <c r="I29" s="108">
        <f>'Expense Assumptions'!$H$13/12</f>
        <v>2083.3333333333335</v>
      </c>
      <c r="J29" s="108">
        <f>'Expense Assumptions'!$H$13/12</f>
        <v>2083.3333333333335</v>
      </c>
      <c r="K29" s="108">
        <f>'Expense Assumptions'!$H$13/12</f>
        <v>2083.3333333333335</v>
      </c>
      <c r="L29" s="108">
        <f>'Expense Assumptions'!$H$13/12</f>
        <v>2083.3333333333335</v>
      </c>
      <c r="M29" s="108">
        <f>'Expense Assumptions'!$H$13/12</f>
        <v>2083.3333333333335</v>
      </c>
      <c r="N29" s="108">
        <f>'Expense Assumptions'!$H$13/12</f>
        <v>2083.3333333333335</v>
      </c>
      <c r="O29" s="105">
        <f t="shared" si="6"/>
        <v>24999.999999999996</v>
      </c>
    </row>
    <row r="30" spans="2:15" x14ac:dyDescent="0.2">
      <c r="B30" s="13" t="s">
        <v>35</v>
      </c>
      <c r="C30" s="108">
        <f>'Expense Assumptions'!$H$17/12</f>
        <v>416.66666666666669</v>
      </c>
      <c r="D30" s="108">
        <f>'Expense Assumptions'!$H$17/12</f>
        <v>416.66666666666669</v>
      </c>
      <c r="E30" s="108">
        <f>'Expense Assumptions'!$H$17/12</f>
        <v>416.66666666666669</v>
      </c>
      <c r="F30" s="108">
        <f>'Expense Assumptions'!$H$17/12</f>
        <v>416.66666666666669</v>
      </c>
      <c r="G30" s="108">
        <f>'Expense Assumptions'!$H$17/12</f>
        <v>416.66666666666669</v>
      </c>
      <c r="H30" s="108">
        <f>'Expense Assumptions'!$H$17/12</f>
        <v>416.66666666666669</v>
      </c>
      <c r="I30" s="108">
        <f>'Expense Assumptions'!$H$17/12</f>
        <v>416.66666666666669</v>
      </c>
      <c r="J30" s="108">
        <f>'Expense Assumptions'!$H$17/12</f>
        <v>416.66666666666669</v>
      </c>
      <c r="K30" s="108">
        <f>'Expense Assumptions'!$H$17/12</f>
        <v>416.66666666666669</v>
      </c>
      <c r="L30" s="108">
        <f>'Expense Assumptions'!$H$17/12</f>
        <v>416.66666666666669</v>
      </c>
      <c r="M30" s="108">
        <f>'Expense Assumptions'!$H$17/12</f>
        <v>416.66666666666669</v>
      </c>
      <c r="N30" s="108">
        <f>'Expense Assumptions'!$H$17/12</f>
        <v>416.66666666666669</v>
      </c>
      <c r="O30" s="105">
        <f t="shared" si="6"/>
        <v>5000</v>
      </c>
    </row>
    <row r="31" spans="2:15" x14ac:dyDescent="0.2">
      <c r="B31" s="13" t="s">
        <v>120</v>
      </c>
      <c r="C31" s="108">
        <f>'Expense Assumptions'!$H$18/12</f>
        <v>100</v>
      </c>
      <c r="D31" s="108">
        <f>'Expense Assumptions'!$H$18/12</f>
        <v>100</v>
      </c>
      <c r="E31" s="108">
        <f>'Expense Assumptions'!$H$18/12</f>
        <v>100</v>
      </c>
      <c r="F31" s="108">
        <f>'Expense Assumptions'!$H$18/12</f>
        <v>100</v>
      </c>
      <c r="G31" s="108">
        <f>'Expense Assumptions'!$H$18/12</f>
        <v>100</v>
      </c>
      <c r="H31" s="108">
        <f>'Expense Assumptions'!$H$18/12</f>
        <v>100</v>
      </c>
      <c r="I31" s="108">
        <f>'Expense Assumptions'!$H$18/12</f>
        <v>100</v>
      </c>
      <c r="J31" s="108">
        <f>'Expense Assumptions'!$H$18/12</f>
        <v>100</v>
      </c>
      <c r="K31" s="108">
        <f>'Expense Assumptions'!$H$18/12</f>
        <v>100</v>
      </c>
      <c r="L31" s="108">
        <f>'Expense Assumptions'!$H$18/12</f>
        <v>100</v>
      </c>
      <c r="M31" s="108">
        <f>'Expense Assumptions'!$H$18/12</f>
        <v>100</v>
      </c>
      <c r="N31" s="108">
        <f>'Expense Assumptions'!$H$18/12</f>
        <v>100</v>
      </c>
      <c r="O31" s="105">
        <f t="shared" si="6"/>
        <v>1200</v>
      </c>
    </row>
    <row r="32" spans="2:15" x14ac:dyDescent="0.2">
      <c r="B32" s="15" t="s">
        <v>112</v>
      </c>
      <c r="C32" s="106">
        <f>SUM(C23:C31)</f>
        <v>57066.666666666664</v>
      </c>
      <c r="D32" s="106">
        <f t="shared" ref="D32:N32" si="7">SUM(D23:D31)</f>
        <v>57066.666666666664</v>
      </c>
      <c r="E32" s="106">
        <f t="shared" si="7"/>
        <v>57066.666666666664</v>
      </c>
      <c r="F32" s="106">
        <f t="shared" si="7"/>
        <v>57066.666666666664</v>
      </c>
      <c r="G32" s="106">
        <f t="shared" si="7"/>
        <v>57066.666666666664</v>
      </c>
      <c r="H32" s="106">
        <f t="shared" si="7"/>
        <v>57066.666666666664</v>
      </c>
      <c r="I32" s="106">
        <f t="shared" si="7"/>
        <v>57066.666666666664</v>
      </c>
      <c r="J32" s="106">
        <f t="shared" si="7"/>
        <v>57066.666666666664</v>
      </c>
      <c r="K32" s="106">
        <f t="shared" si="7"/>
        <v>57066.666666666664</v>
      </c>
      <c r="L32" s="106">
        <f t="shared" si="7"/>
        <v>57066.666666666664</v>
      </c>
      <c r="M32" s="106">
        <f t="shared" si="7"/>
        <v>57066.666666666664</v>
      </c>
      <c r="N32" s="106">
        <f t="shared" si="7"/>
        <v>57066.666666666664</v>
      </c>
      <c r="O32" s="105">
        <f t="shared" si="6"/>
        <v>684800</v>
      </c>
    </row>
    <row r="33" spans="2:15" x14ac:dyDescent="0.2"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5"/>
    </row>
    <row r="34" spans="2:15" s="65" customFormat="1" x14ac:dyDescent="0.2">
      <c r="B34" s="83" t="s">
        <v>114</v>
      </c>
      <c r="C34" s="105">
        <f>C20-C32</f>
        <v>-70100</v>
      </c>
      <c r="D34" s="105">
        <f t="shared" ref="D34:N34" si="8">D20-D32</f>
        <v>-66633.333333333343</v>
      </c>
      <c r="E34" s="105">
        <f t="shared" si="8"/>
        <v>-64900</v>
      </c>
      <c r="F34" s="105">
        <f t="shared" si="8"/>
        <v>-59700</v>
      </c>
      <c r="G34" s="105">
        <f t="shared" si="8"/>
        <v>-53633.333333333336</v>
      </c>
      <c r="H34" s="105">
        <f t="shared" si="8"/>
        <v>-31966.666666666672</v>
      </c>
      <c r="I34" s="105">
        <f t="shared" si="8"/>
        <v>-23300</v>
      </c>
      <c r="J34" s="105">
        <f t="shared" si="8"/>
        <v>-11166.666666666672</v>
      </c>
      <c r="K34" s="105">
        <f>K20-K32</f>
        <v>20033.333333333336</v>
      </c>
      <c r="L34" s="105">
        <f t="shared" si="8"/>
        <v>59899.999999999993</v>
      </c>
      <c r="M34" s="105">
        <f t="shared" si="8"/>
        <v>76366.666666666657</v>
      </c>
      <c r="N34" s="105">
        <f t="shared" si="8"/>
        <v>119700</v>
      </c>
      <c r="O34" s="105">
        <f>O20-O32</f>
        <v>-105400</v>
      </c>
    </row>
  </sheetData>
  <mergeCells count="1">
    <mergeCell ref="L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O34"/>
  <sheetViews>
    <sheetView topLeftCell="B1" workbookViewId="0"/>
  </sheetViews>
  <sheetFormatPr baseColWidth="10" defaultRowHeight="16" outlineLevelRow="1" x14ac:dyDescent="0.2"/>
  <cols>
    <col min="1" max="1" width="0.83203125" customWidth="1"/>
    <col min="2" max="2" width="27.5" customWidth="1"/>
    <col min="3" max="14" width="10.5" customWidth="1"/>
    <col min="15" max="15" width="11.33203125" customWidth="1"/>
  </cols>
  <sheetData>
    <row r="2" spans="2:15" x14ac:dyDescent="0.2">
      <c r="B2" s="86" t="s">
        <v>288</v>
      </c>
      <c r="C2" s="86" t="s">
        <v>103</v>
      </c>
      <c r="D2" s="87">
        <v>126897</v>
      </c>
      <c r="E2" s="87"/>
      <c r="F2" s="87"/>
      <c r="G2" s="88"/>
      <c r="H2" s="89"/>
      <c r="I2" s="89"/>
      <c r="J2" s="89"/>
      <c r="K2" s="89"/>
      <c r="L2" s="164"/>
      <c r="M2" s="164" t="s">
        <v>255</v>
      </c>
      <c r="N2" s="164"/>
      <c r="O2" s="164"/>
    </row>
    <row r="4" spans="2:15" s="65" customFormat="1" x14ac:dyDescent="0.2">
      <c r="B4" s="84"/>
      <c r="C4" s="84" t="s">
        <v>168</v>
      </c>
      <c r="D4" s="84" t="s">
        <v>169</v>
      </c>
      <c r="E4" s="84" t="s">
        <v>170</v>
      </c>
      <c r="F4" s="84" t="s">
        <v>171</v>
      </c>
      <c r="G4" s="84" t="s">
        <v>172</v>
      </c>
      <c r="H4" s="84" t="s">
        <v>173</v>
      </c>
      <c r="I4" s="84" t="s">
        <v>174</v>
      </c>
      <c r="J4" s="84" t="s">
        <v>175</v>
      </c>
      <c r="K4" s="84" t="s">
        <v>176</v>
      </c>
      <c r="L4" s="84" t="s">
        <v>177</v>
      </c>
      <c r="M4" s="84" t="s">
        <v>178</v>
      </c>
      <c r="N4" s="84" t="s">
        <v>179</v>
      </c>
      <c r="O4" s="85" t="s">
        <v>32</v>
      </c>
    </row>
    <row r="6" spans="2:15" x14ac:dyDescent="0.2">
      <c r="B6" t="s">
        <v>121</v>
      </c>
      <c r="C6" s="5">
        <v>6809.8775353999226</v>
      </c>
      <c r="D6" s="5">
        <v>7417.902315346344</v>
      </c>
      <c r="E6" s="5">
        <v>7782.7171833141983</v>
      </c>
      <c r="F6" s="5">
        <v>8147.5320512820508</v>
      </c>
      <c r="G6" s="5">
        <v>8852.8407960198983</v>
      </c>
      <c r="H6" s="5">
        <v>9777.0384615384592</v>
      </c>
      <c r="I6" s="5">
        <v>10847.162074244163</v>
      </c>
      <c r="J6" s="5">
        <v>11674.075774971298</v>
      </c>
      <c r="K6" s="5">
        <v>12744.199387676998</v>
      </c>
      <c r="L6" s="5">
        <v>14008.890929965557</v>
      </c>
      <c r="M6" s="5">
        <v>14835.804630692688</v>
      </c>
      <c r="N6" s="5">
        <v>15930.249234596247</v>
      </c>
      <c r="O6" s="103">
        <f>N6</f>
        <v>15930.249234596247</v>
      </c>
    </row>
    <row r="7" spans="2:15" ht="15" hidden="1" customHeight="1" outlineLevel="1" x14ac:dyDescent="0.2">
      <c r="B7" t="s">
        <v>104</v>
      </c>
      <c r="C7" s="11">
        <f>C$6*Sheet6!$M$11*8</f>
        <v>1144583.2626806793</v>
      </c>
      <c r="D7" s="11">
        <f>D$6*Sheet6!$M$11*8</f>
        <v>1246778.1968485969</v>
      </c>
      <c r="E7" s="11">
        <f>E$6*Sheet6!$M$11*8</f>
        <v>1308095.1573493478</v>
      </c>
      <c r="F7" s="11">
        <f>F$6*Sheet6!$M$11*8</f>
        <v>1369412.1178500985</v>
      </c>
      <c r="G7" s="11">
        <f>G$6*Sheet6!$M$11*8</f>
        <v>1487958.2414848828</v>
      </c>
      <c r="H7" s="11">
        <f>H$6*Sheet6!$M$11*8</f>
        <v>1643294.541420118</v>
      </c>
      <c r="I7" s="11">
        <f>I$6*Sheet6!$M$11*8</f>
        <v>1823157.6255556534</v>
      </c>
      <c r="J7" s="11">
        <f>J$6*Sheet6!$M$11*8</f>
        <v>1962142.7360240219</v>
      </c>
      <c r="K7" s="11">
        <f>K$6*Sheet6!$M$11*8</f>
        <v>2142005.8201595568</v>
      </c>
      <c r="L7" s="11">
        <f>L$6*Sheet6!$M$11*8</f>
        <v>2354571.2832288262</v>
      </c>
      <c r="M7" s="11">
        <f>M$6*Sheet6!$M$11*8</f>
        <v>2493556.3936971938</v>
      </c>
      <c r="N7" s="11">
        <f>N$6*Sheet6!$M$11*8</f>
        <v>2677507.2751994459</v>
      </c>
      <c r="O7" s="65"/>
    </row>
    <row r="8" spans="2:15" ht="15" hidden="1" customHeight="1" outlineLevel="1" x14ac:dyDescent="0.2">
      <c r="B8" t="s">
        <v>105</v>
      </c>
      <c r="C8" s="11">
        <f>C$6*Sheet6!$M$11*8*5</f>
        <v>5722916.3134033969</v>
      </c>
      <c r="D8" s="11">
        <f>D$6*Sheet6!$M$11*8*5</f>
        <v>6233890.984242985</v>
      </c>
      <c r="E8" s="11">
        <f>E$6*Sheet6!$M$11*8*5</f>
        <v>6540475.7867467394</v>
      </c>
      <c r="F8" s="11">
        <f>F$6*Sheet6!$M$11*8*5</f>
        <v>6847060.5892504929</v>
      </c>
      <c r="G8" s="11">
        <f>G$6*Sheet6!$M$11*8*5</f>
        <v>7439791.2074244134</v>
      </c>
      <c r="H8" s="11">
        <f>H$6*Sheet6!$M$11*8*5</f>
        <v>8216472.7071005898</v>
      </c>
      <c r="I8" s="11">
        <f>I$6*Sheet6!$M$11*8*5</f>
        <v>9115788.1277782675</v>
      </c>
      <c r="J8" s="11">
        <f>J$6*Sheet6!$M$11*8*5</f>
        <v>9810713.6801201086</v>
      </c>
      <c r="K8" s="11">
        <f>K$6*Sheet6!$M$11*8*5</f>
        <v>10710029.100797784</v>
      </c>
      <c r="L8" s="11">
        <f>L$6*Sheet6!$M$11*8*5</f>
        <v>11772856.416144131</v>
      </c>
      <c r="M8" s="11">
        <f>M$6*Sheet6!$M$11*8*5</f>
        <v>12467781.96848597</v>
      </c>
      <c r="N8" s="11">
        <f>N$6*Sheet6!$M$11*8*5</f>
        <v>13387536.37599723</v>
      </c>
      <c r="O8" s="65"/>
    </row>
    <row r="9" spans="2:15" ht="15" hidden="1" customHeight="1" collapsed="1" x14ac:dyDescent="0.2">
      <c r="B9" t="s">
        <v>108</v>
      </c>
      <c r="C9" s="9">
        <f>(C8*52)/12</f>
        <v>24799304.024748053</v>
      </c>
      <c r="D9" s="9">
        <f t="shared" ref="D9:N9" si="0">(D8*52)/12</f>
        <v>27013527.598386269</v>
      </c>
      <c r="E9" s="9">
        <f t="shared" si="0"/>
        <v>28342061.742569204</v>
      </c>
      <c r="F9" s="9">
        <f t="shared" si="0"/>
        <v>29670595.886752132</v>
      </c>
      <c r="G9" s="9">
        <f t="shared" si="0"/>
        <v>32239095.232172459</v>
      </c>
      <c r="H9" s="9">
        <f t="shared" si="0"/>
        <v>35604715.064102553</v>
      </c>
      <c r="I9" s="9">
        <f t="shared" si="0"/>
        <v>39501748.553705826</v>
      </c>
      <c r="J9" s="9">
        <f t="shared" si="0"/>
        <v>42513092.613853805</v>
      </c>
      <c r="K9" s="9">
        <f t="shared" si="0"/>
        <v>46410126.103457063</v>
      </c>
      <c r="L9" s="9">
        <f t="shared" si="0"/>
        <v>51015711.136624567</v>
      </c>
      <c r="M9" s="9">
        <f t="shared" si="0"/>
        <v>54027055.196772538</v>
      </c>
      <c r="N9" s="9">
        <f t="shared" si="0"/>
        <v>58012657.629321337</v>
      </c>
      <c r="O9" s="82">
        <f>SUM(C9:N9)</f>
        <v>469149690.78246576</v>
      </c>
    </row>
    <row r="10" spans="2:15" ht="15" hidden="1" customHeight="1" x14ac:dyDescent="0.2">
      <c r="O10" s="65"/>
    </row>
    <row r="11" spans="2:15" ht="15" hidden="1" customHeight="1" outlineLevel="1" x14ac:dyDescent="0.2">
      <c r="B11" t="s">
        <v>106</v>
      </c>
      <c r="C11" s="9">
        <f>C6*8</f>
        <v>54479.020283199381</v>
      </c>
      <c r="D11" s="9">
        <f t="shared" ref="D11:N11" si="1">D6*8</f>
        <v>59343.218522770752</v>
      </c>
      <c r="E11" s="9">
        <f t="shared" si="1"/>
        <v>62261.737466513587</v>
      </c>
      <c r="F11" s="9">
        <f t="shared" si="1"/>
        <v>65180.256410256407</v>
      </c>
      <c r="G11" s="9">
        <f t="shared" si="1"/>
        <v>70822.726368159187</v>
      </c>
      <c r="H11" s="9">
        <f t="shared" si="1"/>
        <v>78216.307692307673</v>
      </c>
      <c r="I11" s="9">
        <f t="shared" si="1"/>
        <v>86777.296593953302</v>
      </c>
      <c r="J11" s="9">
        <f t="shared" si="1"/>
        <v>93392.60619977038</v>
      </c>
      <c r="K11" s="9">
        <f t="shared" si="1"/>
        <v>101953.59510141598</v>
      </c>
      <c r="L11" s="9">
        <f t="shared" si="1"/>
        <v>112071.12743972446</v>
      </c>
      <c r="M11" s="9">
        <f t="shared" si="1"/>
        <v>118686.4370455415</v>
      </c>
      <c r="N11" s="9">
        <f t="shared" si="1"/>
        <v>127441.99387676998</v>
      </c>
      <c r="O11" s="65"/>
    </row>
    <row r="12" spans="2:15" ht="15" hidden="1" customHeight="1" outlineLevel="1" x14ac:dyDescent="0.2">
      <c r="B12" t="s">
        <v>107</v>
      </c>
      <c r="C12" s="9">
        <f>C6*8*5</f>
        <v>272395.10141599691</v>
      </c>
      <c r="D12" s="9">
        <f t="shared" ref="D12:N12" si="2">D6*8*5</f>
        <v>296716.09261385375</v>
      </c>
      <c r="E12" s="9">
        <f t="shared" si="2"/>
        <v>311308.68733256793</v>
      </c>
      <c r="F12" s="9">
        <f t="shared" si="2"/>
        <v>325901.282051282</v>
      </c>
      <c r="G12" s="9">
        <f t="shared" si="2"/>
        <v>354113.63184079592</v>
      </c>
      <c r="H12" s="9">
        <f t="shared" si="2"/>
        <v>391081.53846153838</v>
      </c>
      <c r="I12" s="9">
        <f t="shared" si="2"/>
        <v>433886.48296976648</v>
      </c>
      <c r="J12" s="9">
        <f t="shared" si="2"/>
        <v>466963.03099885187</v>
      </c>
      <c r="K12" s="9">
        <f t="shared" si="2"/>
        <v>509767.97550707991</v>
      </c>
      <c r="L12" s="9">
        <f t="shared" si="2"/>
        <v>560355.63719862234</v>
      </c>
      <c r="M12" s="9">
        <f t="shared" si="2"/>
        <v>593432.18522770749</v>
      </c>
      <c r="N12" s="9">
        <f t="shared" si="2"/>
        <v>637209.96938384988</v>
      </c>
      <c r="O12" s="65"/>
    </row>
    <row r="13" spans="2:15" s="65" customFormat="1" collapsed="1" x14ac:dyDescent="0.2">
      <c r="B13" s="65" t="s">
        <v>109</v>
      </c>
      <c r="C13" s="104">
        <f>(C12*52)/12</f>
        <v>1180378.7728026533</v>
      </c>
      <c r="D13" s="104">
        <f t="shared" ref="D13:N13" si="3">(D12*52)/12</f>
        <v>1285769.7346600329</v>
      </c>
      <c r="E13" s="104">
        <f t="shared" si="3"/>
        <v>1349004.3117744611</v>
      </c>
      <c r="F13" s="104">
        <f t="shared" si="3"/>
        <v>1412238.8888888888</v>
      </c>
      <c r="G13" s="104">
        <f t="shared" si="3"/>
        <v>1534492.404643449</v>
      </c>
      <c r="H13" s="104">
        <f t="shared" si="3"/>
        <v>1694686.6666666663</v>
      </c>
      <c r="I13" s="104">
        <f t="shared" si="3"/>
        <v>1880174.7595356547</v>
      </c>
      <c r="J13" s="104">
        <f t="shared" si="3"/>
        <v>2023506.4676616916</v>
      </c>
      <c r="K13" s="104">
        <f t="shared" si="3"/>
        <v>2208994.5605306798</v>
      </c>
      <c r="L13" s="104">
        <f t="shared" si="3"/>
        <v>2428207.7611940303</v>
      </c>
      <c r="M13" s="104">
        <f t="shared" si="3"/>
        <v>2571539.4693200658</v>
      </c>
      <c r="N13" s="104">
        <f t="shared" si="3"/>
        <v>2761243.2006633496</v>
      </c>
      <c r="O13" s="105">
        <f>SUM(C13:N13)</f>
        <v>22330236.998341624</v>
      </c>
    </row>
    <row r="14" spans="2:15" x14ac:dyDescent="0.2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5"/>
    </row>
    <row r="15" spans="2:15" x14ac:dyDescent="0.2">
      <c r="B15" t="s">
        <v>110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5"/>
    </row>
    <row r="16" spans="2:15" x14ac:dyDescent="0.2">
      <c r="B16" s="13" t="s">
        <v>64</v>
      </c>
      <c r="C16" s="106">
        <f>'Expense Assumptions'!$L$8/12</f>
        <v>325000</v>
      </c>
      <c r="D16" s="106">
        <f>'Expense Assumptions'!$L$8/12</f>
        <v>325000</v>
      </c>
      <c r="E16" s="106">
        <f>'Expense Assumptions'!$L$8/12</f>
        <v>325000</v>
      </c>
      <c r="F16" s="106">
        <f>'Expense Assumptions'!$L$8/12</f>
        <v>325000</v>
      </c>
      <c r="G16" s="106">
        <f>'Expense Assumptions'!$L$8/12</f>
        <v>325000</v>
      </c>
      <c r="H16" s="106">
        <f>'Expense Assumptions'!$L$8/12</f>
        <v>325000</v>
      </c>
      <c r="I16" s="106">
        <f>'Expense Assumptions'!$L$8/12</f>
        <v>325000</v>
      </c>
      <c r="J16" s="106">
        <f>'Expense Assumptions'!$L$8/12</f>
        <v>325000</v>
      </c>
      <c r="K16" s="106">
        <f>'Expense Assumptions'!$L$8/12</f>
        <v>325000</v>
      </c>
      <c r="L16" s="106">
        <f>'Expense Assumptions'!$L$8/12</f>
        <v>325000</v>
      </c>
      <c r="M16" s="106">
        <f>'Expense Assumptions'!$L$8/12</f>
        <v>325000</v>
      </c>
      <c r="N16" s="106">
        <f>'Expense Assumptions'!$L$8/12</f>
        <v>325000</v>
      </c>
      <c r="O16" s="105">
        <f>SUM(C16:N16)</f>
        <v>3900000</v>
      </c>
    </row>
    <row r="17" spans="2:15" x14ac:dyDescent="0.2">
      <c r="B17" s="13" t="s">
        <v>62</v>
      </c>
      <c r="C17" s="106">
        <f>'Expense Assumptions'!$L$6/12</f>
        <v>2000</v>
      </c>
      <c r="D17" s="106">
        <f>'Expense Assumptions'!$L$6/12</f>
        <v>2000</v>
      </c>
      <c r="E17" s="106">
        <f>'Expense Assumptions'!$L$6/12</f>
        <v>2000</v>
      </c>
      <c r="F17" s="106">
        <f>'Expense Assumptions'!$L$6/12</f>
        <v>2000</v>
      </c>
      <c r="G17" s="106">
        <f>'Expense Assumptions'!$L$6/12</f>
        <v>2000</v>
      </c>
      <c r="H17" s="106">
        <f>'Expense Assumptions'!$L$6/12</f>
        <v>2000</v>
      </c>
      <c r="I17" s="106">
        <f>'Expense Assumptions'!$L$6/12</f>
        <v>2000</v>
      </c>
      <c r="J17" s="106">
        <f>'Expense Assumptions'!$L$6/12</f>
        <v>2000</v>
      </c>
      <c r="K17" s="106">
        <f>'Expense Assumptions'!$L$6/12</f>
        <v>2000</v>
      </c>
      <c r="L17" s="106">
        <f>'Expense Assumptions'!$L$6/12</f>
        <v>2000</v>
      </c>
      <c r="M17" s="106">
        <f>'Expense Assumptions'!$L$6/12</f>
        <v>2000</v>
      </c>
      <c r="N17" s="106">
        <f>'Expense Assumptions'!$L$6/12</f>
        <v>2000</v>
      </c>
      <c r="O17" s="105">
        <f t="shared" ref="O17:O18" si="4">SUM(C17:N17)</f>
        <v>24000</v>
      </c>
    </row>
    <row r="18" spans="2:15" x14ac:dyDescent="0.2">
      <c r="B18" s="13" t="s">
        <v>83</v>
      </c>
      <c r="C18" s="106">
        <f>'Expense Assumptions'!$L$7/12</f>
        <v>2083.3333333333335</v>
      </c>
      <c r="D18" s="106">
        <f>'Expense Assumptions'!$L$7/12</f>
        <v>2083.3333333333335</v>
      </c>
      <c r="E18" s="106">
        <f>'Expense Assumptions'!$L$7/12</f>
        <v>2083.3333333333335</v>
      </c>
      <c r="F18" s="106">
        <f>'Expense Assumptions'!$L$7/12</f>
        <v>2083.3333333333335</v>
      </c>
      <c r="G18" s="106">
        <f>'Expense Assumptions'!$L$7/12</f>
        <v>2083.3333333333335</v>
      </c>
      <c r="H18" s="106">
        <f>'Expense Assumptions'!$L$7/12</f>
        <v>2083.3333333333335</v>
      </c>
      <c r="I18" s="106">
        <f>'Expense Assumptions'!$L$7/12</f>
        <v>2083.3333333333335</v>
      </c>
      <c r="J18" s="106">
        <f>'Expense Assumptions'!$L$7/12</f>
        <v>2083.3333333333335</v>
      </c>
      <c r="K18" s="106">
        <f>'Expense Assumptions'!$L$7/12</f>
        <v>2083.3333333333335</v>
      </c>
      <c r="L18" s="106">
        <f>'Expense Assumptions'!$L$7/12</f>
        <v>2083.3333333333335</v>
      </c>
      <c r="M18" s="106">
        <f>'Expense Assumptions'!$L$7/12</f>
        <v>2083.3333333333335</v>
      </c>
      <c r="N18" s="106">
        <f>'Expense Assumptions'!$L$7/12</f>
        <v>2083.3333333333335</v>
      </c>
      <c r="O18" s="105">
        <f t="shared" si="4"/>
        <v>24999.999999999996</v>
      </c>
    </row>
    <row r="19" spans="2:15" x14ac:dyDescent="0.2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5"/>
    </row>
    <row r="20" spans="2:15" s="65" customFormat="1" x14ac:dyDescent="0.2">
      <c r="B20" s="65" t="s">
        <v>113</v>
      </c>
      <c r="C20" s="105">
        <f>C13-C16-C17-C18</f>
        <v>851295.43946931988</v>
      </c>
      <c r="D20" s="105">
        <f t="shared" ref="D20:N20" si="5">D13-D16-D17-D18</f>
        <v>956686.40132669953</v>
      </c>
      <c r="E20" s="105">
        <f t="shared" si="5"/>
        <v>1019920.9784411277</v>
      </c>
      <c r="F20" s="105">
        <f t="shared" si="5"/>
        <v>1083155.5555555555</v>
      </c>
      <c r="G20" s="105">
        <f t="shared" si="5"/>
        <v>1205409.0713101157</v>
      </c>
      <c r="H20" s="105">
        <f t="shared" si="5"/>
        <v>1365603.333333333</v>
      </c>
      <c r="I20" s="105">
        <f t="shared" si="5"/>
        <v>1551091.4262023214</v>
      </c>
      <c r="J20" s="105">
        <f t="shared" si="5"/>
        <v>1694423.1343283583</v>
      </c>
      <c r="K20" s="105">
        <f t="shared" si="5"/>
        <v>1879911.2271973465</v>
      </c>
      <c r="L20" s="105">
        <f t="shared" si="5"/>
        <v>2099124.4278606968</v>
      </c>
      <c r="M20" s="105">
        <f t="shared" si="5"/>
        <v>2242456.1359867323</v>
      </c>
      <c r="N20" s="105">
        <f t="shared" si="5"/>
        <v>2432159.8673300161</v>
      </c>
      <c r="O20" s="105">
        <f>O13-O16-O17-O18</f>
        <v>18381236.998341624</v>
      </c>
    </row>
    <row r="21" spans="2:15" x14ac:dyDescent="0.2"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5"/>
    </row>
    <row r="22" spans="2:15" x14ac:dyDescent="0.2">
      <c r="B22" t="s">
        <v>111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5"/>
    </row>
    <row r="23" spans="2:15" x14ac:dyDescent="0.2">
      <c r="B23" s="13" t="s">
        <v>82</v>
      </c>
      <c r="C23" s="107">
        <f>'Expense Assumptions'!$L$15/12</f>
        <v>41666.666666666664</v>
      </c>
      <c r="D23" s="107">
        <f>'Expense Assumptions'!$L$15/12</f>
        <v>41666.666666666664</v>
      </c>
      <c r="E23" s="107">
        <f>'Expense Assumptions'!$L$15/12</f>
        <v>41666.666666666664</v>
      </c>
      <c r="F23" s="107">
        <f>'Expense Assumptions'!$L$15/12</f>
        <v>41666.666666666664</v>
      </c>
      <c r="G23" s="107">
        <f>'Expense Assumptions'!$L$15/12</f>
        <v>41666.666666666664</v>
      </c>
      <c r="H23" s="107">
        <f>'Expense Assumptions'!$L$15/12</f>
        <v>41666.666666666664</v>
      </c>
      <c r="I23" s="107">
        <f>'Expense Assumptions'!$L$15/12</f>
        <v>41666.666666666664</v>
      </c>
      <c r="J23" s="107">
        <f>'Expense Assumptions'!$L$15/12</f>
        <v>41666.666666666664</v>
      </c>
      <c r="K23" s="107">
        <f>'Expense Assumptions'!$L$15/12</f>
        <v>41666.666666666664</v>
      </c>
      <c r="L23" s="107">
        <f>'Expense Assumptions'!$L$15/12</f>
        <v>41666.666666666664</v>
      </c>
      <c r="M23" s="107">
        <f>'Expense Assumptions'!$L$15/12</f>
        <v>41666.666666666664</v>
      </c>
      <c r="N23" s="107">
        <f>'Expense Assumptions'!$L$15/12</f>
        <v>41666.666666666664</v>
      </c>
      <c r="O23" s="105">
        <f>SUM(C23:N23)</f>
        <v>500000.00000000006</v>
      </c>
    </row>
    <row r="24" spans="2:15" x14ac:dyDescent="0.2">
      <c r="B24" s="13" t="s">
        <v>26</v>
      </c>
      <c r="C24" s="107">
        <f>'Expense Assumptions'!$L$16/12</f>
        <v>25000</v>
      </c>
      <c r="D24" s="107">
        <f>'Expense Assumptions'!$L$16/12</f>
        <v>25000</v>
      </c>
      <c r="E24" s="107">
        <f>'Expense Assumptions'!$L$16/12</f>
        <v>25000</v>
      </c>
      <c r="F24" s="107">
        <f>'Expense Assumptions'!$L$16/12</f>
        <v>25000</v>
      </c>
      <c r="G24" s="107">
        <f>'Expense Assumptions'!$L$16/12</f>
        <v>25000</v>
      </c>
      <c r="H24" s="107">
        <f>'Expense Assumptions'!$L$16/12</f>
        <v>25000</v>
      </c>
      <c r="I24" s="107">
        <f>'Expense Assumptions'!$L$16/12</f>
        <v>25000</v>
      </c>
      <c r="J24" s="107">
        <f>'Expense Assumptions'!$L$16/12</f>
        <v>25000</v>
      </c>
      <c r="K24" s="107">
        <f>'Expense Assumptions'!$L$16/12</f>
        <v>25000</v>
      </c>
      <c r="L24" s="107">
        <f>'Expense Assumptions'!$L$16/12</f>
        <v>25000</v>
      </c>
      <c r="M24" s="107">
        <f>'Expense Assumptions'!$L$16/12</f>
        <v>25000</v>
      </c>
      <c r="N24" s="107">
        <f>'Expense Assumptions'!$L$16/12</f>
        <v>25000</v>
      </c>
      <c r="O24" s="105">
        <f t="shared" ref="O24:O32" si="6">SUM(C24:N24)</f>
        <v>300000</v>
      </c>
    </row>
    <row r="25" spans="2:15" x14ac:dyDescent="0.2">
      <c r="B25" s="13" t="s">
        <v>86</v>
      </c>
      <c r="C25" s="107">
        <f>'Expense Assumptions'!$L$14/12</f>
        <v>191100</v>
      </c>
      <c r="D25" s="107">
        <f>'Expense Assumptions'!$L$14/12</f>
        <v>191100</v>
      </c>
      <c r="E25" s="107">
        <f>'Expense Assumptions'!$L$14/12</f>
        <v>191100</v>
      </c>
      <c r="F25" s="107">
        <f>'Expense Assumptions'!$L$14/12</f>
        <v>191100</v>
      </c>
      <c r="G25" s="107">
        <f>'Expense Assumptions'!$L$14/12</f>
        <v>191100</v>
      </c>
      <c r="H25" s="107">
        <f>'Expense Assumptions'!$L$14/12</f>
        <v>191100</v>
      </c>
      <c r="I25" s="107">
        <f>'Expense Assumptions'!$L$14/12</f>
        <v>191100</v>
      </c>
      <c r="J25" s="107">
        <f>'Expense Assumptions'!$L$14/12</f>
        <v>191100</v>
      </c>
      <c r="K25" s="107">
        <f>'Expense Assumptions'!$L$14/12</f>
        <v>191100</v>
      </c>
      <c r="L25" s="107">
        <f>'Expense Assumptions'!$L$14/12</f>
        <v>191100</v>
      </c>
      <c r="M25" s="107">
        <f>'Expense Assumptions'!$L$14/12</f>
        <v>191100</v>
      </c>
      <c r="N25" s="107">
        <f>'Expense Assumptions'!$L$14/12</f>
        <v>191100</v>
      </c>
      <c r="O25" s="105">
        <f t="shared" si="6"/>
        <v>2293200</v>
      </c>
    </row>
    <row r="26" spans="2:15" x14ac:dyDescent="0.2">
      <c r="B26" s="13" t="s">
        <v>80</v>
      </c>
      <c r="C26" s="108">
        <f>'Expense Assumptions'!$L$11/12</f>
        <v>10000</v>
      </c>
      <c r="D26" s="108">
        <f>'Expense Assumptions'!$L$11/12</f>
        <v>10000</v>
      </c>
      <c r="E26" s="108">
        <f>'Expense Assumptions'!$L$11/12</f>
        <v>10000</v>
      </c>
      <c r="F26" s="108">
        <f>'Expense Assumptions'!$L$11/12</f>
        <v>10000</v>
      </c>
      <c r="G26" s="108">
        <f>'Expense Assumptions'!$L$11/12</f>
        <v>10000</v>
      </c>
      <c r="H26" s="108">
        <f>'Expense Assumptions'!$L$11/12</f>
        <v>10000</v>
      </c>
      <c r="I26" s="108">
        <f>'Expense Assumptions'!$L$11/12</f>
        <v>10000</v>
      </c>
      <c r="J26" s="108">
        <f>'Expense Assumptions'!$L$11/12</f>
        <v>10000</v>
      </c>
      <c r="K26" s="108">
        <f>'Expense Assumptions'!$L$11/12</f>
        <v>10000</v>
      </c>
      <c r="L26" s="108">
        <f>'Expense Assumptions'!$L$11/12</f>
        <v>10000</v>
      </c>
      <c r="M26" s="108">
        <f>'Expense Assumptions'!$L$11/12</f>
        <v>10000</v>
      </c>
      <c r="N26" s="108">
        <f>'Expense Assumptions'!$L$11/12</f>
        <v>10000</v>
      </c>
      <c r="O26" s="105">
        <f t="shared" si="6"/>
        <v>120000</v>
      </c>
    </row>
    <row r="27" spans="2:15" x14ac:dyDescent="0.2">
      <c r="B27" s="13" t="s">
        <v>81</v>
      </c>
      <c r="C27" s="108">
        <f>'Expense Assumptions'!$L$12/12</f>
        <v>20833.333333333332</v>
      </c>
      <c r="D27" s="108">
        <f>'Expense Assumptions'!$L$12/12</f>
        <v>20833.333333333332</v>
      </c>
      <c r="E27" s="108">
        <f>'Expense Assumptions'!$L$12/12</f>
        <v>20833.333333333332</v>
      </c>
      <c r="F27" s="108">
        <f>'Expense Assumptions'!$L$12/12</f>
        <v>20833.333333333332</v>
      </c>
      <c r="G27" s="108">
        <f>'Expense Assumptions'!$L$12/12</f>
        <v>20833.333333333332</v>
      </c>
      <c r="H27" s="108">
        <f>'Expense Assumptions'!$L$12/12</f>
        <v>20833.333333333332</v>
      </c>
      <c r="I27" s="108">
        <f>'Expense Assumptions'!$L$12/12</f>
        <v>20833.333333333332</v>
      </c>
      <c r="J27" s="108">
        <f>'Expense Assumptions'!$L$12/12</f>
        <v>20833.333333333332</v>
      </c>
      <c r="K27" s="108">
        <f>'Expense Assumptions'!$L$12/12</f>
        <v>20833.333333333332</v>
      </c>
      <c r="L27" s="108">
        <f>'Expense Assumptions'!$L$12/12</f>
        <v>20833.333333333332</v>
      </c>
      <c r="M27" s="108">
        <f>'Expense Assumptions'!$L$12/12</f>
        <v>20833.333333333332</v>
      </c>
      <c r="N27" s="108">
        <f>'Expense Assumptions'!$L$12/12</f>
        <v>20833.333333333332</v>
      </c>
      <c r="O27" s="105">
        <f>SUM(C27:N27)</f>
        <v>250000.00000000003</v>
      </c>
    </row>
    <row r="28" spans="2:15" x14ac:dyDescent="0.2">
      <c r="B28" s="13" t="s">
        <v>115</v>
      </c>
      <c r="C28" s="108">
        <f>'Expense Assumptions'!$D$25+('Expense Assumptions'!$H$25)*2</f>
        <v>3616.6666666666665</v>
      </c>
      <c r="D28" s="108">
        <f>'Expense Assumptions'!$D$25+('Expense Assumptions'!$H$25)*2</f>
        <v>3616.6666666666665</v>
      </c>
      <c r="E28" s="108">
        <f>'Expense Assumptions'!$D$25+('Expense Assumptions'!$H$25)*2</f>
        <v>3616.6666666666665</v>
      </c>
      <c r="F28" s="108">
        <f>'Expense Assumptions'!$D$25+('Expense Assumptions'!$H$25)*2</f>
        <v>3616.6666666666665</v>
      </c>
      <c r="G28" s="108">
        <f>'Expense Assumptions'!$D$25+('Expense Assumptions'!$H$25)*2</f>
        <v>3616.6666666666665</v>
      </c>
      <c r="H28" s="108">
        <f>'Expense Assumptions'!$D$25+('Expense Assumptions'!$H$25)*2</f>
        <v>3616.6666666666665</v>
      </c>
      <c r="I28" s="108">
        <f>'Expense Assumptions'!$D$25+('Expense Assumptions'!$H$25)*2</f>
        <v>3616.6666666666665</v>
      </c>
      <c r="J28" s="108">
        <f>'Expense Assumptions'!$D$25+('Expense Assumptions'!$H$25)*2</f>
        <v>3616.6666666666665</v>
      </c>
      <c r="K28" s="108">
        <f>'Expense Assumptions'!$D$25+('Expense Assumptions'!$H$25)*2</f>
        <v>3616.6666666666665</v>
      </c>
      <c r="L28" s="108">
        <f>'Expense Assumptions'!$D$25+('Expense Assumptions'!$H$25)*2</f>
        <v>3616.6666666666665</v>
      </c>
      <c r="M28" s="108">
        <f>'Expense Assumptions'!$D$25+('Expense Assumptions'!$H$25)*2</f>
        <v>3616.6666666666665</v>
      </c>
      <c r="N28" s="108">
        <f>'Expense Assumptions'!$D$25+('Expense Assumptions'!$H$25)*2</f>
        <v>3616.6666666666665</v>
      </c>
      <c r="O28" s="105">
        <f>SUM(C28:N28)</f>
        <v>43400</v>
      </c>
    </row>
    <row r="29" spans="2:15" x14ac:dyDescent="0.2">
      <c r="B29" s="13" t="s">
        <v>27</v>
      </c>
      <c r="C29" s="108">
        <f>'Expense Assumptions'!$L$13/12</f>
        <v>20833.333333333332</v>
      </c>
      <c r="D29" s="108">
        <f>'Expense Assumptions'!$L$13/12</f>
        <v>20833.333333333332</v>
      </c>
      <c r="E29" s="108">
        <f>'Expense Assumptions'!$L$13/12</f>
        <v>20833.333333333332</v>
      </c>
      <c r="F29" s="108">
        <f>'Expense Assumptions'!$L$13/12</f>
        <v>20833.333333333332</v>
      </c>
      <c r="G29" s="108">
        <f>'Expense Assumptions'!$L$13/12</f>
        <v>20833.333333333332</v>
      </c>
      <c r="H29" s="108">
        <f>'Expense Assumptions'!$L$13/12</f>
        <v>20833.333333333332</v>
      </c>
      <c r="I29" s="108">
        <f>'Expense Assumptions'!$L$13/12</f>
        <v>20833.333333333332</v>
      </c>
      <c r="J29" s="108">
        <f>'Expense Assumptions'!$L$13/12</f>
        <v>20833.333333333332</v>
      </c>
      <c r="K29" s="108">
        <f>'Expense Assumptions'!$L$13/12</f>
        <v>20833.333333333332</v>
      </c>
      <c r="L29" s="108">
        <f>'Expense Assumptions'!$L$13/12</f>
        <v>20833.333333333332</v>
      </c>
      <c r="M29" s="108">
        <f>'Expense Assumptions'!$L$13/12</f>
        <v>20833.333333333332</v>
      </c>
      <c r="N29" s="108">
        <f>'Expense Assumptions'!$L$13/12</f>
        <v>20833.333333333332</v>
      </c>
      <c r="O29" s="105">
        <f t="shared" si="6"/>
        <v>250000.00000000003</v>
      </c>
    </row>
    <row r="30" spans="2:15" x14ac:dyDescent="0.2">
      <c r="B30" s="13" t="s">
        <v>35</v>
      </c>
      <c r="C30" s="108">
        <f>'Expense Assumptions'!$L$17/12</f>
        <v>1300</v>
      </c>
      <c r="D30" s="108">
        <f>'Expense Assumptions'!$L$17/12</f>
        <v>1300</v>
      </c>
      <c r="E30" s="108">
        <f>'Expense Assumptions'!$L$17/12</f>
        <v>1300</v>
      </c>
      <c r="F30" s="108">
        <f>'Expense Assumptions'!$L$17/12</f>
        <v>1300</v>
      </c>
      <c r="G30" s="108">
        <f>'Expense Assumptions'!$L$17/12</f>
        <v>1300</v>
      </c>
      <c r="H30" s="108">
        <f>'Expense Assumptions'!$L$17/12</f>
        <v>1300</v>
      </c>
      <c r="I30" s="108">
        <f>'Expense Assumptions'!$L$17/12</f>
        <v>1300</v>
      </c>
      <c r="J30" s="108">
        <f>'Expense Assumptions'!$L$17/12</f>
        <v>1300</v>
      </c>
      <c r="K30" s="108">
        <f>'Expense Assumptions'!$L$17/12</f>
        <v>1300</v>
      </c>
      <c r="L30" s="108">
        <f>'Expense Assumptions'!$L$17/12</f>
        <v>1300</v>
      </c>
      <c r="M30" s="108">
        <f>'Expense Assumptions'!$L$17/12</f>
        <v>1300</v>
      </c>
      <c r="N30" s="108">
        <f>'Expense Assumptions'!$L$17/12</f>
        <v>1300</v>
      </c>
      <c r="O30" s="105">
        <f t="shared" si="6"/>
        <v>15600</v>
      </c>
    </row>
    <row r="31" spans="2:15" x14ac:dyDescent="0.2">
      <c r="B31" s="13" t="s">
        <v>120</v>
      </c>
      <c r="C31" s="108">
        <f>'Expense Assumptions'!$L$18/12</f>
        <v>1200</v>
      </c>
      <c r="D31" s="108">
        <f>'Expense Assumptions'!$L$18/12</f>
        <v>1200</v>
      </c>
      <c r="E31" s="108">
        <f>'Expense Assumptions'!$L$18/12</f>
        <v>1200</v>
      </c>
      <c r="F31" s="108">
        <f>'Expense Assumptions'!$L$18/12</f>
        <v>1200</v>
      </c>
      <c r="G31" s="108">
        <f>'Expense Assumptions'!$L$18/12</f>
        <v>1200</v>
      </c>
      <c r="H31" s="108">
        <f>'Expense Assumptions'!$L$18/12</f>
        <v>1200</v>
      </c>
      <c r="I31" s="108">
        <f>'Expense Assumptions'!$L$18/12</f>
        <v>1200</v>
      </c>
      <c r="J31" s="108">
        <f>'Expense Assumptions'!$L$18/12</f>
        <v>1200</v>
      </c>
      <c r="K31" s="108">
        <f>'Expense Assumptions'!$L$18/12</f>
        <v>1200</v>
      </c>
      <c r="L31" s="108">
        <f>'Expense Assumptions'!$L$18/12</f>
        <v>1200</v>
      </c>
      <c r="M31" s="108">
        <f>'Expense Assumptions'!$L$18/12</f>
        <v>1200</v>
      </c>
      <c r="N31" s="108">
        <f>'Expense Assumptions'!$L$18/12</f>
        <v>1200</v>
      </c>
      <c r="O31" s="105">
        <f t="shared" si="6"/>
        <v>14400</v>
      </c>
    </row>
    <row r="32" spans="2:15" x14ac:dyDescent="0.2">
      <c r="B32" s="15" t="s">
        <v>112</v>
      </c>
      <c r="C32" s="106">
        <f>SUM(C23:C31)</f>
        <v>315549.99999999994</v>
      </c>
      <c r="D32" s="106">
        <f t="shared" ref="D32:N32" si="7">SUM(D23:D31)</f>
        <v>315549.99999999994</v>
      </c>
      <c r="E32" s="106">
        <f t="shared" si="7"/>
        <v>315549.99999999994</v>
      </c>
      <c r="F32" s="106">
        <f t="shared" si="7"/>
        <v>315549.99999999994</v>
      </c>
      <c r="G32" s="106">
        <f t="shared" si="7"/>
        <v>315549.99999999994</v>
      </c>
      <c r="H32" s="106">
        <f t="shared" si="7"/>
        <v>315549.99999999994</v>
      </c>
      <c r="I32" s="106">
        <f t="shared" si="7"/>
        <v>315549.99999999994</v>
      </c>
      <c r="J32" s="106">
        <f t="shared" si="7"/>
        <v>315549.99999999994</v>
      </c>
      <c r="K32" s="106">
        <f t="shared" si="7"/>
        <v>315549.99999999994</v>
      </c>
      <c r="L32" s="106">
        <f t="shared" si="7"/>
        <v>315549.99999999994</v>
      </c>
      <c r="M32" s="106">
        <f t="shared" si="7"/>
        <v>315549.99999999994</v>
      </c>
      <c r="N32" s="106">
        <f t="shared" si="7"/>
        <v>315549.99999999994</v>
      </c>
      <c r="O32" s="105">
        <f t="shared" si="6"/>
        <v>3786599.9999999995</v>
      </c>
    </row>
    <row r="33" spans="2:15" x14ac:dyDescent="0.2"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5"/>
    </row>
    <row r="34" spans="2:15" s="65" customFormat="1" x14ac:dyDescent="0.2">
      <c r="B34" s="83" t="s">
        <v>114</v>
      </c>
      <c r="C34" s="105">
        <f>C20-C32</f>
        <v>535745.43946932</v>
      </c>
      <c r="D34" s="105">
        <f t="shared" ref="D34:N34" si="8">D20-D32</f>
        <v>641136.40132669965</v>
      </c>
      <c r="E34" s="105">
        <f t="shared" si="8"/>
        <v>704370.97844112781</v>
      </c>
      <c r="F34" s="105">
        <f t="shared" si="8"/>
        <v>767605.5555555555</v>
      </c>
      <c r="G34" s="105">
        <f t="shared" si="8"/>
        <v>889859.07131011575</v>
      </c>
      <c r="H34" s="105">
        <f t="shared" si="8"/>
        <v>1050053.333333333</v>
      </c>
      <c r="I34" s="105">
        <f t="shared" si="8"/>
        <v>1235541.4262023214</v>
      </c>
      <c r="J34" s="105">
        <f t="shared" si="8"/>
        <v>1378873.1343283583</v>
      </c>
      <c r="K34" s="105">
        <f t="shared" si="8"/>
        <v>1564361.2271973465</v>
      </c>
      <c r="L34" s="105">
        <f t="shared" si="8"/>
        <v>1783574.4278606968</v>
      </c>
      <c r="M34" s="105">
        <f t="shared" si="8"/>
        <v>1926906.1359867323</v>
      </c>
      <c r="N34" s="105">
        <f t="shared" si="8"/>
        <v>2116609.8673300161</v>
      </c>
      <c r="O34" s="105">
        <f>O20-O32</f>
        <v>14594636.998341624</v>
      </c>
    </row>
  </sheetData>
  <mergeCells count="1">
    <mergeCell ref="L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Dashboard</vt:lpstr>
      <vt:lpstr>COE</vt:lpstr>
      <vt:lpstr>Revenue Assumptions</vt:lpstr>
      <vt:lpstr>Expense Assumptions</vt:lpstr>
      <vt:lpstr>Depreciation Schedule</vt:lpstr>
      <vt:lpstr>Year1-Test-IncomeStatement</vt:lpstr>
      <vt:lpstr>Year2-Test-IncomeStatement</vt:lpstr>
      <vt:lpstr>ScaleUp-Initial- Year3 - Income</vt:lpstr>
      <vt:lpstr>ScaleUp-Growth - Year4 - Income</vt:lpstr>
      <vt:lpstr>ScaleUp-Mature - Year5</vt:lpstr>
      <vt:lpstr>Source-Use</vt:lpstr>
      <vt:lpstr>Diagram</vt:lpstr>
      <vt:lpstr>Sheet5</vt:lpstr>
      <vt:lpstr>Sheet6</vt:lpstr>
      <vt:lpstr>Sheet9</vt:lpstr>
      <vt:lpstr>Sheet8</vt:lpstr>
      <vt:lpstr>Sheet15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 Bala</dc:creator>
  <cp:keywords/>
  <dc:description/>
  <cp:lastModifiedBy>Shan S. Bala</cp:lastModifiedBy>
  <dcterms:created xsi:type="dcterms:W3CDTF">2013-12-22T06:36:25Z</dcterms:created>
  <dcterms:modified xsi:type="dcterms:W3CDTF">2021-08-07T23:47:45Z</dcterms:modified>
  <cp:category/>
</cp:coreProperties>
</file>