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Style Changeover Plan\2025\Jan-2026\"/>
    </mc:Choice>
  </mc:AlternateContent>
  <xr:revisionPtr revIDLastSave="0" documentId="13_ncr:1_{E5135F4E-0EE0-4B78-91D6-23C60C53B623}" xr6:coauthVersionLast="47" xr6:coauthVersionMax="47" xr10:uidLastSave="{00000000-0000-0000-0000-000000000000}"/>
  <bookViews>
    <workbookView showSheetTabs="0" xWindow="-120" yWindow="-120" windowWidth="29040" windowHeight="15720" tabRatio="357" xr2:uid="{00000000-000D-0000-FFFF-FFFF00000000}"/>
  </bookViews>
  <sheets>
    <sheet name="SA" sheetId="13" r:id="rId1"/>
  </sheets>
  <definedNames>
    <definedName name="_xlnm.Print_Area" localSheetId="0">SA!$A$1:$BR$121</definedName>
    <definedName name="_xlnm.Print_Titles" localSheetId="0">SA!$3:$4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0" i="13" l="1"/>
  <c r="V40" i="13"/>
  <c r="U40" i="13"/>
  <c r="T40" i="13"/>
  <c r="S40" i="13"/>
  <c r="R40" i="13"/>
  <c r="P40" i="13"/>
  <c r="O40" i="13"/>
  <c r="N40" i="13"/>
  <c r="M40" i="13"/>
  <c r="AG10" i="13" l="1"/>
  <c r="AB10" i="13"/>
  <c r="U10" i="13"/>
  <c r="W10" i="13"/>
  <c r="AB92" i="13" l="1"/>
  <c r="AA92" i="13"/>
  <c r="AD92" i="13"/>
  <c r="T58" i="13"/>
  <c r="P10" i="13" l="1"/>
  <c r="Y52" i="13" l="1"/>
  <c r="AN37" i="13" l="1"/>
  <c r="AM37" i="13"/>
  <c r="AF52" i="13"/>
  <c r="AC52" i="13"/>
  <c r="AY19" i="13"/>
  <c r="AX19" i="13"/>
  <c r="AW19" i="13"/>
  <c r="AV19" i="13"/>
  <c r="AU19" i="13"/>
  <c r="AT19" i="13"/>
  <c r="AR19" i="13"/>
  <c r="AQ19" i="13"/>
  <c r="AP19" i="13"/>
  <c r="AO19" i="13"/>
  <c r="AN19" i="13"/>
  <c r="AM19" i="13"/>
  <c r="AK19" i="13"/>
  <c r="AT52" i="13"/>
  <c r="AR52" i="13"/>
  <c r="AQ52" i="13"/>
  <c r="AP52" i="13"/>
  <c r="AO52" i="13"/>
  <c r="AN52" i="13"/>
  <c r="AM52" i="13"/>
  <c r="AK52" i="13"/>
  <c r="AJ52" i="13"/>
  <c r="AI52" i="13"/>
  <c r="AH52" i="13"/>
  <c r="AG52" i="13"/>
  <c r="AR37" i="13"/>
  <c r="AD52" i="13"/>
  <c r="AA67" i="13"/>
  <c r="W52" i="13"/>
  <c r="V52" i="13"/>
  <c r="U52" i="13"/>
  <c r="L52" i="13"/>
  <c r="M52" i="13"/>
  <c r="N52" i="13"/>
  <c r="AY93" i="13" l="1"/>
  <c r="AX93" i="13"/>
  <c r="AW93" i="13"/>
  <c r="AV93" i="13"/>
  <c r="AU93" i="13"/>
  <c r="AU92" i="13"/>
  <c r="AK92" i="13"/>
  <c r="AK119" i="13" s="1"/>
  <c r="Z92" i="13"/>
  <c r="Y92" i="13"/>
  <c r="AA13" i="13"/>
  <c r="Z13" i="13"/>
  <c r="AC13" i="13"/>
  <c r="AD13" i="13"/>
  <c r="AG13" i="13"/>
  <c r="AK13" i="13"/>
  <c r="AJ13" i="13"/>
  <c r="AN13" i="13"/>
  <c r="D120" i="13"/>
  <c r="E120" i="13"/>
  <c r="F120" i="13"/>
  <c r="G120" i="13"/>
  <c r="H120" i="13"/>
  <c r="I120" i="13"/>
  <c r="J120" i="13"/>
  <c r="D119" i="13"/>
  <c r="E119" i="13"/>
  <c r="F119" i="13"/>
  <c r="G119" i="13"/>
  <c r="H119" i="13"/>
  <c r="I119" i="13"/>
  <c r="J119" i="13"/>
  <c r="K120" i="13"/>
  <c r="L119" i="13"/>
  <c r="M119" i="13"/>
  <c r="N119" i="13"/>
  <c r="O119" i="13"/>
  <c r="P119" i="13"/>
  <c r="Q119" i="13"/>
  <c r="R119" i="13"/>
  <c r="S119" i="13"/>
  <c r="T119" i="13"/>
  <c r="U119" i="13"/>
  <c r="V119" i="13"/>
  <c r="W119" i="13"/>
  <c r="X119" i="13"/>
  <c r="Y119" i="13"/>
  <c r="Z119" i="13"/>
  <c r="AB119" i="13"/>
  <c r="AC119" i="13"/>
  <c r="AD119" i="13"/>
  <c r="AE119" i="13"/>
  <c r="AF119" i="13"/>
  <c r="AG119" i="13"/>
  <c r="AH119" i="13"/>
  <c r="AI119" i="13"/>
  <c r="AJ119" i="13"/>
  <c r="K119" i="13"/>
  <c r="AD99" i="13" l="1"/>
  <c r="AC99" i="13"/>
  <c r="AB99" i="13"/>
  <c r="AA99" i="13"/>
  <c r="AD98" i="13"/>
  <c r="AC98" i="13"/>
  <c r="AB98" i="13"/>
  <c r="AA98" i="13"/>
  <c r="AB40" i="13" l="1"/>
  <c r="AA40" i="13"/>
  <c r="AH40" i="13"/>
  <c r="AG40" i="13"/>
  <c r="AF40" i="13"/>
  <c r="AI37" i="13"/>
  <c r="AH37" i="13"/>
  <c r="AG37" i="13"/>
  <c r="AF37" i="13"/>
  <c r="Z40" i="13"/>
  <c r="AD40" i="13"/>
  <c r="AI40" i="13"/>
  <c r="AC29" i="13" l="1"/>
  <c r="AB29" i="13"/>
  <c r="AA29" i="13"/>
  <c r="Z29" i="13"/>
  <c r="Y29" i="13"/>
  <c r="W29" i="13"/>
  <c r="V29" i="13"/>
  <c r="U29" i="13"/>
  <c r="T29" i="13"/>
  <c r="S29" i="13"/>
  <c r="R29" i="13"/>
  <c r="P29" i="13"/>
  <c r="O29" i="13"/>
  <c r="N29" i="13"/>
  <c r="M29" i="13"/>
  <c r="L29" i="13"/>
  <c r="K29" i="13"/>
  <c r="I29" i="13"/>
  <c r="H29" i="13"/>
  <c r="G29" i="13"/>
  <c r="F29" i="13"/>
  <c r="E29" i="13"/>
  <c r="AT93" i="13"/>
  <c r="AR93" i="13"/>
  <c r="AQ93" i="13"/>
  <c r="AP93" i="13"/>
  <c r="AO93" i="13"/>
  <c r="AN93" i="13"/>
  <c r="AM93" i="13"/>
  <c r="E99" i="13"/>
  <c r="BC10" i="13"/>
  <c r="BB10" i="13"/>
  <c r="BA10" i="13"/>
  <c r="AY10" i="13"/>
  <c r="AX10" i="13"/>
  <c r="AV10" i="13"/>
  <c r="AU10" i="13"/>
  <c r="AT10" i="13"/>
  <c r="AR10" i="13"/>
  <c r="AQ10" i="13"/>
  <c r="AT92" i="13"/>
  <c r="AJ92" i="13"/>
  <c r="AR92" i="13"/>
  <c r="AQ92" i="13"/>
  <c r="AP92" i="13"/>
  <c r="AO92" i="13"/>
  <c r="AN92" i="13"/>
  <c r="AK10" i="13"/>
  <c r="AJ10" i="13"/>
  <c r="AI10" i="13"/>
  <c r="AV13" i="13"/>
  <c r="AX16" i="13"/>
  <c r="AV16" i="13"/>
  <c r="AU16" i="13"/>
  <c r="AT16" i="13"/>
  <c r="AR17" i="13"/>
  <c r="AQ17" i="13"/>
  <c r="AP17" i="13"/>
  <c r="AO17" i="13"/>
  <c r="AO16" i="13" s="1"/>
  <c r="AN17" i="13"/>
  <c r="AM17" i="13"/>
  <c r="AR16" i="13"/>
  <c r="AQ16" i="13"/>
  <c r="AP16" i="13"/>
  <c r="AN16" i="13"/>
  <c r="AM16" i="13"/>
  <c r="AK17" i="13"/>
  <c r="AJ17" i="13"/>
  <c r="AI17" i="13"/>
  <c r="AH17" i="13"/>
  <c r="AH16" i="13" s="1"/>
  <c r="AG17" i="13"/>
  <c r="AK16" i="13"/>
  <c r="AJ16" i="13"/>
  <c r="AI16" i="13"/>
  <c r="AG16" i="13"/>
  <c r="AF16" i="13"/>
  <c r="AD16" i="13"/>
  <c r="AC16" i="13"/>
  <c r="AB16" i="13"/>
  <c r="AA16" i="13"/>
  <c r="Z16" i="13"/>
  <c r="Y16" i="13"/>
  <c r="W16" i="13"/>
  <c r="V16" i="13"/>
  <c r="U16" i="13"/>
  <c r="T16" i="13"/>
  <c r="S16" i="13"/>
  <c r="R16" i="13"/>
  <c r="P16" i="13"/>
  <c r="O16" i="13"/>
  <c r="N16" i="13"/>
  <c r="AF17" i="13"/>
  <c r="AY17" i="13"/>
  <c r="AX17" i="13"/>
  <c r="AW17" i="13"/>
  <c r="AV17" i="13"/>
  <c r="AU17" i="13"/>
  <c r="AT17" i="13"/>
  <c r="AY16" i="13"/>
  <c r="BF17" i="13"/>
  <c r="BE17" i="13"/>
  <c r="BD17" i="13"/>
  <c r="BD16" i="13" s="1"/>
  <c r="BC17" i="13"/>
  <c r="BC16" i="13" s="1"/>
  <c r="BB17" i="13"/>
  <c r="BA17" i="13"/>
  <c r="BF16" i="13"/>
  <c r="BE16" i="13"/>
  <c r="BB16" i="13"/>
  <c r="BA16" i="13"/>
  <c r="BF58" i="13"/>
  <c r="BE58" i="13"/>
  <c r="BD58" i="13"/>
  <c r="BC58" i="13"/>
  <c r="BB58" i="13"/>
  <c r="BA58" i="13"/>
  <c r="AY58" i="13"/>
  <c r="AX58" i="13"/>
  <c r="AW58" i="13"/>
  <c r="AV58" i="13"/>
  <c r="AU58" i="13"/>
  <c r="AT58" i="13"/>
  <c r="AB25" i="13"/>
  <c r="AA25" i="13"/>
  <c r="AA119" i="13" s="1"/>
  <c r="AY55" i="13"/>
  <c r="AX55" i="13"/>
  <c r="AW55" i="13"/>
  <c r="AV55" i="13"/>
  <c r="AU55" i="13"/>
  <c r="AR55" i="13"/>
  <c r="AQ55" i="13"/>
  <c r="AP55" i="13"/>
  <c r="AO55" i="13"/>
  <c r="AN55" i="13"/>
  <c r="AM55" i="13"/>
  <c r="AK55" i="13"/>
  <c r="AJ55" i="13"/>
  <c r="Z98" i="13"/>
  <c r="Y98" i="13"/>
  <c r="AM70" i="13"/>
  <c r="AK70" i="13"/>
  <c r="AJ70" i="13"/>
  <c r="AI70" i="13"/>
  <c r="AH70" i="13"/>
  <c r="AN67" i="13"/>
  <c r="AM67" i="13"/>
  <c r="AK67" i="13"/>
  <c r="AJ67" i="13"/>
  <c r="AB70" i="13"/>
  <c r="AA70" i="13"/>
  <c r="Z70" i="13"/>
  <c r="Y70" i="13"/>
  <c r="W70" i="13"/>
  <c r="K70" i="13"/>
  <c r="R70" i="13"/>
  <c r="AH67" i="13"/>
  <c r="AG67" i="13"/>
  <c r="AF67" i="13"/>
  <c r="AD67" i="13"/>
  <c r="AC67" i="13"/>
  <c r="AB67" i="13"/>
  <c r="Y67" i="13"/>
  <c r="U67" i="13"/>
  <c r="T67" i="13"/>
  <c r="S67" i="13"/>
  <c r="AX52" i="13"/>
  <c r="AW52" i="13"/>
  <c r="AV52" i="13"/>
  <c r="AJ34" i="13"/>
  <c r="AO34" i="13"/>
  <c r="AC37" i="13"/>
  <c r="AK37" i="13"/>
  <c r="BJ34" i="13"/>
  <c r="BI34" i="13"/>
  <c r="BH34" i="13"/>
  <c r="AQ40" i="13"/>
  <c r="AP40" i="13"/>
  <c r="AO40" i="13"/>
  <c r="AN40" i="13"/>
  <c r="AM40" i="13"/>
  <c r="AK40" i="13"/>
  <c r="AJ40" i="13"/>
  <c r="BJ37" i="13"/>
  <c r="BI37" i="13"/>
  <c r="BH37" i="13"/>
  <c r="BF37" i="13"/>
  <c r="BE37" i="13"/>
  <c r="BD37" i="13"/>
  <c r="BC37" i="13"/>
  <c r="BB37" i="13"/>
  <c r="BA37" i="13"/>
  <c r="AY37" i="13"/>
  <c r="AX37" i="13"/>
  <c r="AW37" i="13"/>
  <c r="AV37" i="13"/>
  <c r="AU37" i="13"/>
  <c r="AT37" i="13"/>
  <c r="AT40" i="13"/>
  <c r="AX40" i="13"/>
  <c r="AW40" i="13"/>
  <c r="AV40" i="13"/>
  <c r="AU40" i="13"/>
  <c r="AJ37" i="13"/>
  <c r="AA37" i="13"/>
  <c r="Z37" i="13"/>
  <c r="V37" i="13"/>
  <c r="Y37" i="13"/>
  <c r="U37" i="13"/>
  <c r="T37" i="13"/>
  <c r="S37" i="13"/>
  <c r="R37" i="13"/>
  <c r="P37" i="13"/>
  <c r="O37" i="13"/>
  <c r="P67" i="13"/>
  <c r="N67" i="13"/>
  <c r="O67" i="13"/>
  <c r="AQ28" i="13"/>
  <c r="AO28" i="13"/>
  <c r="AN28" i="13"/>
  <c r="AM28" i="13"/>
  <c r="AR28" i="13"/>
  <c r="AJ28" i="13"/>
  <c r="AI28" i="13"/>
  <c r="AG28" i="13"/>
  <c r="AH28" i="13"/>
  <c r="AC28" i="13"/>
  <c r="AB28" i="13"/>
  <c r="AY25" i="13" l="1"/>
  <c r="AX25" i="13"/>
  <c r="AW25" i="13"/>
  <c r="AV25" i="13"/>
  <c r="AU25" i="13"/>
  <c r="AT25" i="13"/>
  <c r="AD25" i="13"/>
  <c r="P19" i="13"/>
  <c r="O19" i="13"/>
  <c r="N19" i="13"/>
  <c r="M19" i="13"/>
  <c r="L19" i="13"/>
  <c r="K19" i="13"/>
  <c r="I19" i="13"/>
  <c r="AQ13" i="13"/>
  <c r="AP13" i="13"/>
  <c r="AO13" i="13"/>
  <c r="AP10" i="13"/>
  <c r="AO10" i="13"/>
  <c r="AA10" i="13"/>
  <c r="T10" i="13"/>
  <c r="AF10" i="13" l="1"/>
  <c r="T55" i="13" l="1"/>
  <c r="S55" i="13"/>
  <c r="R55" i="13"/>
  <c r="P55" i="13"/>
  <c r="O55" i="13"/>
  <c r="N55" i="13"/>
  <c r="M55" i="13"/>
  <c r="P70" i="13" l="1"/>
  <c r="L13" i="13"/>
  <c r="AI13" i="13" l="1"/>
  <c r="AH13" i="13"/>
  <c r="AI19" i="13" l="1"/>
  <c r="AH19" i="13"/>
  <c r="AG19" i="13"/>
  <c r="AF19" i="13"/>
  <c r="AD19" i="13"/>
  <c r="AC19" i="13"/>
  <c r="AB19" i="13"/>
  <c r="AA19" i="13"/>
  <c r="Z19" i="13"/>
  <c r="Y19" i="13"/>
  <c r="W19" i="13"/>
  <c r="V19" i="13"/>
  <c r="U19" i="13"/>
  <c r="T19" i="13"/>
  <c r="S19" i="13"/>
  <c r="V67" i="13"/>
  <c r="AH34" i="13" l="1"/>
  <c r="AG34" i="13"/>
  <c r="BF34" i="13" l="1"/>
  <c r="BE34" i="13"/>
  <c r="BD34" i="13"/>
  <c r="BC34" i="13"/>
  <c r="BB34" i="13"/>
  <c r="BA34" i="13"/>
  <c r="AY34" i="13"/>
  <c r="AX34" i="13"/>
  <c r="AW34" i="13"/>
  <c r="AV34" i="13"/>
  <c r="AU34" i="13"/>
  <c r="AT34" i="13"/>
  <c r="AR34" i="13"/>
  <c r="AQ34" i="13"/>
  <c r="AP34" i="13"/>
  <c r="AM34" i="13"/>
  <c r="AD34" i="13"/>
  <c r="AP67" i="13"/>
  <c r="L67" i="13"/>
  <c r="K67" i="13"/>
  <c r="I67" i="13"/>
  <c r="AA28" i="13"/>
  <c r="Z28" i="13"/>
  <c r="Y28" i="13"/>
  <c r="AM64" i="13"/>
  <c r="AK64" i="13"/>
  <c r="AJ64" i="13"/>
  <c r="AG92" i="13"/>
  <c r="AF92" i="13"/>
  <c r="AI92" i="13"/>
  <c r="AH92" i="13"/>
  <c r="AH64" i="13"/>
  <c r="AG64" i="13"/>
  <c r="AF64" i="13"/>
  <c r="AD64" i="13"/>
  <c r="BJ28" i="13" l="1"/>
  <c r="BI28" i="13"/>
  <c r="BH28" i="13"/>
  <c r="BF28" i="13"/>
  <c r="BE28" i="13"/>
  <c r="BD28" i="13"/>
  <c r="BC28" i="13"/>
  <c r="BB28" i="13"/>
  <c r="BA28" i="13"/>
  <c r="AY28" i="13"/>
  <c r="AX28" i="13"/>
  <c r="AW28" i="13"/>
  <c r="AV28" i="13"/>
  <c r="AU28" i="13"/>
  <c r="AT28" i="13"/>
  <c r="AR25" i="13" l="1"/>
  <c r="AQ25" i="13"/>
  <c r="AP25" i="13"/>
  <c r="AO25" i="13"/>
  <c r="AN25" i="13"/>
  <c r="AM25" i="13"/>
  <c r="AK25" i="13"/>
  <c r="AJ25" i="13"/>
  <c r="AI25" i="13"/>
  <c r="AH25" i="13"/>
  <c r="AD10" i="13" l="1"/>
  <c r="W58" i="13" l="1"/>
  <c r="V58" i="13"/>
  <c r="S58" i="13"/>
  <c r="R58" i="13"/>
  <c r="P58" i="13"/>
  <c r="O58" i="13"/>
  <c r="M58" i="13" l="1"/>
  <c r="L58" i="13"/>
  <c r="K58" i="13"/>
  <c r="I58" i="13"/>
  <c r="AG70" i="13"/>
  <c r="AF70" i="13"/>
  <c r="AD70" i="13"/>
  <c r="AN58" i="13" l="1"/>
  <c r="AM58" i="13"/>
  <c r="AK58" i="13"/>
  <c r="AJ58" i="13"/>
  <c r="AI58" i="13"/>
  <c r="AH58" i="13"/>
  <c r="AG58" i="13"/>
  <c r="AF58" i="13"/>
  <c r="AD58" i="13"/>
  <c r="AC58" i="13"/>
  <c r="AB58" i="13"/>
  <c r="AA58" i="13"/>
  <c r="Z58" i="13"/>
  <c r="Y58" i="13"/>
  <c r="V70" i="13"/>
  <c r="U70" i="13"/>
  <c r="T70" i="13"/>
  <c r="I70" i="13" l="1"/>
  <c r="H70" i="13"/>
  <c r="H11" i="13" l="1"/>
  <c r="G11" i="13"/>
  <c r="AD46" i="13" l="1"/>
  <c r="AC46" i="13"/>
  <c r="AB46" i="13"/>
  <c r="AA46" i="13"/>
  <c r="Z46" i="13"/>
  <c r="Y46" i="13"/>
  <c r="W46" i="13"/>
  <c r="V46" i="13"/>
  <c r="U46" i="13"/>
  <c r="T46" i="13"/>
  <c r="S46" i="13"/>
  <c r="R46" i="13"/>
  <c r="P46" i="13"/>
  <c r="O46" i="13"/>
  <c r="N46" i="13"/>
  <c r="M46" i="13"/>
  <c r="L46" i="13"/>
  <c r="K46" i="13"/>
  <c r="I46" i="13"/>
  <c r="H46" i="13"/>
  <c r="G46" i="13"/>
  <c r="F46" i="13"/>
  <c r="AA64" i="13"/>
  <c r="Z64" i="13"/>
  <c r="Y64" i="13"/>
  <c r="W64" i="13"/>
  <c r="V64" i="13"/>
  <c r="U64" i="13"/>
  <c r="T64" i="13"/>
  <c r="S64" i="13"/>
  <c r="R64" i="13"/>
  <c r="P64" i="13"/>
  <c r="O64" i="13"/>
  <c r="N64" i="13"/>
  <c r="M64" i="13"/>
  <c r="L64" i="13"/>
  <c r="K64" i="13"/>
  <c r="I64" i="13"/>
  <c r="H64" i="13"/>
  <c r="G64" i="13"/>
  <c r="F64" i="13"/>
  <c r="AC34" i="13" l="1"/>
  <c r="AB34" i="13"/>
  <c r="AA34" i="13"/>
  <c r="Z34" i="13"/>
  <c r="Y34" i="13"/>
  <c r="W34" i="13"/>
  <c r="V34" i="13"/>
  <c r="U34" i="13"/>
  <c r="T34" i="13"/>
  <c r="S34" i="13"/>
  <c r="R34" i="13"/>
  <c r="P34" i="13"/>
  <c r="O34" i="13"/>
  <c r="N34" i="13"/>
  <c r="M34" i="13"/>
  <c r="L34" i="13"/>
  <c r="K34" i="13"/>
  <c r="I34" i="13"/>
  <c r="H34" i="13"/>
  <c r="G34" i="13"/>
  <c r="F34" i="13"/>
  <c r="H19" i="13"/>
  <c r="G19" i="13"/>
  <c r="F19" i="13"/>
  <c r="AC125" i="13"/>
  <c r="AB125" i="13"/>
  <c r="AA125" i="13"/>
  <c r="Z125" i="13"/>
  <c r="Y125" i="13"/>
  <c r="W125" i="13"/>
  <c r="V125" i="13"/>
  <c r="U125" i="13"/>
  <c r="T125" i="13"/>
  <c r="S125" i="13"/>
  <c r="R125" i="13"/>
  <c r="P125" i="13"/>
  <c r="O125" i="13"/>
  <c r="N125" i="13"/>
  <c r="M125" i="13"/>
  <c r="L125" i="13"/>
  <c r="K125" i="13"/>
  <c r="I125" i="13"/>
  <c r="H125" i="13"/>
  <c r="G125" i="13"/>
  <c r="F125" i="13"/>
  <c r="AI55" i="13" l="1"/>
  <c r="AH55" i="13"/>
  <c r="AG55" i="13"/>
  <c r="AF55" i="13"/>
  <c r="K55" i="13" l="1"/>
  <c r="I55" i="13"/>
  <c r="H55" i="13"/>
  <c r="G55" i="13"/>
  <c r="F55" i="13"/>
  <c r="E55" i="13"/>
  <c r="U92" i="13" l="1"/>
  <c r="T92" i="13"/>
  <c r="W92" i="13"/>
  <c r="V92" i="13"/>
  <c r="S92" i="13"/>
  <c r="R92" i="13"/>
  <c r="P92" i="13"/>
  <c r="O92" i="13"/>
  <c r="N92" i="13"/>
  <c r="L92" i="13"/>
  <c r="E93" i="13"/>
  <c r="D93" i="13"/>
  <c r="Z10" i="13" l="1"/>
  <c r="Y10" i="13"/>
  <c r="S10" i="13"/>
  <c r="R10" i="13"/>
  <c r="K37" i="13"/>
  <c r="M37" i="13"/>
  <c r="L37" i="13"/>
  <c r="G70" i="13"/>
  <c r="AD55" i="13"/>
  <c r="AC55" i="13"/>
  <c r="AB55" i="13"/>
  <c r="AA55" i="13"/>
  <c r="Z55" i="13"/>
  <c r="Y55" i="13"/>
  <c r="W55" i="13"/>
  <c r="V55" i="13"/>
  <c r="E64" i="13"/>
  <c r="D64" i="13"/>
  <c r="W28" i="13"/>
  <c r="V28" i="13"/>
  <c r="U28" i="13"/>
  <c r="T28" i="13"/>
  <c r="S28" i="13"/>
  <c r="R28" i="13"/>
  <c r="P28" i="13"/>
  <c r="O28" i="13"/>
  <c r="N28" i="13"/>
  <c r="M28" i="13"/>
  <c r="L28" i="13"/>
  <c r="K28" i="13"/>
  <c r="I28" i="13"/>
  <c r="H28" i="13"/>
  <c r="G28" i="13"/>
  <c r="F28" i="13"/>
  <c r="E28" i="13"/>
  <c r="D28" i="13"/>
  <c r="D19" i="13" l="1"/>
  <c r="AN10" i="13"/>
  <c r="G25" i="13"/>
  <c r="F25" i="13"/>
  <c r="E25" i="13"/>
  <c r="D25" i="13"/>
  <c r="P25" i="13"/>
  <c r="O25" i="13"/>
  <c r="N25" i="13"/>
  <c r="M25" i="13"/>
  <c r="L25" i="13"/>
  <c r="F70" i="13"/>
  <c r="G40" i="13" l="1"/>
  <c r="F40" i="13"/>
  <c r="E40" i="13"/>
  <c r="D40" i="13"/>
  <c r="H40" i="13"/>
  <c r="D34" i="13" l="1"/>
  <c r="H37" i="13" l="1"/>
  <c r="G37" i="13"/>
  <c r="F37" i="13"/>
  <c r="E37" i="13"/>
  <c r="D37" i="13"/>
  <c r="T52" i="13" l="1"/>
  <c r="S52" i="13"/>
  <c r="R52" i="13"/>
  <c r="P52" i="13"/>
  <c r="O52" i="13"/>
  <c r="AC64" i="13" l="1"/>
  <c r="G10" i="13" l="1"/>
  <c r="K52" i="13" l="1"/>
  <c r="I52" i="13"/>
  <c r="H52" i="13"/>
  <c r="G52" i="13"/>
  <c r="F52" i="13"/>
  <c r="E52" i="13"/>
  <c r="D52" i="13"/>
  <c r="W25" i="13"/>
  <c r="V25" i="13"/>
  <c r="U25" i="13"/>
  <c r="T25" i="13"/>
  <c r="S25" i="13"/>
  <c r="Y13" i="13" l="1"/>
  <c r="I10" i="13" l="1"/>
  <c r="H10" i="13" l="1"/>
  <c r="F11" i="13" l="1"/>
  <c r="F10" i="13" s="1"/>
  <c r="E11" i="13"/>
  <c r="E10" i="13" s="1"/>
  <c r="D11" i="13"/>
  <c r="D10" i="13" s="1"/>
  <c r="E70" i="13"/>
  <c r="D70" i="13"/>
  <c r="H67" i="13"/>
  <c r="G67" i="13"/>
  <c r="F67" i="13"/>
  <c r="E67" i="13"/>
  <c r="D67" i="13"/>
  <c r="AD17" i="13" l="1"/>
  <c r="AC17" i="13"/>
  <c r="AB17" i="13"/>
  <c r="AA17" i="13"/>
  <c r="Z17" i="13"/>
  <c r="Y17" i="13"/>
  <c r="W17" i="13"/>
  <c r="V17" i="13"/>
  <c r="U17" i="13"/>
  <c r="T17" i="13"/>
  <c r="S17" i="13"/>
  <c r="R17" i="13"/>
  <c r="P17" i="13"/>
  <c r="O17" i="13"/>
  <c r="N17" i="13"/>
  <c r="M17" i="13"/>
  <c r="L17" i="13"/>
  <c r="K17" i="13"/>
  <c r="I17" i="13"/>
  <c r="H17" i="13"/>
  <c r="G17" i="13"/>
  <c r="F17" i="13"/>
  <c r="E17" i="13"/>
  <c r="D17" i="13"/>
  <c r="G58" i="13" l="1"/>
  <c r="F58" i="13"/>
  <c r="E58" i="13"/>
  <c r="AG25" i="13" l="1"/>
  <c r="AF25" i="13"/>
  <c r="Z25" i="13"/>
  <c r="Y25" i="13"/>
  <c r="L16" i="13" l="1"/>
  <c r="D58" i="13" l="1"/>
  <c r="I13" i="13" l="1"/>
  <c r="H13" i="13"/>
  <c r="G13" i="13"/>
  <c r="F13" i="13"/>
  <c r="E13" i="13"/>
  <c r="W13" i="13"/>
  <c r="V13" i="13"/>
  <c r="U13" i="13"/>
  <c r="T13" i="13"/>
  <c r="S13" i="13"/>
  <c r="R13" i="13"/>
  <c r="P13" i="13"/>
  <c r="O13" i="13"/>
  <c r="N13" i="13"/>
  <c r="M13" i="13"/>
  <c r="BJ119" i="13"/>
  <c r="BI119" i="13"/>
  <c r="BH119" i="13"/>
  <c r="BG119" i="13"/>
  <c r="BF119" i="13"/>
  <c r="BE119" i="13"/>
  <c r="BD119" i="13"/>
  <c r="BC119" i="13"/>
  <c r="BB119" i="13"/>
  <c r="BA119" i="13"/>
  <c r="AZ119" i="13"/>
  <c r="BJ120" i="13"/>
  <c r="BI120" i="13"/>
  <c r="BH120" i="13"/>
  <c r="BG120" i="13"/>
  <c r="BF120" i="13"/>
  <c r="BE120" i="13"/>
  <c r="BD120" i="13"/>
  <c r="BC120" i="13"/>
  <c r="BB120" i="13"/>
  <c r="BA120" i="13"/>
  <c r="AZ120" i="13"/>
  <c r="AS120" i="13"/>
  <c r="AL120" i="13"/>
  <c r="AE120" i="13"/>
  <c r="X120" i="13"/>
  <c r="Q120" i="13"/>
  <c r="K16" i="13" l="1"/>
  <c r="E46" i="13" l="1"/>
  <c r="D46" i="13"/>
  <c r="AY102" i="13" l="1"/>
  <c r="AX102" i="13"/>
  <c r="AW102" i="13"/>
  <c r="AV102" i="13"/>
  <c r="AU102" i="13"/>
  <c r="AT102" i="13"/>
  <c r="AR102" i="13"/>
  <c r="AQ102" i="13"/>
  <c r="AP102" i="13"/>
  <c r="AO102" i="13"/>
  <c r="AN102" i="13"/>
  <c r="AM102" i="13"/>
  <c r="AK102" i="13"/>
  <c r="AJ102" i="13"/>
  <c r="AI102" i="13"/>
  <c r="AH102" i="13"/>
  <c r="AG102" i="13"/>
  <c r="AF102" i="13"/>
  <c r="AD102" i="13"/>
  <c r="AC102" i="13"/>
  <c r="AB102" i="13"/>
  <c r="AA102" i="13"/>
  <c r="Z102" i="13"/>
  <c r="Y102" i="13"/>
  <c r="W102" i="13"/>
  <c r="V102" i="13"/>
  <c r="U102" i="13"/>
  <c r="T102" i="13"/>
  <c r="S102" i="13"/>
  <c r="R102" i="13"/>
  <c r="P102" i="13"/>
  <c r="O102" i="13"/>
  <c r="N102" i="13"/>
  <c r="M102" i="13"/>
  <c r="L102" i="13"/>
  <c r="K102" i="13"/>
  <c r="I102" i="13"/>
  <c r="H102" i="13"/>
  <c r="G102" i="13"/>
  <c r="F102" i="13"/>
  <c r="E102" i="13"/>
  <c r="D102" i="13"/>
  <c r="AK99" i="13"/>
  <c r="AJ99" i="13"/>
  <c r="AI99" i="13"/>
  <c r="AH99" i="13"/>
  <c r="AG99" i="13"/>
  <c r="AF99" i="13"/>
  <c r="Z99" i="13"/>
  <c r="Y99" i="13"/>
  <c r="W99" i="13"/>
  <c r="W98" i="13" s="1"/>
  <c r="V99" i="13"/>
  <c r="V98" i="13" s="1"/>
  <c r="U99" i="13"/>
  <c r="U98" i="13" s="1"/>
  <c r="T99" i="13"/>
  <c r="T98" i="13" s="1"/>
  <c r="S99" i="13"/>
  <c r="S98" i="13" s="1"/>
  <c r="R99" i="13"/>
  <c r="R98" i="13" s="1"/>
  <c r="P99" i="13"/>
  <c r="P98" i="13" s="1"/>
  <c r="O99" i="13"/>
  <c r="O98" i="13" s="1"/>
  <c r="N99" i="13"/>
  <c r="N98" i="13" s="1"/>
  <c r="M99" i="13"/>
  <c r="M98" i="13" s="1"/>
  <c r="L99" i="13"/>
  <c r="L98" i="13" s="1"/>
  <c r="K99" i="13"/>
  <c r="K98" i="13" s="1"/>
  <c r="I99" i="13"/>
  <c r="I98" i="13" s="1"/>
  <c r="H99" i="13"/>
  <c r="H98" i="13" s="1"/>
  <c r="G99" i="13"/>
  <c r="G98" i="13" s="1"/>
  <c r="F99" i="13"/>
  <c r="F98" i="13" s="1"/>
  <c r="D99" i="13"/>
  <c r="AY44" i="13"/>
  <c r="AX44" i="13"/>
  <c r="AW44" i="13"/>
  <c r="AV44" i="13"/>
  <c r="AU44" i="13"/>
  <c r="AT44" i="13"/>
  <c r="AR44" i="13"/>
  <c r="AQ44" i="13"/>
  <c r="AP44" i="13"/>
  <c r="AO44" i="13"/>
  <c r="AN44" i="13"/>
  <c r="AM44" i="13"/>
  <c r="AK44" i="13"/>
  <c r="AJ44" i="13"/>
  <c r="AI44" i="13"/>
  <c r="AH44" i="13"/>
  <c r="AG44" i="13"/>
  <c r="AF44" i="13"/>
  <c r="AD44" i="13"/>
  <c r="AC44" i="13"/>
  <c r="AB44" i="13"/>
  <c r="AA44" i="13"/>
  <c r="Z44" i="13"/>
  <c r="Y44" i="13"/>
  <c r="W44" i="13"/>
  <c r="V44" i="13"/>
  <c r="U44" i="13"/>
  <c r="T44" i="13"/>
  <c r="S44" i="13"/>
  <c r="R44" i="13"/>
  <c r="AA120" i="13" l="1"/>
  <c r="W120" i="13"/>
  <c r="V120" i="13"/>
  <c r="Y120" i="13"/>
  <c r="Z120" i="13"/>
  <c r="AD120" i="13"/>
  <c r="AF120" i="13"/>
  <c r="AI120" i="13"/>
  <c r="AC120" i="13"/>
  <c r="AO120" i="13"/>
  <c r="AP120" i="13"/>
  <c r="AR120" i="13"/>
  <c r="AU120" i="13"/>
  <c r="P120" i="13"/>
  <c r="AW120" i="13"/>
  <c r="AH120" i="13"/>
  <c r="AT120" i="13"/>
  <c r="R120" i="13"/>
  <c r="AK120" i="13"/>
  <c r="AN120" i="13"/>
  <c r="L120" i="13"/>
  <c r="AV120" i="13"/>
  <c r="AX120" i="13"/>
  <c r="S120" i="13"/>
  <c r="AY120" i="13"/>
  <c r="AG120" i="13"/>
  <c r="N120" i="13"/>
  <c r="T120" i="13"/>
  <c r="AB120" i="13"/>
  <c r="AJ120" i="13"/>
  <c r="AM120" i="13"/>
  <c r="AQ120" i="13"/>
  <c r="M120" i="13"/>
  <c r="O120" i="13"/>
  <c r="U120" i="13"/>
  <c r="M92" i="13"/>
  <c r="L40" i="13" l="1"/>
  <c r="K40" i="13"/>
  <c r="D98" i="13" l="1"/>
  <c r="Y101" i="13"/>
  <c r="W101" i="13"/>
  <c r="V101" i="13"/>
  <c r="U101" i="13"/>
  <c r="T101" i="13"/>
  <c r="S101" i="13"/>
  <c r="R101" i="13"/>
  <c r="G101" i="13"/>
  <c r="F101" i="13"/>
  <c r="E101" i="13"/>
  <c r="D101" i="13"/>
  <c r="P101" i="13"/>
  <c r="O101" i="13"/>
  <c r="N101" i="13"/>
  <c r="M101" i="13"/>
  <c r="L101" i="13"/>
  <c r="K101" i="13"/>
  <c r="I101" i="13"/>
  <c r="H101" i="13"/>
  <c r="J121" i="13" l="1"/>
  <c r="Q121" i="13"/>
  <c r="X121" i="13"/>
  <c r="AC121" i="13"/>
  <c r="AD121" i="13"/>
  <c r="AE121" i="13"/>
  <c r="AI121" i="13"/>
  <c r="AJ121" i="13"/>
  <c r="AK121" i="13"/>
  <c r="AL121" i="13"/>
  <c r="AM121" i="13"/>
  <c r="AN121" i="13"/>
  <c r="AO121" i="13"/>
  <c r="AP121" i="13"/>
  <c r="AQ121" i="13"/>
  <c r="AR121" i="13"/>
  <c r="AS121" i="13"/>
  <c r="AT121" i="13"/>
  <c r="AW121" i="13"/>
  <c r="AX121" i="13"/>
  <c r="AY121" i="13"/>
  <c r="BD121" i="13"/>
  <c r="BE121" i="13"/>
  <c r="BF121" i="13"/>
  <c r="BG121" i="13"/>
  <c r="BH121" i="13"/>
  <c r="BI121" i="13"/>
  <c r="BJ121" i="13"/>
  <c r="AU121" i="13"/>
  <c r="AV121" i="13"/>
  <c r="AZ121" i="13"/>
  <c r="BA121" i="13"/>
  <c r="BB121" i="13"/>
  <c r="BC121" i="13"/>
  <c r="AK43" i="13"/>
  <c r="AJ43" i="13"/>
  <c r="AI43" i="13"/>
  <c r="AH43" i="13"/>
  <c r="AG43" i="13"/>
  <c r="AF43" i="13"/>
  <c r="AH121" i="13"/>
  <c r="AG121" i="13"/>
  <c r="AF121" i="13"/>
  <c r="AD43" i="13"/>
  <c r="AC43" i="13"/>
  <c r="AB43" i="13"/>
  <c r="AA43" i="13"/>
  <c r="Z43" i="13"/>
  <c r="Y43" i="13"/>
  <c r="AB121" i="13"/>
  <c r="AA121" i="13"/>
  <c r="Z121" i="13"/>
  <c r="Y121" i="13"/>
  <c r="AY43" i="13"/>
  <c r="AX43" i="13"/>
  <c r="AW43" i="13"/>
  <c r="AV43" i="13"/>
  <c r="AU43" i="13"/>
  <c r="AT43" i="13"/>
  <c r="AR43" i="13"/>
  <c r="AQ43" i="13"/>
  <c r="AP43" i="13"/>
  <c r="AO43" i="13"/>
  <c r="AN43" i="13"/>
  <c r="AM43" i="13"/>
  <c r="W43" i="13"/>
  <c r="V43" i="13"/>
  <c r="U43" i="13"/>
  <c r="T43" i="13"/>
  <c r="S43" i="13"/>
  <c r="R43" i="13"/>
  <c r="P43" i="13"/>
  <c r="O43" i="13"/>
  <c r="N43" i="13"/>
  <c r="M43" i="13"/>
  <c r="L43" i="13"/>
  <c r="K43" i="13"/>
  <c r="I43" i="13"/>
  <c r="H43" i="13"/>
  <c r="G43" i="13"/>
  <c r="F43" i="13"/>
  <c r="E43" i="13"/>
  <c r="D43" i="13"/>
  <c r="AV119" i="13" l="1"/>
  <c r="AY119" i="13"/>
  <c r="AX119" i="13"/>
  <c r="AW119" i="13"/>
  <c r="AU119" i="13"/>
  <c r="AT119" i="13"/>
  <c r="AR119" i="13"/>
  <c r="AQ119" i="13"/>
  <c r="AP119" i="13"/>
  <c r="AO119" i="13"/>
  <c r="AN119" i="13"/>
  <c r="AM119" i="13"/>
  <c r="W121" i="13" l="1"/>
  <c r="V121" i="13"/>
  <c r="U121" i="13"/>
  <c r="T121" i="13"/>
  <c r="S121" i="13"/>
  <c r="R121" i="13"/>
  <c r="P121" i="13"/>
  <c r="O121" i="13"/>
  <c r="N121" i="13"/>
  <c r="M121" i="13"/>
  <c r="L121" i="13"/>
  <c r="K121" i="13"/>
  <c r="I121" i="13"/>
  <c r="H121" i="13"/>
  <c r="G121" i="13"/>
  <c r="F121" i="13"/>
  <c r="E121" i="13"/>
  <c r="D121" i="13"/>
  <c r="I16" i="13"/>
  <c r="H16" i="13"/>
  <c r="G16" i="13"/>
  <c r="F16" i="13"/>
  <c r="E16" i="13"/>
  <c r="D16" i="13"/>
  <c r="D4" i="13" l="1"/>
  <c r="E3" i="13"/>
  <c r="F3" i="13" l="1"/>
  <c r="E4" i="13"/>
  <c r="F4" i="13" l="1"/>
  <c r="G3" i="13"/>
  <c r="H3" i="13" l="1"/>
  <c r="G4" i="13"/>
  <c r="I3" i="13" l="1"/>
  <c r="H4" i="13"/>
  <c r="I4" i="13" l="1"/>
  <c r="J3" i="13"/>
  <c r="J4" i="13" l="1"/>
  <c r="K4" i="13" l="1"/>
  <c r="L3" i="13"/>
  <c r="M3" i="13" l="1"/>
  <c r="L4" i="13"/>
  <c r="N3" i="13" l="1"/>
  <c r="M4" i="13"/>
  <c r="O3" i="13" l="1"/>
  <c r="N4" i="13"/>
  <c r="P3" i="13" l="1"/>
  <c r="O4" i="13"/>
  <c r="Q3" i="13" l="1"/>
  <c r="P4" i="13"/>
  <c r="R3" i="13" l="1"/>
  <c r="Q4" i="13"/>
  <c r="R4" i="13" l="1"/>
  <c r="S3" i="13"/>
  <c r="T3" i="13" l="1"/>
  <c r="S4" i="13"/>
  <c r="T4" i="13" l="1"/>
  <c r="U3" i="13"/>
  <c r="U4" i="13" l="1"/>
  <c r="V3" i="13"/>
  <c r="V4" i="13" l="1"/>
  <c r="W3" i="13"/>
  <c r="W4" i="13" l="1"/>
  <c r="X3" i="13"/>
  <c r="Y3" i="13" s="1"/>
  <c r="Z3" i="13" l="1"/>
  <c r="Y4" i="13"/>
  <c r="X4" i="13"/>
  <c r="Z4" i="13" l="1"/>
  <c r="AA3" i="13"/>
  <c r="AB3" i="13" l="1"/>
  <c r="AA4" i="13"/>
  <c r="AB4" i="13" l="1"/>
  <c r="AC3" i="13"/>
  <c r="AC4" i="13" l="1"/>
  <c r="AD3" i="13"/>
  <c r="AD4" i="13" s="1"/>
  <c r="AE3" i="13" l="1"/>
  <c r="AF3" i="13" s="1"/>
  <c r="AG3" i="13" l="1"/>
  <c r="AF4" i="13"/>
  <c r="AE4" i="13"/>
  <c r="AH3" i="13" l="1"/>
  <c r="AG4" i="13"/>
  <c r="AI3" i="13" l="1"/>
  <c r="AH4" i="13"/>
  <c r="AJ3" i="13" l="1"/>
  <c r="AI4" i="13"/>
  <c r="AJ4" i="13" l="1"/>
  <c r="AK3" i="13"/>
  <c r="AK4" i="13" l="1"/>
  <c r="AL3" i="13"/>
  <c r="AM3" i="13" l="1"/>
  <c r="AL4" i="13"/>
  <c r="AM4" i="13" l="1"/>
  <c r="AN3" i="13"/>
  <c r="AO3" i="13" l="1"/>
  <c r="AN4" i="13"/>
  <c r="AP3" i="13" l="1"/>
  <c r="AO4" i="13"/>
  <c r="AP4" i="13" l="1"/>
  <c r="AQ3" i="13"/>
  <c r="AQ4" i="13" l="1"/>
  <c r="AR3" i="13"/>
  <c r="AS3" i="13" l="1"/>
  <c r="AR4" i="13"/>
  <c r="AS4" i="13" l="1"/>
  <c r="AT3" i="13"/>
  <c r="AU3" i="13" l="1"/>
  <c r="AT4" i="13"/>
  <c r="AV3" i="13" l="1"/>
  <c r="AU4" i="13"/>
  <c r="AV4" i="13" l="1"/>
  <c r="AW3" i="13"/>
  <c r="AX3" i="13" l="1"/>
  <c r="AW4" i="13"/>
  <c r="AY3" i="13" l="1"/>
  <c r="AX4" i="13"/>
  <c r="AY4" i="13" l="1"/>
  <c r="AZ3" i="13"/>
  <c r="BA3" i="13" l="1"/>
  <c r="AZ4" i="13"/>
  <c r="BA4" i="13" l="1"/>
  <c r="BB3" i="13"/>
  <c r="BB4" i="13" l="1"/>
  <c r="BC3" i="13"/>
  <c r="BC4" i="13" l="1"/>
  <c r="BD3" i="13"/>
  <c r="BD4" i="13" l="1"/>
  <c r="BE3" i="13"/>
  <c r="BE4" i="13" l="1"/>
  <c r="BF3" i="13"/>
  <c r="BF4" i="13" l="1"/>
  <c r="BG3" i="13"/>
  <c r="BG4" i="13" l="1"/>
  <c r="BH3" i="13"/>
  <c r="BI3" i="13" l="1"/>
  <c r="BH4" i="13"/>
  <c r="BI4" i="13" l="1"/>
  <c r="BJ3" i="13"/>
  <c r="BJ4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Guest1 SA</author>
    <author>Rawan Mazen</author>
    <author>Chenna Keshava</author>
  </authors>
  <commentList>
    <comment ref="B6" authorId="0" shapeId="0" xr:uid="{AB7E142A-14CF-46AC-B4CB-76B1798ABBA3}">
      <text>
        <r>
          <rPr>
            <b/>
            <sz val="9"/>
            <color indexed="81"/>
            <rFont val="Tahoma"/>
            <family val="2"/>
          </rPr>
          <t>Guest1 SA:</t>
        </r>
        <r>
          <rPr>
            <sz val="9"/>
            <color indexed="81"/>
            <rFont val="Tahoma"/>
            <family val="2"/>
          </rPr>
          <t xml:space="preserve">
4200</t>
        </r>
      </text>
    </comment>
    <comment ref="B9" authorId="1" shapeId="0" xr:uid="{0826887B-1CB2-4F4F-B546-5F193FD8B8B5}">
      <text>
        <r>
          <rPr>
            <b/>
            <sz val="9"/>
            <color indexed="81"/>
            <rFont val="Tahoma"/>
            <family val="2"/>
          </rPr>
          <t>Rawan Mazen:</t>
        </r>
        <r>
          <rPr>
            <sz val="9"/>
            <color indexed="81"/>
            <rFont val="Tahoma"/>
            <family val="2"/>
          </rPr>
          <t xml:space="preserve">
28000cs</t>
        </r>
      </text>
    </comment>
    <comment ref="L9" authorId="2" shapeId="0" xr:uid="{C8D60C3E-4B33-49FF-9A6B-7C366331B95B}">
      <text>
        <r>
          <rPr>
            <sz val="11"/>
            <color theme="1"/>
            <rFont val="Calibri"/>
            <family val="2"/>
            <scheme val="minor"/>
          </rPr>
          <t>928 pcs</t>
        </r>
      </text>
    </comment>
    <comment ref="O9" authorId="2" shapeId="0" xr:uid="{6A5C4130-3942-4DA5-B621-1AF99DD082E7}">
      <text>
        <r>
          <rPr>
            <sz val="9"/>
            <color indexed="81"/>
            <rFont val="Tahoma"/>
            <family val="2"/>
          </rPr>
          <t xml:space="preserve">2500 Dec lost qty and 31st Jan </t>
        </r>
      </text>
    </comment>
    <comment ref="V9" authorId="2" shapeId="0" xr:uid="{1E1EDF12-33D6-4A75-B8B7-0A1907660C84}">
      <text>
        <r>
          <rPr>
            <sz val="11"/>
            <color theme="1"/>
            <rFont val="Calibri"/>
            <family val="2"/>
            <scheme val="minor"/>
          </rPr>
          <t>2156- 1/31-2/15</t>
        </r>
      </text>
    </comment>
    <comment ref="AC9" authorId="2" shapeId="0" xr:uid="{AFBAFCD2-1522-4210-BDF1-5A3686BCA7C2}">
      <text>
        <r>
          <rPr>
            <sz val="11"/>
            <color theme="1"/>
            <rFont val="Calibri"/>
            <family val="2"/>
            <scheme val="minor"/>
          </rPr>
          <t>1800-1/31</t>
        </r>
      </text>
    </comment>
    <comment ref="AH9" authorId="2" shapeId="0" xr:uid="{E421A706-5B32-4D8C-ABB3-89C98E87C777}">
      <text>
        <r>
          <rPr>
            <sz val="11"/>
            <color theme="1"/>
            <rFont val="Calibri"/>
            <family val="2"/>
            <scheme val="minor"/>
          </rPr>
          <t>2/15+ 2/28 (2626-723)</t>
        </r>
      </text>
    </comment>
    <comment ref="AM9" authorId="2" shapeId="0" xr:uid="{A69E68EC-993E-4C5E-BB43-BF8BC9F3CE01}">
      <text>
        <r>
          <rPr>
            <sz val="11"/>
            <color theme="1"/>
            <rFont val="Calibri"/>
            <family val="2"/>
            <scheme val="minor"/>
          </rPr>
          <t xml:space="preserve">4262 pcs
</t>
        </r>
      </text>
    </comment>
    <comment ref="AW9" authorId="2" shapeId="0" xr:uid="{CE9E4D65-191F-4CC2-8B07-3243889C156B}">
      <text>
        <r>
          <rPr>
            <sz val="11"/>
            <color theme="1"/>
            <rFont val="Calibri"/>
            <family val="2"/>
            <scheme val="minor"/>
          </rPr>
          <t>Feb 28th -1272 then march shipment  507
balance depend on materials</t>
        </r>
      </text>
    </comment>
    <comment ref="B12" authorId="0" shapeId="0" xr:uid="{FDC159C6-7ED0-4FD1-A0F3-7723F1F23AC0}">
      <text>
        <r>
          <rPr>
            <b/>
            <sz val="9"/>
            <color indexed="81"/>
            <rFont val="Tahoma"/>
            <family val="2"/>
          </rPr>
          <t>Guest1 SA:</t>
        </r>
        <r>
          <rPr>
            <sz val="9"/>
            <color indexed="81"/>
            <rFont val="Tahoma"/>
            <family val="2"/>
          </rPr>
          <t xml:space="preserve">
4200</t>
        </r>
      </text>
    </comment>
    <comment ref="K12" authorId="2" shapeId="0" xr:uid="{692828DC-0425-4EA6-A813-98BD3B925192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AB12" authorId="2" shapeId="0" xr:uid="{67910874-37D3-45B1-B9BE-7C03B70B7115}">
      <text>
        <r>
          <rPr>
            <sz val="11"/>
            <color theme="1"/>
            <rFont val="Calibri"/>
            <family val="2"/>
            <scheme val="minor"/>
          </rPr>
          <t>1200 11/30</t>
        </r>
      </text>
    </comment>
    <comment ref="AF12" authorId="2" shapeId="0" xr:uid="{18D634ED-3BE4-4048-A911-2E52E71C07F0}">
      <text>
        <r>
          <rPr>
            <sz val="11"/>
            <color theme="1"/>
            <rFont val="Calibri"/>
            <family val="2"/>
            <scheme val="minor"/>
          </rPr>
          <t xml:space="preserve">12/05 DDT2
2503 pcs -28th febShipment </t>
        </r>
      </text>
    </comment>
    <comment ref="AM12" authorId="2" shapeId="0" xr:uid="{9F7DB7FE-8F30-4FB3-A491-1D531AFFD4DE}">
      <text>
        <r>
          <rPr>
            <sz val="11"/>
            <color theme="1"/>
            <rFont val="Calibri"/>
            <family val="2"/>
            <scheme val="minor"/>
          </rPr>
          <t xml:space="preserve">2/05 ETA-heat transfar
2425 pcs can stitch 
Balance 14582 pcs Depnd on Materials </t>
        </r>
      </text>
    </comment>
    <comment ref="B15" authorId="1" shapeId="0" xr:uid="{A9C2B128-6EA6-4186-9841-E2D9850411DF}">
      <text>
        <r>
          <rPr>
            <b/>
            <sz val="9"/>
            <color indexed="81"/>
            <rFont val="Tahoma"/>
            <family val="2"/>
          </rPr>
          <t>Rawan Mazen:</t>
        </r>
        <r>
          <rPr>
            <sz val="9"/>
            <color indexed="81"/>
            <rFont val="Tahoma"/>
            <family val="2"/>
          </rPr>
          <t xml:space="preserve">
29749- First 8/30 pcs for 8/15 shipment </t>
        </r>
      </text>
    </comment>
    <comment ref="B18" authorId="2" shapeId="0" xr:uid="{BB2948A9-9116-48B2-9B87-5C343FF1CDA7}">
      <text>
        <r>
          <rPr>
            <sz val="9"/>
            <color indexed="81"/>
            <rFont val="Tahoma"/>
            <family val="2"/>
          </rPr>
          <t xml:space="preserve">7270 -7th jan to 15th Jan </t>
        </r>
      </text>
    </comment>
    <comment ref="E18" authorId="2" shapeId="0" xr:uid="{FF5414ED-8F46-4814-981E-92D754F2E4D1}">
      <text>
        <r>
          <rPr>
            <sz val="9"/>
            <color indexed="81"/>
            <rFont val="Tahoma"/>
            <family val="2"/>
          </rPr>
          <t xml:space="preserve">7270 -7th jan to 15th Jan </t>
        </r>
      </text>
    </comment>
    <comment ref="R18" authorId="2" shapeId="0" xr:uid="{32C30286-6029-4C39-954D-B63E4ACAEA04}">
      <text>
        <r>
          <rPr>
            <sz val="11"/>
            <color theme="1"/>
            <rFont val="Calibri"/>
            <family val="2"/>
            <scheme val="minor"/>
          </rPr>
          <t>Full qty based on delivery date(17800)</t>
        </r>
      </text>
    </comment>
    <comment ref="AJ18" authorId="2" shapeId="0" xr:uid="{B095546A-14EB-4A5A-A3ED-05A6054AAA02}">
      <text>
        <r>
          <rPr>
            <sz val="11"/>
            <color theme="1"/>
            <rFont val="Calibri"/>
            <family val="2"/>
            <scheme val="minor"/>
          </rPr>
          <t>March shipment 5740 pcs in house  Full NOV-1 FW26</t>
        </r>
      </text>
    </comment>
    <comment ref="B24" authorId="1" shapeId="0" xr:uid="{A933B8B1-1FC5-44CE-97DF-8878CECCD1AB}">
      <text>
        <r>
          <rPr>
            <b/>
            <sz val="9"/>
            <color indexed="81"/>
            <rFont val="Tahoma"/>
            <family val="2"/>
          </rPr>
          <t>Rawan Mazen:</t>
        </r>
        <r>
          <rPr>
            <sz val="9"/>
            <color indexed="81"/>
            <rFont val="Tahoma"/>
            <family val="2"/>
          </rPr>
          <t xml:space="preserve">
18402 until 9/15- then will load balance qty  full style</t>
        </r>
      </text>
    </comment>
    <comment ref="AC24" authorId="1" shapeId="0" xr:uid="{316AEA26-4F47-41D2-BE41-D7C7C3809488}">
      <text>
        <r>
          <rPr>
            <b/>
            <sz val="9"/>
            <color indexed="81"/>
            <rFont val="Tahoma"/>
            <family val="2"/>
          </rPr>
          <t>Rawan Mazen:</t>
        </r>
        <r>
          <rPr>
            <sz val="9"/>
            <color indexed="81"/>
            <rFont val="Tahoma"/>
            <family val="2"/>
          </rPr>
          <t xml:space="preserve">
FW26- 12/26 DDT2</t>
        </r>
      </text>
    </comment>
    <comment ref="B27" authorId="2" shapeId="0" xr:uid="{75CF2506-FE52-43B5-8A71-F5C31A1FB0DC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AD27" authorId="2" shapeId="0" xr:uid="{0E5924E5-A8E1-47E4-B663-7D3E07EF9D77}">
      <text>
        <r>
          <rPr>
            <sz val="11"/>
            <color theme="1"/>
            <rFont val="Calibri"/>
            <family val="2"/>
            <scheme val="minor"/>
          </rPr>
          <t>491-2/15
1/31- and 1/22 ETA Trims</t>
        </r>
      </text>
    </comment>
    <comment ref="AF27" authorId="2" shapeId="0" xr:uid="{110F4451-4990-4664-8ED6-931AEACAF9BF}">
      <text>
        <r>
          <rPr>
            <sz val="11"/>
            <color theme="1"/>
            <rFont val="Calibri"/>
            <family val="2"/>
            <scheme val="minor"/>
          </rPr>
          <t xml:space="preserve">2800-2/15 then baalnce OCT-2- 1400pcs 
</t>
        </r>
      </text>
    </comment>
    <comment ref="AK27" authorId="2" shapeId="0" xr:uid="{5F667720-2ADD-463C-95F0-FDEFDFD7F56D}">
      <text>
        <r>
          <rPr>
            <sz val="11"/>
            <color theme="1"/>
            <rFont val="Calibri"/>
            <family val="2"/>
            <scheme val="minor"/>
          </rPr>
          <t xml:space="preserve">3047 pcs 
 first loading  756 for 2/15 shipment 
DDT2-12/28
</t>
        </r>
      </text>
    </comment>
    <comment ref="AP27" authorId="2" shapeId="0" xr:uid="{F9EA48B4-ABC5-4D77-BFC8-25F7FEA28D4B}">
      <text>
        <r>
          <rPr>
            <sz val="11"/>
            <color theme="1"/>
            <rFont val="Calibri"/>
            <family val="2"/>
            <scheme val="minor"/>
          </rPr>
          <t>1410-2/28 feb</t>
        </r>
      </text>
    </comment>
    <comment ref="B33" authorId="2" shapeId="0" xr:uid="{E5CFE07D-2FFA-4AF5-995D-BEC2A09EEAF8}">
      <text>
        <r>
          <rPr>
            <sz val="11"/>
            <color theme="1"/>
            <rFont val="Calibri"/>
            <family val="2"/>
            <scheme val="minor"/>
          </rPr>
          <t>7270-1/07  and  1 /15</t>
        </r>
      </text>
    </comment>
    <comment ref="E33" authorId="2" shapeId="0" xr:uid="{68B968B4-41AB-4435-81A8-A6FD9719D2B9}">
      <text>
        <r>
          <rPr>
            <sz val="11"/>
            <color theme="1"/>
            <rFont val="Calibri"/>
            <family val="2"/>
            <scheme val="minor"/>
          </rPr>
          <t>7270-1/07  and  1 /15</t>
        </r>
      </text>
    </comment>
    <comment ref="AF33" authorId="2" shapeId="0" xr:uid="{7DF2ED60-42B3-410B-A546-9E268FEA817B}">
      <text>
        <r>
          <rPr>
            <sz val="11"/>
            <color theme="1"/>
            <rFont val="Calibri"/>
            <family val="2"/>
            <scheme val="minor"/>
          </rPr>
          <t xml:space="preserve">1200- 1/31ETA 2/28 Shipment
</t>
        </r>
      </text>
    </comment>
    <comment ref="AI33" authorId="2" shapeId="0" xr:uid="{6A819B64-6311-4921-BF7B-93A384923EEB}">
      <text>
        <r>
          <rPr>
            <sz val="11"/>
            <color theme="1"/>
            <rFont val="Calibri"/>
            <family val="2"/>
            <scheme val="minor"/>
          </rPr>
          <t>240 pcs -2/15
1/31 ETA</t>
        </r>
      </text>
    </comment>
    <comment ref="AK33" authorId="2" shapeId="0" xr:uid="{78B30C53-2400-48B8-B5B5-13D7B5FEF2A7}">
      <text>
        <r>
          <rPr>
            <sz val="11"/>
            <color theme="1"/>
            <rFont val="Calibri"/>
            <family val="2"/>
            <scheme val="minor"/>
          </rPr>
          <t xml:space="preserve">24022-
 ETA-2/10 mesh 
NOV-2 </t>
        </r>
      </text>
    </comment>
    <comment ref="AM33" authorId="2" shapeId="0" xr:uid="{E0472408-6E73-4BBF-B67E-D265C08D914C}">
      <text>
        <r>
          <rPr>
            <sz val="11"/>
            <color theme="1"/>
            <rFont val="Calibri"/>
            <family val="2"/>
            <scheme val="minor"/>
          </rPr>
          <t xml:space="preserve">24022-
 ETA-2/10 mesh 
NOV-2 </t>
        </r>
      </text>
    </comment>
    <comment ref="B36" authorId="2" shapeId="0" xr:uid="{7E191870-07CC-44C6-B0F4-7FEF78D99835}">
      <text>
        <r>
          <rPr>
            <sz val="11"/>
            <color theme="1"/>
            <rFont val="Calibri"/>
            <family val="2"/>
            <scheme val="minor"/>
          </rPr>
          <t xml:space="preserve">2330 OCT-1 1/15 </t>
        </r>
      </text>
    </comment>
    <comment ref="I36" authorId="2" shapeId="0" xr:uid="{977F894B-94B3-4F88-8B59-07A5A609098E}">
      <text>
        <r>
          <rPr>
            <sz val="11"/>
            <color theme="1"/>
            <rFont val="Calibri"/>
            <family val="2"/>
            <scheme val="minor"/>
          </rPr>
          <t xml:space="preserve">2330 OCT-1 1/15 </t>
        </r>
      </text>
    </comment>
    <comment ref="N36" authorId="2" shapeId="0" xr:uid="{25CAB829-0204-41F6-9C6E-B86DE49812EB}">
      <text>
        <r>
          <rPr>
            <sz val="9"/>
            <color indexed="81"/>
            <rFont val="Tahoma"/>
            <family val="2"/>
          </rPr>
          <t xml:space="preserve">
9421 pcs 1/31 shipment </t>
        </r>
      </text>
    </comment>
    <comment ref="W36" authorId="2" shapeId="0" xr:uid="{F9C13F6E-D923-4F6C-B0FC-1971748416BD}">
      <text>
        <r>
          <rPr>
            <sz val="11"/>
            <color theme="1"/>
            <rFont val="Calibri"/>
            <family val="2"/>
            <scheme val="minor"/>
          </rPr>
          <t>Jan -31  and March (2400)
Stopper 1/22 ETA</t>
        </r>
      </text>
    </comment>
    <comment ref="AB36" authorId="2" shapeId="0" xr:uid="{C95B02BE-0C96-4901-92C9-BD96D123C9D2}">
      <text>
        <r>
          <rPr>
            <sz val="11"/>
            <color theme="1"/>
            <rFont val="Calibri"/>
            <family val="2"/>
            <scheme val="minor"/>
          </rPr>
          <t>1100</t>
        </r>
      </text>
    </comment>
    <comment ref="AD36" authorId="2" shapeId="0" xr:uid="{1B90129C-9632-4B74-8126-F51AC7606493}">
      <text>
        <r>
          <rPr>
            <sz val="11"/>
            <color theme="1"/>
            <rFont val="Calibri"/>
            <family val="2"/>
            <scheme val="minor"/>
          </rPr>
          <t xml:space="preserve">2316 -2/15+2/28 1/31ETA
then 1308 NOV-2 ss26
then FW26 -2208 pcs fabric in house </t>
        </r>
      </text>
    </comment>
    <comment ref="AO36" authorId="2" shapeId="0" xr:uid="{B2FC3F52-1979-4586-9F3F-89E05DF40548}">
      <text>
        <r>
          <rPr>
            <sz val="11"/>
            <color theme="1"/>
            <rFont val="Calibri"/>
            <family val="2"/>
            <scheme val="minor"/>
          </rPr>
          <t xml:space="preserve">420-28th Feb </t>
        </r>
      </text>
    </comment>
    <comment ref="AQ36" authorId="2" shapeId="0" xr:uid="{22D3D1CB-3118-4285-B731-2B96640237B7}">
      <text>
        <r>
          <rPr>
            <sz val="11"/>
            <color theme="1"/>
            <rFont val="Calibri"/>
            <family val="2"/>
            <scheme val="minor"/>
          </rPr>
          <t>17988- 12/29 DDT2
15th March CRD</t>
        </r>
      </text>
    </comment>
    <comment ref="B39" authorId="2" shapeId="0" xr:uid="{6BA36643-5FC2-4CE8-87FA-197DEC22A422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I39" authorId="2" shapeId="0" xr:uid="{DC36D4DC-97E9-4B9A-A5E0-0ACF62AAC774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K39" authorId="2" shapeId="0" xr:uid="{4CC18074-7F8F-42D7-BF98-E08628B8B842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Y39" authorId="2" shapeId="0" xr:uid="{4276D839-B161-4777-9052-F66FCCF4C55D}">
      <text>
        <r>
          <rPr>
            <sz val="11"/>
            <color theme="1"/>
            <rFont val="Calibri"/>
            <family val="2"/>
            <scheme val="minor"/>
          </rPr>
          <t xml:space="preserve">1856 pcs SS26- all in house only tiecord 2/10
2/15+ 2/28
FW26-2626 pcs </t>
        </r>
      </text>
    </comment>
    <comment ref="AC39" authorId="2" shapeId="0" xr:uid="{F4B7B9D1-1FCA-4DAF-94A9-7D8B0640CDB9}">
      <text>
        <r>
          <rPr>
            <sz val="11"/>
            <color theme="1"/>
            <rFont val="Calibri"/>
            <family val="2"/>
            <scheme val="minor"/>
          </rPr>
          <t xml:space="preserve">12/05 DDT2
2503 pcs -28th febShipment </t>
        </r>
      </text>
    </comment>
    <comment ref="AI39" authorId="2" shapeId="0" xr:uid="{5680F5EE-7CA6-4F72-9A4A-7A9D18A0EC89}">
      <text>
        <r>
          <rPr>
            <sz val="11"/>
            <color theme="1"/>
            <rFont val="Calibri"/>
            <family val="2"/>
            <scheme val="minor"/>
          </rPr>
          <t>8800 rejected fabric 
then 2450 nov-2
then 4426 NOV-2 FW26</t>
        </r>
      </text>
    </comment>
    <comment ref="B48" authorId="2" shapeId="0" xr:uid="{00E9C551-454E-40AB-9A0E-BDBE80763104}">
      <text>
        <r>
          <rPr>
            <sz val="9"/>
            <color indexed="81"/>
            <rFont val="Tahoma"/>
            <family val="2"/>
          </rPr>
          <t xml:space="preserve">
6943 First delivery  then balance </t>
        </r>
      </text>
    </comment>
    <comment ref="B51" authorId="2" shapeId="0" xr:uid="{DF2394D3-1312-4D0C-A2A4-5384A6674F21}">
      <text>
        <r>
          <rPr>
            <sz val="9"/>
            <color indexed="81"/>
            <rFont val="Tahoma"/>
            <family val="2"/>
          </rPr>
          <t>6486-12/31 all sep -1 and sep-2</t>
        </r>
      </text>
    </comment>
    <comment ref="O51" authorId="2" shapeId="0" xr:uid="{45AABD91-7579-45A9-890C-B3D3BB4F4850}">
      <text>
        <r>
          <rPr>
            <sz val="11"/>
            <color theme="1"/>
            <rFont val="Calibri"/>
            <family val="2"/>
            <scheme val="minor"/>
          </rPr>
          <t>5115- 1/31</t>
        </r>
      </text>
    </comment>
    <comment ref="U51" authorId="2" shapeId="0" xr:uid="{BCFDBAC5-3E8E-4065-94CB-E60928C10606}">
      <text>
        <r>
          <rPr>
            <sz val="9"/>
            <color indexed="81"/>
            <rFont val="Tahoma"/>
            <family val="2"/>
          </rPr>
          <t>2550 pcs</t>
        </r>
      </text>
    </comment>
    <comment ref="AB51" authorId="2" shapeId="0" xr:uid="{82FAC0CC-58EC-4E9D-9C13-67EF86D351C3}">
      <text>
        <r>
          <rPr>
            <sz val="11"/>
            <color theme="1"/>
            <rFont val="Calibri"/>
            <family val="2"/>
            <scheme val="minor"/>
          </rPr>
          <t>2/05-ETA
9019-2/15+2/28</t>
        </r>
      </text>
    </comment>
    <comment ref="BA51" authorId="2" shapeId="0" xr:uid="{B9E5A8C1-E03D-483F-81E9-E06FF33EA735}">
      <text/>
    </comment>
    <comment ref="B54" authorId="2" shapeId="0" xr:uid="{ADB6B5FD-57E9-4111-A45A-936727577940}">
      <text>
        <r>
          <rPr>
            <sz val="11"/>
            <color theme="1"/>
            <rFont val="Calibri"/>
            <family val="2"/>
            <scheme val="minor"/>
          </rPr>
          <t xml:space="preserve">4512-1/15 shipment </t>
        </r>
      </text>
    </comment>
    <comment ref="D54" authorId="2" shapeId="0" xr:uid="{4D8FF379-514D-4C9C-8493-F6C60CA3FAAA}">
      <text>
        <r>
          <rPr>
            <sz val="11"/>
            <color theme="1"/>
            <rFont val="Calibri"/>
            <family val="2"/>
            <scheme val="minor"/>
          </rPr>
          <t xml:space="preserve">4512-1/15 shipment </t>
        </r>
      </text>
    </comment>
    <comment ref="L54" authorId="2" shapeId="0" xr:uid="{BFA8E4A4-609C-4474-8F89-D57AE679728E}">
      <text>
        <r>
          <rPr>
            <sz val="11"/>
            <color theme="1"/>
            <rFont val="Calibri"/>
            <family val="2"/>
            <scheme val="minor"/>
          </rPr>
          <t>1/31-650 pcs
12800</t>
        </r>
      </text>
    </comment>
    <comment ref="S54" authorId="2" shapeId="0" xr:uid="{0CA799EC-549D-4877-803F-A11E93BF705E}">
      <text>
        <r>
          <rPr>
            <sz val="11"/>
            <color theme="1"/>
            <rFont val="Calibri"/>
            <family val="2"/>
            <scheme val="minor"/>
          </rPr>
          <t>172 pcs</t>
        </r>
      </text>
    </comment>
    <comment ref="U54" authorId="2" shapeId="0" xr:uid="{431E17E9-169F-4787-9B39-0AFF6E6AC066}">
      <text>
        <r>
          <rPr>
            <sz val="9"/>
            <color indexed="81"/>
            <rFont val="Tahoma"/>
            <family val="2"/>
          </rPr>
          <t>1/31-20,000
14999 pcs 2-5</t>
        </r>
      </text>
    </comment>
    <comment ref="BA54" authorId="2" shapeId="0" xr:uid="{9B5E6E8E-4DAF-4B7E-BE0C-B9E4BA89D807}">
      <text>
        <r>
          <rPr>
            <sz val="11"/>
            <color theme="1"/>
            <rFont val="Calibri"/>
            <family val="2"/>
            <scheme val="minor"/>
          </rPr>
          <t>ETA2/10</t>
        </r>
      </text>
    </comment>
    <comment ref="B57" authorId="2" shapeId="0" xr:uid="{C54247B1-A832-438D-9C35-5B8069D1D1ED}">
      <text>
        <r>
          <rPr>
            <sz val="9"/>
            <color indexed="81"/>
            <rFont val="Tahoma"/>
            <family val="2"/>
          </rPr>
          <t>1/31- shipment 3802</t>
        </r>
      </text>
    </comment>
    <comment ref="H57" authorId="2" shapeId="0" xr:uid="{FEFB23A9-085D-42C3-9102-57BB7A9CB397}">
      <text>
        <r>
          <rPr>
            <sz val="9"/>
            <color indexed="81"/>
            <rFont val="Tahoma"/>
            <family val="2"/>
          </rPr>
          <t>1/31- shipment 3802</t>
        </r>
      </text>
    </comment>
    <comment ref="N57" authorId="2" shapeId="0" xr:uid="{308BD7B2-6C2D-4C3B-8687-6944F443E1FA}">
      <text>
        <r>
          <rPr>
            <sz val="11"/>
            <color theme="1"/>
            <rFont val="Calibri"/>
            <family val="2"/>
            <scheme val="minor"/>
          </rPr>
          <t xml:space="preserve">2777- OCT -2-1/31
then 2/15-2/28 -1200
</t>
        </r>
      </text>
    </comment>
    <comment ref="U57" authorId="2" shapeId="0" xr:uid="{17CE09A9-A3EE-4FB6-A24B-81F02EE0883B}">
      <text>
        <r>
          <rPr>
            <sz val="11"/>
            <color theme="1"/>
            <rFont val="Calibri"/>
            <family val="2"/>
            <scheme val="minor"/>
          </rPr>
          <t xml:space="preserve">130000
</t>
        </r>
      </text>
    </comment>
    <comment ref="AO57" authorId="2" shapeId="0" xr:uid="{89F7574A-D29B-4031-9F95-906E2942F993}">
      <text>
        <r>
          <rPr>
            <sz val="11"/>
            <color theme="1"/>
            <rFont val="Calibri"/>
            <family val="2"/>
            <scheme val="minor"/>
          </rPr>
          <t>1331-OCT-2 + DEC-1   1835 pcs 1/29 DDT2</t>
        </r>
      </text>
    </comment>
    <comment ref="AR57" authorId="2" shapeId="0" xr:uid="{0DCE713D-84DC-4E13-9B4A-8EC4F03505DA}">
      <text>
        <r>
          <rPr>
            <sz val="11"/>
            <color theme="1"/>
            <rFont val="Calibri"/>
            <family val="2"/>
            <scheme val="minor"/>
          </rPr>
          <t xml:space="preserve">FW26-8501
</t>
        </r>
      </text>
    </comment>
    <comment ref="B60" authorId="2" shapeId="0" xr:uid="{83C948AD-D8A9-4CBD-8587-CD4BB358B5A4}">
      <text>
        <r>
          <rPr>
            <sz val="11"/>
            <color theme="1"/>
            <rFont val="Calibri"/>
            <family val="2"/>
            <scheme val="minor"/>
          </rPr>
          <t xml:space="preserve">1241 pcs Jan </t>
        </r>
      </text>
    </comment>
    <comment ref="B63" authorId="2" shapeId="0" xr:uid="{3254ECF5-B15E-46C6-86B4-6656B7BDD4AD}">
      <text>
        <r>
          <rPr>
            <sz val="11"/>
            <color theme="1"/>
            <rFont val="Calibri"/>
            <family val="2"/>
            <scheme val="minor"/>
          </rPr>
          <t>9467 pcs12/15+2644 7th jan +1/15</t>
        </r>
      </text>
    </comment>
    <comment ref="AB63" authorId="2" shapeId="0" xr:uid="{A81C6B66-2966-466C-8E4A-61237D6CDB80}">
      <text>
        <r>
          <rPr>
            <sz val="9"/>
            <color indexed="81"/>
            <rFont val="Tahoma"/>
            <family val="2"/>
          </rPr>
          <t xml:space="preserve">
4360-2/28 </t>
        </r>
      </text>
    </comment>
    <comment ref="AI63" authorId="2" shapeId="0" xr:uid="{0661536D-9585-4043-9249-34C8E766ECFD}">
      <text>
        <r>
          <rPr>
            <sz val="11"/>
            <color theme="1"/>
            <rFont val="Calibri"/>
            <family val="2"/>
            <scheme val="minor"/>
          </rPr>
          <t xml:space="preserve">2609 pcs 2/15+March (NOV-1)
</t>
        </r>
      </text>
    </comment>
    <comment ref="B66" authorId="2" shapeId="0" xr:uid="{8A3D6D9B-1702-4665-9C94-E91D01494CC3}">
      <text>
        <r>
          <rPr>
            <sz val="11"/>
            <color theme="1"/>
            <rFont val="Calibri"/>
            <family val="2"/>
            <scheme val="minor"/>
          </rPr>
          <t xml:space="preserve">9735- 15th Dec to 7th Jan </t>
        </r>
      </text>
    </comment>
    <comment ref="M66" authorId="2" shapeId="0" xr:uid="{1A99BB45-97BC-478D-9608-EEBAA78AE416}">
      <text>
        <r>
          <rPr>
            <sz val="11"/>
            <color theme="1"/>
            <rFont val="Calibri"/>
            <family val="2"/>
            <scheme val="minor"/>
          </rPr>
          <t xml:space="preserve">1528 pcs NOV-1 +OCT-2
</t>
        </r>
      </text>
    </comment>
    <comment ref="R66" authorId="2" shapeId="0" xr:uid="{E746295C-85A2-4661-BBC9-10DF2C074F69}">
      <text>
        <r>
          <rPr>
            <sz val="11"/>
            <color theme="1"/>
            <rFont val="Calibri"/>
            <family val="2"/>
            <scheme val="minor"/>
          </rPr>
          <t>5828 Full style</t>
        </r>
      </text>
    </comment>
    <comment ref="W66" authorId="2" shapeId="0" xr:uid="{D4B7356A-25F3-40F6-B4E8-CF773C9520C9}">
      <text>
        <r>
          <rPr>
            <sz val="11"/>
            <color theme="1"/>
            <rFont val="Calibri"/>
            <family val="2"/>
            <scheme val="minor"/>
          </rPr>
          <t>1295 -2/15+3/15</t>
        </r>
      </text>
    </comment>
    <comment ref="Z66" authorId="2" shapeId="0" xr:uid="{65B70CB9-4643-4F9F-BBA4-D7A84C53102F}">
      <text>
        <r>
          <rPr>
            <sz val="11"/>
            <color theme="1"/>
            <rFont val="Calibri"/>
            <family val="2"/>
            <scheme val="minor"/>
          </rPr>
          <t>10608- NOV-1 
2206-2/15
DD12/23</t>
        </r>
      </text>
    </comment>
    <comment ref="AI66" authorId="2" shapeId="0" xr:uid="{CC654E1F-E5C9-4DB9-9BC2-DACFE2A991C8}">
      <text>
        <r>
          <rPr>
            <sz val="11"/>
            <color theme="1"/>
            <rFont val="Calibri"/>
            <family val="2"/>
            <scheme val="minor"/>
          </rPr>
          <t>2/15 (2626)+ 2/28-723)
1/31 ETA</t>
        </r>
      </text>
    </comment>
    <comment ref="AO66" authorId="2" shapeId="0" xr:uid="{E29BB06C-96FD-43A9-9041-DE907D9D5A63}">
      <text>
        <r>
          <rPr>
            <sz val="11"/>
            <color theme="1"/>
            <rFont val="Calibri"/>
            <family val="2"/>
            <scheme val="minor"/>
          </rPr>
          <t>2/10 ETA
452-2/15</t>
        </r>
      </text>
    </comment>
    <comment ref="AQ66" authorId="2" shapeId="0" xr:uid="{17CB3FC1-480A-4EDA-839E-5B74238265B3}">
      <text/>
    </comment>
    <comment ref="AT66" authorId="2" shapeId="0" xr:uid="{62076EAB-5CB4-4C21-85F6-A1C9A3C468E9}">
      <text/>
    </comment>
    <comment ref="B69" authorId="2" shapeId="0" xr:uid="{32B8741D-FD70-4A5F-A9DB-3C9BED3FCD3D}">
      <text>
        <r>
          <rPr>
            <sz val="9"/>
            <color indexed="81"/>
            <rFont val="Tahoma"/>
            <family val="2"/>
          </rPr>
          <t>8985 pcs -15h Jan -1/31</t>
        </r>
      </text>
    </comment>
    <comment ref="F69" authorId="2" shapeId="0" xr:uid="{BEB874D9-F305-4E6A-868A-2ABC9DCDAC2E}">
      <text>
        <r>
          <rPr>
            <sz val="9"/>
            <color indexed="81"/>
            <rFont val="Tahoma"/>
            <family val="2"/>
          </rPr>
          <t>8985 pcs -15h Jan -1/31</t>
        </r>
      </text>
    </comment>
    <comment ref="L69" authorId="2" shapeId="0" xr:uid="{FBC90ED9-05F6-419D-8904-D6C3EDD28BC4}">
      <text>
        <r>
          <rPr>
            <sz val="9"/>
            <color indexed="81"/>
            <rFont val="Tahoma"/>
            <family val="2"/>
          </rPr>
          <t xml:space="preserve">
115- 1/31</t>
        </r>
      </text>
    </comment>
    <comment ref="M69" authorId="2" shapeId="0" xr:uid="{DFAF68FB-A756-4530-B849-E33756EF1BDC}">
      <text>
        <r>
          <rPr>
            <sz val="9"/>
            <color indexed="81"/>
            <rFont val="Tahoma"/>
            <family val="2"/>
          </rPr>
          <t>360-1/31</t>
        </r>
      </text>
    </comment>
    <comment ref="O69" authorId="2" shapeId="0" xr:uid="{DA519C9C-BC0F-40D6-8319-23E4AE6565B9}">
      <text>
        <r>
          <rPr>
            <sz val="11"/>
            <color theme="1"/>
            <rFont val="Calibri"/>
            <family val="2"/>
            <scheme val="minor"/>
          </rPr>
          <t>2446alance style Jan 7 -Feb</t>
        </r>
      </text>
    </comment>
    <comment ref="S69" authorId="2" shapeId="0" xr:uid="{D9252643-1E15-443A-8FCC-AEEF7EC5098B}">
      <text>
        <r>
          <rPr>
            <sz val="9"/>
            <color indexed="81"/>
            <rFont val="Tahoma"/>
            <family val="2"/>
          </rPr>
          <t>7623- Full style</t>
        </r>
      </text>
    </comment>
    <comment ref="AC69" authorId="1" shapeId="0" xr:uid="{8EAEFE10-E1F3-401E-BD1E-8F34FEDCDC72}">
      <text>
        <r>
          <rPr>
            <b/>
            <sz val="9"/>
            <color indexed="81"/>
            <rFont val="Tahoma"/>
            <family val="2"/>
          </rPr>
          <t>Rawan Mazen:</t>
        </r>
        <r>
          <rPr>
            <sz val="9"/>
            <color indexed="81"/>
            <rFont val="Tahoma"/>
            <family val="2"/>
          </rPr>
          <t xml:space="preserve">
6415 PCS</t>
        </r>
      </text>
    </comment>
    <comment ref="AN69" authorId="2" shapeId="0" xr:uid="{3AEBF8C3-91EB-4E36-80EB-7B3597DE14DC}">
      <text>
        <r>
          <rPr>
            <sz val="11"/>
            <color theme="1"/>
            <rFont val="Calibri"/>
            <family val="2"/>
            <scheme val="minor"/>
          </rPr>
          <t>17667 pcs FW26</t>
        </r>
      </text>
    </comment>
    <comment ref="K91" authorId="2" shapeId="0" xr:uid="{A689EE6B-764B-49F1-8462-C301D4E4E6AE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AC91" authorId="2" shapeId="0" xr:uid="{7CFFF850-8C2A-420A-8672-FC75F9E1A0B0}">
      <text>
        <r>
          <rPr>
            <sz val="9"/>
            <color indexed="81"/>
            <rFont val="Tahoma"/>
            <family val="2"/>
          </rPr>
          <t xml:space="preserve">
13500</t>
        </r>
      </text>
    </comment>
    <comment ref="AM91" authorId="2" shapeId="0" xr:uid="{B2A517F0-2633-4013-A1A6-29341D242601}">
      <text>
        <r>
          <rPr>
            <sz val="11"/>
            <color theme="1"/>
            <rFont val="Calibri"/>
            <family val="2"/>
            <scheme val="minor"/>
          </rPr>
          <t xml:space="preserve">28th Feb -8211 pcs </t>
        </r>
      </text>
    </comment>
    <comment ref="AV91" authorId="2" shapeId="0" xr:uid="{0B3B1712-6515-48AC-83BD-10EF7F0810DC}">
      <text/>
    </comment>
    <comment ref="B97" authorId="2" shapeId="0" xr:uid="{BB2DAF93-6FFF-4EED-A4FA-89145E2FF8EC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E97" authorId="2" shapeId="0" xr:uid="{42E0CF93-C42C-496E-916E-C4F3C95DBB7E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E124" authorId="2" shapeId="0" xr:uid="{31239CE6-5F6E-483D-B3A4-EE7D2E376C9D}">
      <text>
        <r>
          <rPr>
            <sz val="11"/>
            <color theme="1"/>
            <rFont val="Calibri"/>
            <family val="2"/>
            <scheme val="minor"/>
          </rPr>
          <t>7270-1/07  and  1 /15</t>
        </r>
      </text>
    </comment>
  </commentList>
</comments>
</file>

<file path=xl/sharedStrings.xml><?xml version="1.0" encoding="utf-8"?>
<sst xmlns="http://schemas.openxmlformats.org/spreadsheetml/2006/main" count="352" uniqueCount="191">
  <si>
    <t>Physical Line</t>
  </si>
  <si>
    <t>Current running</t>
  </si>
  <si>
    <t>Tgt</t>
  </si>
  <si>
    <t>TTL Qty pcs</t>
  </si>
  <si>
    <t>TTL SEW MP Requirement</t>
  </si>
  <si>
    <t>Day</t>
  </si>
  <si>
    <t>Line NO</t>
  </si>
  <si>
    <t>Main Unit</t>
  </si>
  <si>
    <t>MP</t>
  </si>
  <si>
    <t>Style</t>
  </si>
  <si>
    <t>No of Lines as per Budget (52)</t>
  </si>
  <si>
    <t>WH Activity M/P</t>
  </si>
  <si>
    <t xml:space="preserve">Sub-unit </t>
  </si>
  <si>
    <t>S2206GHTT420</t>
  </si>
  <si>
    <t>S2408MR2302A</t>
  </si>
  <si>
    <t>F2325M143</t>
  </si>
  <si>
    <t>15) Riyaz (New LO)</t>
  </si>
  <si>
    <t>15) Sumi</t>
  </si>
  <si>
    <t>S2450WTR805</t>
  </si>
  <si>
    <t>16) AKASH</t>
  </si>
  <si>
    <t>17) Munsuf</t>
  </si>
  <si>
    <t>16) Chandani</t>
  </si>
  <si>
    <t>F9</t>
  </si>
  <si>
    <t>17) New Line (Tarajul)</t>
  </si>
  <si>
    <t>S231CSPM141B</t>
  </si>
  <si>
    <t>1)Nagendra</t>
  </si>
  <si>
    <t>8) Roopnarayan</t>
  </si>
  <si>
    <t>F2325M142</t>
  </si>
  <si>
    <t>S25BMSLTR108</t>
  </si>
  <si>
    <t>7) Rahman</t>
  </si>
  <si>
    <t>S2554MESS651WV</t>
  </si>
  <si>
    <t>S2608WR0901</t>
  </si>
  <si>
    <t>S2625W031</t>
  </si>
  <si>
    <t>S2625W032</t>
  </si>
  <si>
    <t>3) Ahmed/Manzur/</t>
  </si>
  <si>
    <t>S2408WR2403A</t>
  </si>
  <si>
    <t>6)Shaban/Devraj</t>
  </si>
  <si>
    <t>2)Sharif</t>
  </si>
  <si>
    <t>4) SUBA</t>
  </si>
  <si>
    <t>5)Wasana</t>
  </si>
  <si>
    <t>7) Rajeeb</t>
  </si>
  <si>
    <t>11) Sumi/Masum</t>
  </si>
  <si>
    <t>12) Sorhab</t>
  </si>
  <si>
    <t>13) Kasuni</t>
  </si>
  <si>
    <t>15) Dharmendra</t>
  </si>
  <si>
    <t xml:space="preserve">16) Sohail </t>
  </si>
  <si>
    <t>17) /Ashraful (1row)</t>
  </si>
  <si>
    <t>F2550MTR915</t>
  </si>
  <si>
    <t>S2650MTR704A</t>
  </si>
  <si>
    <t>S2306GHTT202</t>
  </si>
  <si>
    <t>F2550MTR914</t>
  </si>
  <si>
    <t>6)Akbar</t>
  </si>
  <si>
    <t>S231CSPM111</t>
  </si>
  <si>
    <t>S2315KSWU317</t>
  </si>
  <si>
    <t>F2550MTR918</t>
  </si>
  <si>
    <t>F2550MTR110</t>
  </si>
  <si>
    <t>F2550MTR921</t>
  </si>
  <si>
    <t>F2550MTR917</t>
  </si>
  <si>
    <t>9) Almgir</t>
  </si>
  <si>
    <t>S2450MTR603</t>
  </si>
  <si>
    <t>S2454MFI020</t>
  </si>
  <si>
    <t>Faruk</t>
  </si>
  <si>
    <t>S2554MESS660WV</t>
  </si>
  <si>
    <t>S2554MESS665WV</t>
  </si>
  <si>
    <t>S2650MTR804C</t>
  </si>
  <si>
    <t>S2650MTR806A</t>
  </si>
  <si>
    <t>10) Nasir</t>
  </si>
  <si>
    <t>NF0A8B52</t>
  </si>
  <si>
    <t>M6131R</t>
  </si>
  <si>
    <t>NF0A8EM6</t>
  </si>
  <si>
    <t>NF0A3T2Q</t>
  </si>
  <si>
    <t>NF0A8FK5</t>
  </si>
  <si>
    <t>LM5AO5S</t>
  </si>
  <si>
    <t>5)Nirusha</t>
  </si>
  <si>
    <t>18) Akash</t>
  </si>
  <si>
    <t>S2650MTR807A</t>
  </si>
  <si>
    <t>S2650MTR800B</t>
  </si>
  <si>
    <t>Sidney Apparels - Style Changeover Plan - Dated 10/19</t>
  </si>
  <si>
    <t>W9730R</t>
  </si>
  <si>
    <t>S231CSPM142</t>
  </si>
  <si>
    <t>S231CSPM112</t>
  </si>
  <si>
    <t>S2306GHTM230</t>
  </si>
  <si>
    <t>S2206GHTT419/Y</t>
  </si>
  <si>
    <t>S2554MESS650WV</t>
  </si>
  <si>
    <t>S2354WES421WV</t>
  </si>
  <si>
    <t>S2515KSWJ303</t>
  </si>
  <si>
    <t>S2515KSWJ305</t>
  </si>
  <si>
    <t>S2554WES422WV</t>
  </si>
  <si>
    <t>NF0A8CQH</t>
  </si>
  <si>
    <t>NF0A87FE</t>
  </si>
  <si>
    <t>NF0A8DF4</t>
  </si>
  <si>
    <t>NF0A82JL</t>
  </si>
  <si>
    <t>NF0A82JM</t>
  </si>
  <si>
    <t>RUMA/Faruq</t>
  </si>
  <si>
    <t>F2325M068</t>
  </si>
  <si>
    <t>TM6600S25COST</t>
  </si>
  <si>
    <t>1) Rajkumar</t>
  </si>
  <si>
    <t>Kalucharam</t>
  </si>
  <si>
    <t>S211CSPM110A</t>
  </si>
  <si>
    <t>S2206GHTT420Y</t>
  </si>
  <si>
    <t>NF0A87TJ</t>
  </si>
  <si>
    <t>TM6569S25</t>
  </si>
  <si>
    <t>NF0A86R6</t>
  </si>
  <si>
    <t>1478pcs</t>
  </si>
  <si>
    <t>NF0A8GCM</t>
  </si>
  <si>
    <t>M1205R</t>
  </si>
  <si>
    <t>M2066R</t>
  </si>
  <si>
    <t>NF0A8HCU</t>
  </si>
  <si>
    <t>W4786R</t>
  </si>
  <si>
    <t>10) New Linw</t>
  </si>
  <si>
    <t>8) Rahman</t>
  </si>
  <si>
    <t>9) Daiyana</t>
  </si>
  <si>
    <t>W2820R</t>
  </si>
  <si>
    <t>17290 pcs</t>
  </si>
  <si>
    <t>TM6596S26</t>
  </si>
  <si>
    <t>TM6578S26CF</t>
  </si>
  <si>
    <t xml:space="preserve">Adding Faruq </t>
  </si>
  <si>
    <t xml:space="preserve">Ruma </t>
  </si>
  <si>
    <t>S2450MTR002</t>
  </si>
  <si>
    <t>S2506GHIT904M</t>
  </si>
  <si>
    <t>S2554MESS664WV</t>
  </si>
  <si>
    <t>need support for 1/31</t>
  </si>
  <si>
    <t>TW4313S26</t>
  </si>
  <si>
    <t>1/31/2026(21602pcs)</t>
  </si>
  <si>
    <t>)3 Munsif/Kaml</t>
  </si>
  <si>
    <t xml:space="preserve">elastic </t>
  </si>
  <si>
    <t>16)KaJal</t>
  </si>
  <si>
    <t>TNF</t>
  </si>
  <si>
    <t>1063 pcs</t>
  </si>
  <si>
    <t>1384pcs</t>
  </si>
  <si>
    <t>NF0A8FG3</t>
  </si>
  <si>
    <t>1011pcs</t>
  </si>
  <si>
    <t>NF0A8FK3</t>
  </si>
  <si>
    <t xml:space="preserve"> NF0A8CQG </t>
  </si>
  <si>
    <t xml:space="preserve">                                          </t>
  </si>
  <si>
    <t>S2650WTR805</t>
  </si>
  <si>
    <t>M3193R</t>
  </si>
  <si>
    <t>TM4585S25</t>
  </si>
  <si>
    <t>S2608MR0900A</t>
  </si>
  <si>
    <t>S2608MR0901</t>
  </si>
  <si>
    <t>S2608MR0200</t>
  </si>
  <si>
    <t>S2608WR0200</t>
  </si>
  <si>
    <t>S2608WR0201A</t>
  </si>
  <si>
    <t>S2608MR0201B</t>
  </si>
  <si>
    <t>S2650WTR363</t>
  </si>
  <si>
    <t>S2650WTR834</t>
  </si>
  <si>
    <t>TMA572F22</t>
  </si>
  <si>
    <t>TM6599S26</t>
  </si>
  <si>
    <t>TM6472S22</t>
  </si>
  <si>
    <t>S2650WTR801</t>
  </si>
  <si>
    <t>S2650MTR420</t>
  </si>
  <si>
    <t>pant</t>
  </si>
  <si>
    <t>598pcs</t>
  </si>
  <si>
    <t>8908pcs</t>
  </si>
  <si>
    <t>9528pcs</t>
  </si>
  <si>
    <t>NF0A8FK4</t>
  </si>
  <si>
    <t>3770 pcs</t>
  </si>
  <si>
    <t>6426pcs</t>
  </si>
  <si>
    <t>10596pcs</t>
  </si>
  <si>
    <t>1998pcs</t>
  </si>
  <si>
    <t>7587pcs</t>
  </si>
  <si>
    <t>4040pcs</t>
  </si>
  <si>
    <t>12488pcs</t>
  </si>
  <si>
    <t>29515pcs</t>
  </si>
  <si>
    <t>M3181R</t>
  </si>
  <si>
    <t>9710pcs</t>
  </si>
  <si>
    <t>23540pcs</t>
  </si>
  <si>
    <t>10572pcs</t>
  </si>
  <si>
    <t>2311pcs</t>
  </si>
  <si>
    <t>1240pcs</t>
  </si>
  <si>
    <t>10933pcs</t>
  </si>
  <si>
    <t>852pcs</t>
  </si>
  <si>
    <t>2602pcs</t>
  </si>
  <si>
    <t>5222pcs</t>
  </si>
  <si>
    <t>2016pcs</t>
  </si>
  <si>
    <t>1551pcs</t>
  </si>
  <si>
    <t>TOP</t>
  </si>
  <si>
    <t xml:space="preserve">depend on fabric </t>
  </si>
  <si>
    <t>1835-DEC-1</t>
  </si>
  <si>
    <t>M3262R</t>
  </si>
  <si>
    <t>56109 pcs</t>
  </si>
  <si>
    <t>6) Ballister/Faruk</t>
  </si>
  <si>
    <t>Heat-transfer 2/05ETA</t>
  </si>
  <si>
    <t>38171 heat transfe 2/19ETA</t>
  </si>
  <si>
    <t>F2525M009</t>
  </si>
  <si>
    <t>S2608MR0600</t>
  </si>
  <si>
    <t>Tie cord 2/10-</t>
  </si>
  <si>
    <t>S2606GHTM301Y</t>
  </si>
  <si>
    <t xml:space="preserve">style J305 2/07-301pcs need to add in between J303  </t>
  </si>
  <si>
    <t>Fabric 1/22</t>
  </si>
  <si>
    <t>1/31 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</si>
</sst>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indexed="52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  <scheme val="minor"/>
    </font>
    <font>
      <b/>
      <sz val="13"/>
      <color indexed="56"/>
      <name val="Calibri"/>
      <family val="2"/>
      <scheme val="minor"/>
    </font>
    <font>
      <b/>
      <sz val="11"/>
      <color indexed="56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3F3F76"/>
      <name val="Calibri"/>
      <family val="2"/>
      <scheme val="minor"/>
    </font>
    <font>
      <sz val="11"/>
      <color indexed="52"/>
      <name val="Calibri"/>
      <family val="2"/>
      <scheme val="minor"/>
    </font>
    <font>
      <sz val="11"/>
      <color indexed="6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  <scheme val="maj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0"/>
      <name val="Calibri"/>
      <family val="2"/>
    </font>
    <font>
      <sz val="12"/>
      <color indexed="8"/>
      <name val="Calibri"/>
      <family val="2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b/>
      <sz val="12"/>
      <name val="Calibri"/>
      <family val="2"/>
    </font>
    <font>
      <b/>
      <sz val="9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0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name val="Aptos Narrow"/>
      <family val="2"/>
    </font>
    <font>
      <sz val="10"/>
      <color rgb="FF000000"/>
      <name val="Calibri"/>
      <family val="2"/>
      <scheme val="minor"/>
    </font>
    <font>
      <b/>
      <sz val="12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80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7" borderId="0" applyNumberFormat="0" applyBorder="0" applyAlignment="0" applyProtection="0"/>
    <xf numFmtId="0" fontId="4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8" borderId="0" applyNumberFormat="0" applyBorder="0" applyAlignment="0" applyProtection="0"/>
    <xf numFmtId="0" fontId="6" fillId="3" borderId="0" applyNumberFormat="0" applyBorder="0" applyAlignment="0" applyProtection="0"/>
    <xf numFmtId="0" fontId="7" fillId="6" borderId="14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4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13" fillId="6" borderId="14" applyNumberFormat="0" applyAlignment="0" applyProtection="0"/>
    <xf numFmtId="0" fontId="14" fillId="0" borderId="4" applyNumberFormat="0" applyFill="0" applyAlignment="0" applyProtection="0"/>
    <xf numFmtId="0" fontId="15" fillId="1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4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4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" fillId="20" borderId="15" applyNumberFormat="0" applyFont="0" applyAlignment="0" applyProtection="0"/>
    <xf numFmtId="0" fontId="16" fillId="6" borderId="16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43" fontId="4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5" fillId="0" borderId="0"/>
    <xf numFmtId="0" fontId="36" fillId="0" borderId="0"/>
  </cellStyleXfs>
  <cellXfs count="116">
    <xf numFmtId="0" fontId="0" fillId="0" borderId="0" xfId="0"/>
    <xf numFmtId="0" fontId="19" fillId="0" borderId="18" xfId="0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19" xfId="0" applyFont="1" applyBorder="1" applyAlignment="1">
      <alignment horizontal="left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left" vertical="center" wrapText="1"/>
    </xf>
    <xf numFmtId="16" fontId="19" fillId="0" borderId="13" xfId="0" applyNumberFormat="1" applyFont="1" applyBorder="1" applyAlignment="1">
      <alignment horizontal="center" vertical="center" wrapText="1"/>
    </xf>
    <xf numFmtId="16" fontId="19" fillId="0" borderId="13" xfId="0" applyNumberFormat="1" applyFont="1" applyBorder="1" applyAlignment="1">
      <alignment horizontal="left" vertical="center" wrapText="1"/>
    </xf>
    <xf numFmtId="16" fontId="19" fillId="0" borderId="13" xfId="0" applyNumberFormat="1" applyFont="1" applyBorder="1" applyAlignment="1">
      <alignment horizontal="center" vertical="center"/>
    </xf>
    <xf numFmtId="16" fontId="19" fillId="0" borderId="25" xfId="0" applyNumberFormat="1" applyFont="1" applyBorder="1" applyAlignment="1">
      <alignment horizontal="center" vertical="center"/>
    </xf>
    <xf numFmtId="0" fontId="21" fillId="27" borderId="10" xfId="0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21" fillId="27" borderId="9" xfId="0" applyFont="1" applyFill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19" fillId="21" borderId="8" xfId="0" applyFont="1" applyFill="1" applyBorder="1" applyAlignment="1">
      <alignment horizontal="left" vertical="center" wrapText="1"/>
    </xf>
    <xf numFmtId="0" fontId="19" fillId="25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/>
    </xf>
    <xf numFmtId="0" fontId="23" fillId="0" borderId="10" xfId="0" applyFont="1" applyBorder="1" applyAlignment="1">
      <alignment vertical="center"/>
    </xf>
    <xf numFmtId="0" fontId="23" fillId="0" borderId="26" xfId="0" applyFont="1" applyBorder="1" applyAlignment="1">
      <alignment vertical="center"/>
    </xf>
    <xf numFmtId="0" fontId="19" fillId="0" borderId="21" xfId="0" applyFont="1" applyBorder="1" applyAlignment="1">
      <alignment horizontal="center" vertical="center" wrapText="1"/>
    </xf>
    <xf numFmtId="16" fontId="19" fillId="21" borderId="10" xfId="0" applyNumberFormat="1" applyFont="1" applyFill="1" applyBorder="1" applyAlignment="1">
      <alignment horizontal="left" vertical="center"/>
    </xf>
    <xf numFmtId="0" fontId="24" fillId="22" borderId="10" xfId="0" applyFont="1" applyFill="1" applyBorder="1" applyAlignment="1">
      <alignment horizontal="center" vertical="center"/>
    </xf>
    <xf numFmtId="1" fontId="24" fillId="22" borderId="10" xfId="0" applyNumberFormat="1" applyFont="1" applyFill="1" applyBorder="1" applyAlignment="1">
      <alignment horizontal="center" vertical="center"/>
    </xf>
    <xf numFmtId="0" fontId="19" fillId="0" borderId="24" xfId="0" applyFont="1" applyBorder="1" applyAlignment="1">
      <alignment horizontal="center" vertical="center" wrapText="1"/>
    </xf>
    <xf numFmtId="0" fontId="22" fillId="24" borderId="26" xfId="0" applyFont="1" applyFill="1" applyBorder="1" applyAlignment="1">
      <alignment horizontal="center" vertical="center" wrapText="1"/>
    </xf>
    <xf numFmtId="0" fontId="22" fillId="24" borderId="10" xfId="0" applyFont="1" applyFill="1" applyBorder="1" applyAlignment="1">
      <alignment vertical="center" wrapText="1"/>
    </xf>
    <xf numFmtId="0" fontId="21" fillId="23" borderId="10" xfId="0" applyFont="1" applyFill="1" applyBorder="1" applyAlignment="1">
      <alignment vertical="center"/>
    </xf>
    <xf numFmtId="0" fontId="23" fillId="0" borderId="9" xfId="0" applyFont="1" applyBorder="1" applyAlignment="1">
      <alignment vertical="center"/>
    </xf>
    <xf numFmtId="16" fontId="19" fillId="21" borderId="21" xfId="0" applyNumberFormat="1" applyFont="1" applyFill="1" applyBorder="1" applyAlignment="1">
      <alignment horizontal="left" vertical="center"/>
    </xf>
    <xf numFmtId="0" fontId="21" fillId="29" borderId="0" xfId="0" applyFont="1" applyFill="1" applyAlignment="1">
      <alignment vertical="center"/>
    </xf>
    <xf numFmtId="0" fontId="21" fillId="21" borderId="0" xfId="0" applyFont="1" applyFill="1" applyAlignment="1">
      <alignment vertical="center"/>
    </xf>
    <xf numFmtId="0" fontId="21" fillId="23" borderId="27" xfId="0" applyFont="1" applyFill="1" applyBorder="1" applyAlignment="1">
      <alignment vertical="center"/>
    </xf>
    <xf numFmtId="0" fontId="21" fillId="23" borderId="24" xfId="0" applyFont="1" applyFill="1" applyBorder="1" applyAlignment="1">
      <alignment horizontal="center" vertical="center"/>
    </xf>
    <xf numFmtId="0" fontId="21" fillId="23" borderId="24" xfId="0" applyFont="1" applyFill="1" applyBorder="1" applyAlignment="1">
      <alignment vertical="center"/>
    </xf>
    <xf numFmtId="1" fontId="19" fillId="28" borderId="10" xfId="0" applyNumberFormat="1" applyFont="1" applyFill="1" applyBorder="1" applyAlignment="1">
      <alignment horizontal="center" vertical="center"/>
    </xf>
    <xf numFmtId="16" fontId="19" fillId="21" borderId="10" xfId="0" applyNumberFormat="1" applyFont="1" applyFill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164" fontId="19" fillId="21" borderId="11" xfId="876" applyNumberFormat="1" applyFont="1" applyFill="1" applyBorder="1" applyAlignment="1">
      <alignment horizontal="left" vertical="center"/>
    </xf>
    <xf numFmtId="0" fontId="19" fillId="0" borderId="6" xfId="0" applyFont="1" applyBorder="1" applyAlignment="1">
      <alignment vertical="center"/>
    </xf>
    <xf numFmtId="0" fontId="19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vertical="center"/>
    </xf>
    <xf numFmtId="0" fontId="20" fillId="26" borderId="17" xfId="0" applyFont="1" applyFill="1" applyBorder="1" applyAlignment="1">
      <alignment horizontal="left" vertical="center"/>
    </xf>
    <xf numFmtId="0" fontId="19" fillId="30" borderId="10" xfId="0" applyFont="1" applyFill="1" applyBorder="1" applyAlignment="1">
      <alignment vertical="center"/>
    </xf>
    <xf numFmtId="1" fontId="24" fillId="30" borderId="10" xfId="0" applyNumberFormat="1" applyFont="1" applyFill="1" applyBorder="1" applyAlignment="1">
      <alignment horizontal="center" vertical="center"/>
    </xf>
    <xf numFmtId="0" fontId="24" fillId="30" borderId="10" xfId="0" applyFont="1" applyFill="1" applyBorder="1" applyAlignment="1">
      <alignment horizontal="center" vertical="center"/>
    </xf>
    <xf numFmtId="0" fontId="21" fillId="30" borderId="10" xfId="0" applyFont="1" applyFill="1" applyBorder="1" applyAlignment="1">
      <alignment vertical="center"/>
    </xf>
    <xf numFmtId="0" fontId="23" fillId="30" borderId="26" xfId="0" applyFont="1" applyFill="1" applyBorder="1" applyAlignment="1">
      <alignment vertical="center"/>
    </xf>
    <xf numFmtId="0" fontId="23" fillId="30" borderId="10" xfId="0" applyFont="1" applyFill="1" applyBorder="1" applyAlignment="1">
      <alignment vertical="center"/>
    </xf>
    <xf numFmtId="0" fontId="21" fillId="30" borderId="0" xfId="0" applyFont="1" applyFill="1" applyAlignment="1">
      <alignment vertical="center"/>
    </xf>
    <xf numFmtId="0" fontId="23" fillId="30" borderId="9" xfId="0" applyFont="1" applyFill="1" applyBorder="1" applyAlignment="1">
      <alignment vertical="center"/>
    </xf>
    <xf numFmtId="0" fontId="25" fillId="0" borderId="21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19" fillId="28" borderId="10" xfId="0" applyFont="1" applyFill="1" applyBorder="1" applyAlignment="1">
      <alignment horizontal="center" vertical="center" wrapText="1"/>
    </xf>
    <xf numFmtId="0" fontId="19" fillId="22" borderId="8" xfId="0" applyFont="1" applyFill="1" applyBorder="1" applyAlignment="1">
      <alignment horizontal="left" vertical="center" wrapText="1"/>
    </xf>
    <xf numFmtId="0" fontId="0" fillId="33" borderId="10" xfId="0" applyFill="1" applyBorder="1" applyAlignment="1">
      <alignment wrapText="1"/>
    </xf>
    <xf numFmtId="0" fontId="0" fillId="28" borderId="10" xfId="0" applyFill="1" applyBorder="1" applyAlignment="1">
      <alignment horizontal="left" wrapText="1"/>
    </xf>
    <xf numFmtId="0" fontId="22" fillId="22" borderId="10" xfId="0" applyFont="1" applyFill="1" applyBorder="1" applyAlignment="1">
      <alignment horizontal="center" vertical="center"/>
    </xf>
    <xf numFmtId="0" fontId="0" fillId="28" borderId="10" xfId="0" applyFill="1" applyBorder="1" applyAlignment="1">
      <alignment wrapText="1"/>
    </xf>
    <xf numFmtId="1" fontId="23" fillId="22" borderId="10" xfId="0" applyNumberFormat="1" applyFont="1" applyFill="1" applyBorder="1" applyAlignment="1">
      <alignment horizontal="center" vertical="center"/>
    </xf>
    <xf numFmtId="0" fontId="28" fillId="28" borderId="10" xfId="0" applyFont="1" applyFill="1" applyBorder="1" applyAlignment="1">
      <alignment horizontal="left" wrapText="1"/>
    </xf>
    <xf numFmtId="0" fontId="29" fillId="28" borderId="33" xfId="0" applyFont="1" applyFill="1" applyBorder="1" applyAlignment="1">
      <alignment wrapText="1"/>
    </xf>
    <xf numFmtId="0" fontId="30" fillId="28" borderId="10" xfId="0" applyFont="1" applyFill="1" applyBorder="1" applyAlignment="1">
      <alignment wrapText="1"/>
    </xf>
    <xf numFmtId="0" fontId="24" fillId="28" borderId="10" xfId="0" applyFont="1" applyFill="1" applyBorder="1" applyAlignment="1">
      <alignment horizontal="center" vertical="center" wrapText="1"/>
    </xf>
    <xf numFmtId="0" fontId="29" fillId="28" borderId="10" xfId="0" applyFont="1" applyFill="1" applyBorder="1" applyAlignment="1">
      <alignment wrapText="1"/>
    </xf>
    <xf numFmtId="0" fontId="31" fillId="34" borderId="10" xfId="0" applyFont="1" applyFill="1" applyBorder="1" applyAlignment="1">
      <alignment horizontal="left" wrapText="1"/>
    </xf>
    <xf numFmtId="0" fontId="0" fillId="28" borderId="33" xfId="0" applyFill="1" applyBorder="1" applyAlignment="1">
      <alignment horizontal="left" wrapText="1"/>
    </xf>
    <xf numFmtId="0" fontId="33" fillId="32" borderId="10" xfId="877" applyFont="1" applyFill="1" applyBorder="1" applyAlignment="1">
      <alignment horizontal="left" wrapText="1"/>
    </xf>
    <xf numFmtId="0" fontId="20" fillId="26" borderId="17" xfId="0" applyFont="1" applyFill="1" applyBorder="1" applyAlignment="1">
      <alignment vertical="center"/>
    </xf>
    <xf numFmtId="0" fontId="20" fillId="26" borderId="22" xfId="0" applyFont="1" applyFill="1" applyBorder="1" applyAlignment="1">
      <alignment vertical="center"/>
    </xf>
    <xf numFmtId="0" fontId="21" fillId="21" borderId="30" xfId="0" applyFont="1" applyFill="1" applyBorder="1" applyAlignment="1">
      <alignment horizontal="center" vertical="center" wrapText="1"/>
    </xf>
    <xf numFmtId="0" fontId="21" fillId="21" borderId="8" xfId="0" applyFont="1" applyFill="1" applyBorder="1" applyAlignment="1">
      <alignment horizontal="center" vertical="center" wrapText="1"/>
    </xf>
    <xf numFmtId="0" fontId="23" fillId="32" borderId="10" xfId="0" applyFont="1" applyFill="1" applyBorder="1" applyAlignment="1">
      <alignment vertical="center"/>
    </xf>
    <xf numFmtId="0" fontId="19" fillId="32" borderId="10" xfId="0" applyFont="1" applyFill="1" applyBorder="1" applyAlignment="1">
      <alignment vertical="center"/>
    </xf>
    <xf numFmtId="0" fontId="28" fillId="28" borderId="33" xfId="0" applyFont="1" applyFill="1" applyBorder="1" applyAlignment="1">
      <alignment wrapText="1"/>
    </xf>
    <xf numFmtId="1" fontId="23" fillId="30" borderId="10" xfId="0" applyNumberFormat="1" applyFont="1" applyFill="1" applyBorder="1" applyAlignment="1">
      <alignment horizontal="center" vertical="center"/>
    </xf>
    <xf numFmtId="0" fontId="33" fillId="35" borderId="10" xfId="877" applyFont="1" applyFill="1" applyBorder="1" applyAlignment="1">
      <alignment horizontal="left" wrapText="1"/>
    </xf>
    <xf numFmtId="0" fontId="22" fillId="28" borderId="10" xfId="0" applyFont="1" applyFill="1" applyBorder="1" applyAlignment="1">
      <alignment horizontal="center" vertical="center" wrapText="1"/>
    </xf>
    <xf numFmtId="0" fontId="31" fillId="36" borderId="10" xfId="0" applyFont="1" applyFill="1" applyBorder="1" applyAlignment="1">
      <alignment horizontal="left" wrapText="1"/>
    </xf>
    <xf numFmtId="1" fontId="34" fillId="37" borderId="0" xfId="0" applyNumberFormat="1" applyFont="1" applyFill="1" applyAlignment="1">
      <alignment horizontal="center" vertical="center"/>
    </xf>
    <xf numFmtId="1" fontId="24" fillId="31" borderId="10" xfId="0" applyNumberFormat="1" applyFont="1" applyFill="1" applyBorder="1" applyAlignment="1">
      <alignment horizontal="center" vertical="center"/>
    </xf>
    <xf numFmtId="16" fontId="21" fillId="0" borderId="10" xfId="0" applyNumberFormat="1" applyFont="1" applyBorder="1" applyAlignment="1">
      <alignment vertical="center"/>
    </xf>
    <xf numFmtId="1" fontId="24" fillId="32" borderId="10" xfId="0" applyNumberFormat="1" applyFont="1" applyFill="1" applyBorder="1" applyAlignment="1">
      <alignment horizontal="center" vertical="center"/>
    </xf>
    <xf numFmtId="1" fontId="22" fillId="22" borderId="10" xfId="0" applyNumberFormat="1" applyFont="1" applyFill="1" applyBorder="1" applyAlignment="1">
      <alignment horizontal="center" vertical="center"/>
    </xf>
    <xf numFmtId="16" fontId="19" fillId="38" borderId="13" xfId="0" applyNumberFormat="1" applyFont="1" applyFill="1" applyBorder="1" applyAlignment="1">
      <alignment horizontal="center" vertical="center"/>
    </xf>
    <xf numFmtId="16" fontId="19" fillId="38" borderId="25" xfId="0" applyNumberFormat="1" applyFont="1" applyFill="1" applyBorder="1" applyAlignment="1">
      <alignment horizontal="center" vertical="center"/>
    </xf>
    <xf numFmtId="1" fontId="24" fillId="38" borderId="10" xfId="0" applyNumberFormat="1" applyFont="1" applyFill="1" applyBorder="1" applyAlignment="1">
      <alignment horizontal="center" vertical="center"/>
    </xf>
    <xf numFmtId="1" fontId="24" fillId="39" borderId="10" xfId="0" applyNumberFormat="1" applyFont="1" applyFill="1" applyBorder="1" applyAlignment="1">
      <alignment horizontal="center" vertical="center"/>
    </xf>
    <xf numFmtId="0" fontId="37" fillId="39" borderId="10" xfId="0" applyFont="1" applyFill="1" applyBorder="1" applyAlignment="1">
      <alignment horizontal="center" wrapText="1"/>
    </xf>
    <xf numFmtId="0" fontId="23" fillId="0" borderId="0" xfId="0" applyFont="1" applyAlignment="1">
      <alignment vertical="center" wrapText="1"/>
    </xf>
    <xf numFmtId="0" fontId="22" fillId="0" borderId="10" xfId="0" applyFont="1" applyBorder="1" applyAlignment="1">
      <alignment vertical="center"/>
    </xf>
    <xf numFmtId="0" fontId="20" fillId="26" borderId="17" xfId="0" applyFont="1" applyFill="1" applyBorder="1" applyAlignment="1">
      <alignment horizontal="left" vertical="center"/>
    </xf>
    <xf numFmtId="0" fontId="20" fillId="26" borderId="22" xfId="0" applyFont="1" applyFill="1" applyBorder="1" applyAlignment="1">
      <alignment horizontal="left" vertical="center"/>
    </xf>
    <xf numFmtId="0" fontId="19" fillId="0" borderId="21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1" fillId="21" borderId="30" xfId="0" applyFont="1" applyFill="1" applyBorder="1" applyAlignment="1">
      <alignment horizontal="center" vertical="center" wrapText="1"/>
    </xf>
    <xf numFmtId="0" fontId="21" fillId="21" borderId="8" xfId="0" applyFont="1" applyFill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1" fillId="21" borderId="27" xfId="0" applyFont="1" applyFill="1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 wrapText="1"/>
    </xf>
  </cellXfs>
  <cellStyles count="880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6 2" xfId="5" xr:uid="{00000000-0005-0000-0000-000004000000}"/>
    <cellStyle name="40% - Accent1 2" xfId="6" xr:uid="{00000000-0005-0000-0000-000005000000}"/>
    <cellStyle name="40% - Accent3 2" xfId="7" xr:uid="{00000000-0005-0000-0000-000006000000}"/>
    <cellStyle name="40% - Accent4 2" xfId="8" xr:uid="{00000000-0005-0000-0000-000007000000}"/>
    <cellStyle name="40% - Accent5 2" xfId="9" xr:uid="{00000000-0005-0000-0000-000008000000}"/>
    <cellStyle name="40% - Accent6 2" xfId="10" xr:uid="{00000000-0005-0000-0000-000009000000}"/>
    <cellStyle name="60% - Accent1 2" xfId="11" xr:uid="{00000000-0005-0000-0000-00000A000000}"/>
    <cellStyle name="60% - Accent2 2" xfId="12" xr:uid="{00000000-0005-0000-0000-00000B000000}"/>
    <cellStyle name="60% - Accent3 2" xfId="13" xr:uid="{00000000-0005-0000-0000-00000C000000}"/>
    <cellStyle name="60% - Accent4 2" xfId="14" xr:uid="{00000000-0005-0000-0000-00000D000000}"/>
    <cellStyle name="60% - Accent5 2" xfId="15" xr:uid="{00000000-0005-0000-0000-00000E000000}"/>
    <cellStyle name="60% - Accent6 2" xfId="16" xr:uid="{00000000-0005-0000-0000-00000F000000}"/>
    <cellStyle name="Accent1 2" xfId="17" xr:uid="{00000000-0005-0000-0000-000010000000}"/>
    <cellStyle name="Accent2 2" xfId="18" xr:uid="{00000000-0005-0000-0000-000011000000}"/>
    <cellStyle name="Accent3 2" xfId="19" xr:uid="{00000000-0005-0000-0000-000012000000}"/>
    <cellStyle name="Accent4 2" xfId="20" xr:uid="{00000000-0005-0000-0000-000013000000}"/>
    <cellStyle name="Accent6 2" xfId="21" xr:uid="{00000000-0005-0000-0000-000014000000}"/>
    <cellStyle name="Bad 2" xfId="22" xr:uid="{00000000-0005-0000-0000-000015000000}"/>
    <cellStyle name="Calculation 2" xfId="23" xr:uid="{00000000-0005-0000-0000-000016000000}"/>
    <cellStyle name="Comma" xfId="876" builtinId="3"/>
    <cellStyle name="Comma 2" xfId="24" xr:uid="{00000000-0005-0000-0000-000018000000}"/>
    <cellStyle name="Comma 2 2" xfId="25" xr:uid="{00000000-0005-0000-0000-000019000000}"/>
    <cellStyle name="Comma 2 3" xfId="26" xr:uid="{00000000-0005-0000-0000-00001A000000}"/>
    <cellStyle name="Comma 3" xfId="27" xr:uid="{00000000-0005-0000-0000-00001B000000}"/>
    <cellStyle name="Comma 3 2" xfId="28" xr:uid="{00000000-0005-0000-0000-00001C000000}"/>
    <cellStyle name="Good 2" xfId="29" xr:uid="{00000000-0005-0000-0000-00001D000000}"/>
    <cellStyle name="Heading 1 2" xfId="30" xr:uid="{00000000-0005-0000-0000-00001E000000}"/>
    <cellStyle name="Heading 2 2" xfId="31" xr:uid="{00000000-0005-0000-0000-00001F000000}"/>
    <cellStyle name="Heading 3 2" xfId="32" xr:uid="{00000000-0005-0000-0000-000020000000}"/>
    <cellStyle name="Heading 4 2" xfId="33" xr:uid="{00000000-0005-0000-0000-000021000000}"/>
    <cellStyle name="Hyperlink" xfId="877" builtinId="8"/>
    <cellStyle name="Hyperlink 2" xfId="34" xr:uid="{00000000-0005-0000-0000-000022000000}"/>
    <cellStyle name="Hyperlink 3" xfId="35" xr:uid="{00000000-0005-0000-0000-000023000000}"/>
    <cellStyle name="Input 2" xfId="36" xr:uid="{00000000-0005-0000-0000-000024000000}"/>
    <cellStyle name="Linked Cell 2" xfId="37" xr:uid="{00000000-0005-0000-0000-000025000000}"/>
    <cellStyle name="Neutral 2" xfId="38" xr:uid="{00000000-0005-0000-0000-000026000000}"/>
    <cellStyle name="Normal" xfId="0" builtinId="0"/>
    <cellStyle name="Normal 2" xfId="39" xr:uid="{00000000-0005-0000-0000-000028000000}"/>
    <cellStyle name="Normal 2 2" xfId="40" xr:uid="{00000000-0005-0000-0000-000029000000}"/>
    <cellStyle name="Normal 2 3" xfId="41" xr:uid="{00000000-0005-0000-0000-00002A000000}"/>
    <cellStyle name="Normal 2 3 2" xfId="42" xr:uid="{00000000-0005-0000-0000-00002B000000}"/>
    <cellStyle name="Normal 2 4" xfId="878" xr:uid="{9BE58FCD-7B1C-4BF4-9D81-46C6F4B5704B}"/>
    <cellStyle name="Normal 3" xfId="43" xr:uid="{00000000-0005-0000-0000-00002C000000}"/>
    <cellStyle name="Note 10 2" xfId="44" xr:uid="{00000000-0005-0000-0000-00002D000000}"/>
    <cellStyle name="Note 10 3" xfId="45" xr:uid="{00000000-0005-0000-0000-00002E000000}"/>
    <cellStyle name="Note 10 4" xfId="46" xr:uid="{00000000-0005-0000-0000-00002F000000}"/>
    <cellStyle name="Note 10 5" xfId="47" xr:uid="{00000000-0005-0000-0000-000030000000}"/>
    <cellStyle name="Note 10 6" xfId="48" xr:uid="{00000000-0005-0000-0000-000031000000}"/>
    <cellStyle name="Note 100 2" xfId="49" xr:uid="{00000000-0005-0000-0000-000032000000}"/>
    <cellStyle name="Note 100 3" xfId="50" xr:uid="{00000000-0005-0000-0000-000033000000}"/>
    <cellStyle name="Note 100 4" xfId="51" xr:uid="{00000000-0005-0000-0000-000034000000}"/>
    <cellStyle name="Note 100 5" xfId="52" xr:uid="{00000000-0005-0000-0000-000035000000}"/>
    <cellStyle name="Note 100 6" xfId="53" xr:uid="{00000000-0005-0000-0000-000036000000}"/>
    <cellStyle name="Note 101 2" xfId="54" xr:uid="{00000000-0005-0000-0000-000037000000}"/>
    <cellStyle name="Note 101 3" xfId="55" xr:uid="{00000000-0005-0000-0000-000038000000}"/>
    <cellStyle name="Note 101 4" xfId="56" xr:uid="{00000000-0005-0000-0000-000039000000}"/>
    <cellStyle name="Note 101 5" xfId="57" xr:uid="{00000000-0005-0000-0000-00003A000000}"/>
    <cellStyle name="Note 101 6" xfId="58" xr:uid="{00000000-0005-0000-0000-00003B000000}"/>
    <cellStyle name="Note 102 2" xfId="59" xr:uid="{00000000-0005-0000-0000-00003C000000}"/>
    <cellStyle name="Note 102 3" xfId="60" xr:uid="{00000000-0005-0000-0000-00003D000000}"/>
    <cellStyle name="Note 102 4" xfId="61" xr:uid="{00000000-0005-0000-0000-00003E000000}"/>
    <cellStyle name="Note 102 5" xfId="62" xr:uid="{00000000-0005-0000-0000-00003F000000}"/>
    <cellStyle name="Note 102 6" xfId="63" xr:uid="{00000000-0005-0000-0000-000040000000}"/>
    <cellStyle name="Note 103 2" xfId="64" xr:uid="{00000000-0005-0000-0000-000041000000}"/>
    <cellStyle name="Note 103 3" xfId="65" xr:uid="{00000000-0005-0000-0000-000042000000}"/>
    <cellStyle name="Note 103 4" xfId="66" xr:uid="{00000000-0005-0000-0000-000043000000}"/>
    <cellStyle name="Note 103 5" xfId="67" xr:uid="{00000000-0005-0000-0000-000044000000}"/>
    <cellStyle name="Note 103 6" xfId="68" xr:uid="{00000000-0005-0000-0000-000045000000}"/>
    <cellStyle name="Note 104 2" xfId="69" xr:uid="{00000000-0005-0000-0000-000046000000}"/>
    <cellStyle name="Note 104 3" xfId="70" xr:uid="{00000000-0005-0000-0000-000047000000}"/>
    <cellStyle name="Note 104 4" xfId="71" xr:uid="{00000000-0005-0000-0000-000048000000}"/>
    <cellStyle name="Note 104 5" xfId="72" xr:uid="{00000000-0005-0000-0000-000049000000}"/>
    <cellStyle name="Note 104 6" xfId="73" xr:uid="{00000000-0005-0000-0000-00004A000000}"/>
    <cellStyle name="Note 105 2" xfId="74" xr:uid="{00000000-0005-0000-0000-00004B000000}"/>
    <cellStyle name="Note 105 3" xfId="75" xr:uid="{00000000-0005-0000-0000-00004C000000}"/>
    <cellStyle name="Note 105 4" xfId="76" xr:uid="{00000000-0005-0000-0000-00004D000000}"/>
    <cellStyle name="Note 105 5" xfId="77" xr:uid="{00000000-0005-0000-0000-00004E000000}"/>
    <cellStyle name="Note 105 6" xfId="78" xr:uid="{00000000-0005-0000-0000-00004F000000}"/>
    <cellStyle name="Note 106 2" xfId="79" xr:uid="{00000000-0005-0000-0000-000050000000}"/>
    <cellStyle name="Note 106 3" xfId="80" xr:uid="{00000000-0005-0000-0000-000051000000}"/>
    <cellStyle name="Note 106 4" xfId="81" xr:uid="{00000000-0005-0000-0000-000052000000}"/>
    <cellStyle name="Note 106 5" xfId="82" xr:uid="{00000000-0005-0000-0000-000053000000}"/>
    <cellStyle name="Note 106 6" xfId="83" xr:uid="{00000000-0005-0000-0000-000054000000}"/>
    <cellStyle name="Note 107 2" xfId="84" xr:uid="{00000000-0005-0000-0000-000055000000}"/>
    <cellStyle name="Note 107 3" xfId="85" xr:uid="{00000000-0005-0000-0000-000056000000}"/>
    <cellStyle name="Note 107 4" xfId="86" xr:uid="{00000000-0005-0000-0000-000057000000}"/>
    <cellStyle name="Note 107 5" xfId="87" xr:uid="{00000000-0005-0000-0000-000058000000}"/>
    <cellStyle name="Note 107 6" xfId="88" xr:uid="{00000000-0005-0000-0000-000059000000}"/>
    <cellStyle name="Note 108 2" xfId="89" xr:uid="{00000000-0005-0000-0000-00005A000000}"/>
    <cellStyle name="Note 108 3" xfId="90" xr:uid="{00000000-0005-0000-0000-00005B000000}"/>
    <cellStyle name="Note 108 4" xfId="91" xr:uid="{00000000-0005-0000-0000-00005C000000}"/>
    <cellStyle name="Note 108 5" xfId="92" xr:uid="{00000000-0005-0000-0000-00005D000000}"/>
    <cellStyle name="Note 108 6" xfId="93" xr:uid="{00000000-0005-0000-0000-00005E000000}"/>
    <cellStyle name="Note 109 2" xfId="94" xr:uid="{00000000-0005-0000-0000-00005F000000}"/>
    <cellStyle name="Note 109 3" xfId="95" xr:uid="{00000000-0005-0000-0000-000060000000}"/>
    <cellStyle name="Note 109 4" xfId="96" xr:uid="{00000000-0005-0000-0000-000061000000}"/>
    <cellStyle name="Note 109 5" xfId="97" xr:uid="{00000000-0005-0000-0000-000062000000}"/>
    <cellStyle name="Note 109 6" xfId="98" xr:uid="{00000000-0005-0000-0000-000063000000}"/>
    <cellStyle name="Note 11 2" xfId="99" xr:uid="{00000000-0005-0000-0000-000064000000}"/>
    <cellStyle name="Note 11 3" xfId="100" xr:uid="{00000000-0005-0000-0000-000065000000}"/>
    <cellStyle name="Note 11 4" xfId="101" xr:uid="{00000000-0005-0000-0000-000066000000}"/>
    <cellStyle name="Note 11 5" xfId="102" xr:uid="{00000000-0005-0000-0000-000067000000}"/>
    <cellStyle name="Note 11 6" xfId="103" xr:uid="{00000000-0005-0000-0000-000068000000}"/>
    <cellStyle name="Note 110 2" xfId="104" xr:uid="{00000000-0005-0000-0000-000069000000}"/>
    <cellStyle name="Note 110 3" xfId="105" xr:uid="{00000000-0005-0000-0000-00006A000000}"/>
    <cellStyle name="Note 110 4" xfId="106" xr:uid="{00000000-0005-0000-0000-00006B000000}"/>
    <cellStyle name="Note 110 5" xfId="107" xr:uid="{00000000-0005-0000-0000-00006C000000}"/>
    <cellStyle name="Note 110 6" xfId="108" xr:uid="{00000000-0005-0000-0000-00006D000000}"/>
    <cellStyle name="Note 111 2" xfId="109" xr:uid="{00000000-0005-0000-0000-00006E000000}"/>
    <cellStyle name="Note 111 3" xfId="110" xr:uid="{00000000-0005-0000-0000-00006F000000}"/>
    <cellStyle name="Note 111 4" xfId="111" xr:uid="{00000000-0005-0000-0000-000070000000}"/>
    <cellStyle name="Note 111 5" xfId="112" xr:uid="{00000000-0005-0000-0000-000071000000}"/>
    <cellStyle name="Note 111 6" xfId="113" xr:uid="{00000000-0005-0000-0000-000072000000}"/>
    <cellStyle name="Note 112 2" xfId="114" xr:uid="{00000000-0005-0000-0000-000073000000}"/>
    <cellStyle name="Note 112 3" xfId="115" xr:uid="{00000000-0005-0000-0000-000074000000}"/>
    <cellStyle name="Note 112 4" xfId="116" xr:uid="{00000000-0005-0000-0000-000075000000}"/>
    <cellStyle name="Note 112 5" xfId="117" xr:uid="{00000000-0005-0000-0000-000076000000}"/>
    <cellStyle name="Note 112 6" xfId="118" xr:uid="{00000000-0005-0000-0000-000077000000}"/>
    <cellStyle name="Note 113 2" xfId="119" xr:uid="{00000000-0005-0000-0000-000078000000}"/>
    <cellStyle name="Note 113 3" xfId="120" xr:uid="{00000000-0005-0000-0000-000079000000}"/>
    <cellStyle name="Note 113 4" xfId="121" xr:uid="{00000000-0005-0000-0000-00007A000000}"/>
    <cellStyle name="Note 113 5" xfId="122" xr:uid="{00000000-0005-0000-0000-00007B000000}"/>
    <cellStyle name="Note 113 6" xfId="123" xr:uid="{00000000-0005-0000-0000-00007C000000}"/>
    <cellStyle name="Note 114 2" xfId="124" xr:uid="{00000000-0005-0000-0000-00007D000000}"/>
    <cellStyle name="Note 114 3" xfId="125" xr:uid="{00000000-0005-0000-0000-00007E000000}"/>
    <cellStyle name="Note 114 4" xfId="126" xr:uid="{00000000-0005-0000-0000-00007F000000}"/>
    <cellStyle name="Note 114 5" xfId="127" xr:uid="{00000000-0005-0000-0000-000080000000}"/>
    <cellStyle name="Note 114 6" xfId="128" xr:uid="{00000000-0005-0000-0000-000081000000}"/>
    <cellStyle name="Note 115 2" xfId="129" xr:uid="{00000000-0005-0000-0000-000082000000}"/>
    <cellStyle name="Note 115 3" xfId="130" xr:uid="{00000000-0005-0000-0000-000083000000}"/>
    <cellStyle name="Note 115 4" xfId="131" xr:uid="{00000000-0005-0000-0000-000084000000}"/>
    <cellStyle name="Note 115 5" xfId="132" xr:uid="{00000000-0005-0000-0000-000085000000}"/>
    <cellStyle name="Note 115 6" xfId="133" xr:uid="{00000000-0005-0000-0000-000086000000}"/>
    <cellStyle name="Note 116 2" xfId="134" xr:uid="{00000000-0005-0000-0000-000087000000}"/>
    <cellStyle name="Note 116 3" xfId="135" xr:uid="{00000000-0005-0000-0000-000088000000}"/>
    <cellStyle name="Note 116 4" xfId="136" xr:uid="{00000000-0005-0000-0000-000089000000}"/>
    <cellStyle name="Note 116 5" xfId="137" xr:uid="{00000000-0005-0000-0000-00008A000000}"/>
    <cellStyle name="Note 116 6" xfId="138" xr:uid="{00000000-0005-0000-0000-00008B000000}"/>
    <cellStyle name="Note 117 2" xfId="139" xr:uid="{00000000-0005-0000-0000-00008C000000}"/>
    <cellStyle name="Note 117 3" xfId="140" xr:uid="{00000000-0005-0000-0000-00008D000000}"/>
    <cellStyle name="Note 117 4" xfId="141" xr:uid="{00000000-0005-0000-0000-00008E000000}"/>
    <cellStyle name="Note 117 5" xfId="142" xr:uid="{00000000-0005-0000-0000-00008F000000}"/>
    <cellStyle name="Note 117 6" xfId="143" xr:uid="{00000000-0005-0000-0000-000090000000}"/>
    <cellStyle name="Note 118 2" xfId="144" xr:uid="{00000000-0005-0000-0000-000091000000}"/>
    <cellStyle name="Note 118 3" xfId="145" xr:uid="{00000000-0005-0000-0000-000092000000}"/>
    <cellStyle name="Note 118 4" xfId="146" xr:uid="{00000000-0005-0000-0000-000093000000}"/>
    <cellStyle name="Note 118 5" xfId="147" xr:uid="{00000000-0005-0000-0000-000094000000}"/>
    <cellStyle name="Note 118 6" xfId="148" xr:uid="{00000000-0005-0000-0000-000095000000}"/>
    <cellStyle name="Note 119 2" xfId="149" xr:uid="{00000000-0005-0000-0000-000096000000}"/>
    <cellStyle name="Note 119 3" xfId="150" xr:uid="{00000000-0005-0000-0000-000097000000}"/>
    <cellStyle name="Note 119 4" xfId="151" xr:uid="{00000000-0005-0000-0000-000098000000}"/>
    <cellStyle name="Note 119 5" xfId="152" xr:uid="{00000000-0005-0000-0000-000099000000}"/>
    <cellStyle name="Note 119 6" xfId="153" xr:uid="{00000000-0005-0000-0000-00009A000000}"/>
    <cellStyle name="Note 12 2" xfId="154" xr:uid="{00000000-0005-0000-0000-00009B000000}"/>
    <cellStyle name="Note 12 3" xfId="155" xr:uid="{00000000-0005-0000-0000-00009C000000}"/>
    <cellStyle name="Note 12 4" xfId="156" xr:uid="{00000000-0005-0000-0000-00009D000000}"/>
    <cellStyle name="Note 12 5" xfId="157" xr:uid="{00000000-0005-0000-0000-00009E000000}"/>
    <cellStyle name="Note 12 6" xfId="158" xr:uid="{00000000-0005-0000-0000-00009F000000}"/>
    <cellStyle name="Note 120 2" xfId="159" xr:uid="{00000000-0005-0000-0000-0000A0000000}"/>
    <cellStyle name="Note 120 3" xfId="160" xr:uid="{00000000-0005-0000-0000-0000A1000000}"/>
    <cellStyle name="Note 120 4" xfId="161" xr:uid="{00000000-0005-0000-0000-0000A2000000}"/>
    <cellStyle name="Note 120 5" xfId="162" xr:uid="{00000000-0005-0000-0000-0000A3000000}"/>
    <cellStyle name="Note 120 6" xfId="163" xr:uid="{00000000-0005-0000-0000-0000A4000000}"/>
    <cellStyle name="Note 121 2" xfId="164" xr:uid="{00000000-0005-0000-0000-0000A5000000}"/>
    <cellStyle name="Note 121 3" xfId="165" xr:uid="{00000000-0005-0000-0000-0000A6000000}"/>
    <cellStyle name="Note 121 4" xfId="166" xr:uid="{00000000-0005-0000-0000-0000A7000000}"/>
    <cellStyle name="Note 121 5" xfId="167" xr:uid="{00000000-0005-0000-0000-0000A8000000}"/>
    <cellStyle name="Note 121 6" xfId="168" xr:uid="{00000000-0005-0000-0000-0000A9000000}"/>
    <cellStyle name="Note 122 2" xfId="169" xr:uid="{00000000-0005-0000-0000-0000AA000000}"/>
    <cellStyle name="Note 122 3" xfId="170" xr:uid="{00000000-0005-0000-0000-0000AB000000}"/>
    <cellStyle name="Note 122 4" xfId="171" xr:uid="{00000000-0005-0000-0000-0000AC000000}"/>
    <cellStyle name="Note 122 5" xfId="172" xr:uid="{00000000-0005-0000-0000-0000AD000000}"/>
    <cellStyle name="Note 122 6" xfId="173" xr:uid="{00000000-0005-0000-0000-0000AE000000}"/>
    <cellStyle name="Note 123 2" xfId="174" xr:uid="{00000000-0005-0000-0000-0000AF000000}"/>
    <cellStyle name="Note 123 3" xfId="175" xr:uid="{00000000-0005-0000-0000-0000B0000000}"/>
    <cellStyle name="Note 123 4" xfId="176" xr:uid="{00000000-0005-0000-0000-0000B1000000}"/>
    <cellStyle name="Note 123 5" xfId="177" xr:uid="{00000000-0005-0000-0000-0000B2000000}"/>
    <cellStyle name="Note 123 6" xfId="178" xr:uid="{00000000-0005-0000-0000-0000B3000000}"/>
    <cellStyle name="Note 124 2" xfId="179" xr:uid="{00000000-0005-0000-0000-0000B4000000}"/>
    <cellStyle name="Note 124 3" xfId="180" xr:uid="{00000000-0005-0000-0000-0000B5000000}"/>
    <cellStyle name="Note 124 4" xfId="181" xr:uid="{00000000-0005-0000-0000-0000B6000000}"/>
    <cellStyle name="Note 124 5" xfId="182" xr:uid="{00000000-0005-0000-0000-0000B7000000}"/>
    <cellStyle name="Note 124 6" xfId="183" xr:uid="{00000000-0005-0000-0000-0000B8000000}"/>
    <cellStyle name="Note 125 2" xfId="184" xr:uid="{00000000-0005-0000-0000-0000B9000000}"/>
    <cellStyle name="Note 125 3" xfId="185" xr:uid="{00000000-0005-0000-0000-0000BA000000}"/>
    <cellStyle name="Note 125 4" xfId="186" xr:uid="{00000000-0005-0000-0000-0000BB000000}"/>
    <cellStyle name="Note 125 5" xfId="187" xr:uid="{00000000-0005-0000-0000-0000BC000000}"/>
    <cellStyle name="Note 125 6" xfId="188" xr:uid="{00000000-0005-0000-0000-0000BD000000}"/>
    <cellStyle name="Note 126 2" xfId="189" xr:uid="{00000000-0005-0000-0000-0000BE000000}"/>
    <cellStyle name="Note 126 3" xfId="190" xr:uid="{00000000-0005-0000-0000-0000BF000000}"/>
    <cellStyle name="Note 126 4" xfId="191" xr:uid="{00000000-0005-0000-0000-0000C0000000}"/>
    <cellStyle name="Note 126 5" xfId="192" xr:uid="{00000000-0005-0000-0000-0000C1000000}"/>
    <cellStyle name="Note 126 6" xfId="193" xr:uid="{00000000-0005-0000-0000-0000C2000000}"/>
    <cellStyle name="Note 127 2" xfId="194" xr:uid="{00000000-0005-0000-0000-0000C3000000}"/>
    <cellStyle name="Note 127 3" xfId="195" xr:uid="{00000000-0005-0000-0000-0000C4000000}"/>
    <cellStyle name="Note 127 4" xfId="196" xr:uid="{00000000-0005-0000-0000-0000C5000000}"/>
    <cellStyle name="Note 127 5" xfId="197" xr:uid="{00000000-0005-0000-0000-0000C6000000}"/>
    <cellStyle name="Note 127 6" xfId="198" xr:uid="{00000000-0005-0000-0000-0000C7000000}"/>
    <cellStyle name="Note 128 2" xfId="199" xr:uid="{00000000-0005-0000-0000-0000C8000000}"/>
    <cellStyle name="Note 128 3" xfId="200" xr:uid="{00000000-0005-0000-0000-0000C9000000}"/>
    <cellStyle name="Note 128 4" xfId="201" xr:uid="{00000000-0005-0000-0000-0000CA000000}"/>
    <cellStyle name="Note 128 5" xfId="202" xr:uid="{00000000-0005-0000-0000-0000CB000000}"/>
    <cellStyle name="Note 128 6" xfId="203" xr:uid="{00000000-0005-0000-0000-0000CC000000}"/>
    <cellStyle name="Note 129 2" xfId="204" xr:uid="{00000000-0005-0000-0000-0000CD000000}"/>
    <cellStyle name="Note 129 3" xfId="205" xr:uid="{00000000-0005-0000-0000-0000CE000000}"/>
    <cellStyle name="Note 129 4" xfId="206" xr:uid="{00000000-0005-0000-0000-0000CF000000}"/>
    <cellStyle name="Note 129 5" xfId="207" xr:uid="{00000000-0005-0000-0000-0000D0000000}"/>
    <cellStyle name="Note 129 6" xfId="208" xr:uid="{00000000-0005-0000-0000-0000D1000000}"/>
    <cellStyle name="Note 13 2" xfId="209" xr:uid="{00000000-0005-0000-0000-0000D2000000}"/>
    <cellStyle name="Note 13 3" xfId="210" xr:uid="{00000000-0005-0000-0000-0000D3000000}"/>
    <cellStyle name="Note 13 4" xfId="211" xr:uid="{00000000-0005-0000-0000-0000D4000000}"/>
    <cellStyle name="Note 13 5" xfId="212" xr:uid="{00000000-0005-0000-0000-0000D5000000}"/>
    <cellStyle name="Note 13 6" xfId="213" xr:uid="{00000000-0005-0000-0000-0000D6000000}"/>
    <cellStyle name="Note 130 2" xfId="214" xr:uid="{00000000-0005-0000-0000-0000D7000000}"/>
    <cellStyle name="Note 130 3" xfId="215" xr:uid="{00000000-0005-0000-0000-0000D8000000}"/>
    <cellStyle name="Note 130 4" xfId="216" xr:uid="{00000000-0005-0000-0000-0000D9000000}"/>
    <cellStyle name="Note 130 5" xfId="217" xr:uid="{00000000-0005-0000-0000-0000DA000000}"/>
    <cellStyle name="Note 130 6" xfId="218" xr:uid="{00000000-0005-0000-0000-0000DB000000}"/>
    <cellStyle name="Note 131 2" xfId="219" xr:uid="{00000000-0005-0000-0000-0000DC000000}"/>
    <cellStyle name="Note 131 3" xfId="220" xr:uid="{00000000-0005-0000-0000-0000DD000000}"/>
    <cellStyle name="Note 131 4" xfId="221" xr:uid="{00000000-0005-0000-0000-0000DE000000}"/>
    <cellStyle name="Note 131 5" xfId="222" xr:uid="{00000000-0005-0000-0000-0000DF000000}"/>
    <cellStyle name="Note 131 6" xfId="223" xr:uid="{00000000-0005-0000-0000-0000E0000000}"/>
    <cellStyle name="Note 132 2" xfId="224" xr:uid="{00000000-0005-0000-0000-0000E1000000}"/>
    <cellStyle name="Note 132 3" xfId="225" xr:uid="{00000000-0005-0000-0000-0000E2000000}"/>
    <cellStyle name="Note 132 4" xfId="226" xr:uid="{00000000-0005-0000-0000-0000E3000000}"/>
    <cellStyle name="Note 132 5" xfId="227" xr:uid="{00000000-0005-0000-0000-0000E4000000}"/>
    <cellStyle name="Note 132 6" xfId="228" xr:uid="{00000000-0005-0000-0000-0000E5000000}"/>
    <cellStyle name="Note 133 2" xfId="229" xr:uid="{00000000-0005-0000-0000-0000E6000000}"/>
    <cellStyle name="Note 133 3" xfId="230" xr:uid="{00000000-0005-0000-0000-0000E7000000}"/>
    <cellStyle name="Note 133 4" xfId="231" xr:uid="{00000000-0005-0000-0000-0000E8000000}"/>
    <cellStyle name="Note 133 5" xfId="232" xr:uid="{00000000-0005-0000-0000-0000E9000000}"/>
    <cellStyle name="Note 133 6" xfId="233" xr:uid="{00000000-0005-0000-0000-0000EA000000}"/>
    <cellStyle name="Note 134 2" xfId="234" xr:uid="{00000000-0005-0000-0000-0000EB000000}"/>
    <cellStyle name="Note 134 3" xfId="235" xr:uid="{00000000-0005-0000-0000-0000EC000000}"/>
    <cellStyle name="Note 134 4" xfId="236" xr:uid="{00000000-0005-0000-0000-0000ED000000}"/>
    <cellStyle name="Note 134 5" xfId="237" xr:uid="{00000000-0005-0000-0000-0000EE000000}"/>
    <cellStyle name="Note 134 6" xfId="238" xr:uid="{00000000-0005-0000-0000-0000EF000000}"/>
    <cellStyle name="Note 135 2" xfId="239" xr:uid="{00000000-0005-0000-0000-0000F0000000}"/>
    <cellStyle name="Note 135 3" xfId="240" xr:uid="{00000000-0005-0000-0000-0000F1000000}"/>
    <cellStyle name="Note 135 4" xfId="241" xr:uid="{00000000-0005-0000-0000-0000F2000000}"/>
    <cellStyle name="Note 135 5" xfId="242" xr:uid="{00000000-0005-0000-0000-0000F3000000}"/>
    <cellStyle name="Note 135 6" xfId="243" xr:uid="{00000000-0005-0000-0000-0000F4000000}"/>
    <cellStyle name="Note 136 2" xfId="244" xr:uid="{00000000-0005-0000-0000-0000F5000000}"/>
    <cellStyle name="Note 136 3" xfId="245" xr:uid="{00000000-0005-0000-0000-0000F6000000}"/>
    <cellStyle name="Note 136 4" xfId="246" xr:uid="{00000000-0005-0000-0000-0000F7000000}"/>
    <cellStyle name="Note 136 5" xfId="247" xr:uid="{00000000-0005-0000-0000-0000F8000000}"/>
    <cellStyle name="Note 136 6" xfId="248" xr:uid="{00000000-0005-0000-0000-0000F9000000}"/>
    <cellStyle name="Note 137 2" xfId="249" xr:uid="{00000000-0005-0000-0000-0000FA000000}"/>
    <cellStyle name="Note 137 3" xfId="250" xr:uid="{00000000-0005-0000-0000-0000FB000000}"/>
    <cellStyle name="Note 137 4" xfId="251" xr:uid="{00000000-0005-0000-0000-0000FC000000}"/>
    <cellStyle name="Note 137 5" xfId="252" xr:uid="{00000000-0005-0000-0000-0000FD000000}"/>
    <cellStyle name="Note 137 6" xfId="253" xr:uid="{00000000-0005-0000-0000-0000FE000000}"/>
    <cellStyle name="Note 138 2" xfId="254" xr:uid="{00000000-0005-0000-0000-0000FF000000}"/>
    <cellStyle name="Note 138 3" xfId="255" xr:uid="{00000000-0005-0000-0000-000000010000}"/>
    <cellStyle name="Note 138 4" xfId="256" xr:uid="{00000000-0005-0000-0000-000001010000}"/>
    <cellStyle name="Note 138 5" xfId="257" xr:uid="{00000000-0005-0000-0000-000002010000}"/>
    <cellStyle name="Note 138 6" xfId="258" xr:uid="{00000000-0005-0000-0000-000003010000}"/>
    <cellStyle name="Note 139 2" xfId="259" xr:uid="{00000000-0005-0000-0000-000004010000}"/>
    <cellStyle name="Note 139 3" xfId="260" xr:uid="{00000000-0005-0000-0000-000005010000}"/>
    <cellStyle name="Note 139 4" xfId="261" xr:uid="{00000000-0005-0000-0000-000006010000}"/>
    <cellStyle name="Note 139 5" xfId="262" xr:uid="{00000000-0005-0000-0000-000007010000}"/>
    <cellStyle name="Note 139 6" xfId="263" xr:uid="{00000000-0005-0000-0000-000008010000}"/>
    <cellStyle name="Note 14 2" xfId="264" xr:uid="{00000000-0005-0000-0000-000009010000}"/>
    <cellStyle name="Note 14 3" xfId="265" xr:uid="{00000000-0005-0000-0000-00000A010000}"/>
    <cellStyle name="Note 14 4" xfId="266" xr:uid="{00000000-0005-0000-0000-00000B010000}"/>
    <cellStyle name="Note 14 5" xfId="267" xr:uid="{00000000-0005-0000-0000-00000C010000}"/>
    <cellStyle name="Note 14 6" xfId="268" xr:uid="{00000000-0005-0000-0000-00000D010000}"/>
    <cellStyle name="Note 140 2" xfId="269" xr:uid="{00000000-0005-0000-0000-00000E010000}"/>
    <cellStyle name="Note 140 3" xfId="270" xr:uid="{00000000-0005-0000-0000-00000F010000}"/>
    <cellStyle name="Note 140 4" xfId="271" xr:uid="{00000000-0005-0000-0000-000010010000}"/>
    <cellStyle name="Note 140 5" xfId="272" xr:uid="{00000000-0005-0000-0000-000011010000}"/>
    <cellStyle name="Note 140 6" xfId="273" xr:uid="{00000000-0005-0000-0000-000012010000}"/>
    <cellStyle name="Note 141 2" xfId="274" xr:uid="{00000000-0005-0000-0000-000013010000}"/>
    <cellStyle name="Note 141 3" xfId="275" xr:uid="{00000000-0005-0000-0000-000014010000}"/>
    <cellStyle name="Note 141 4" xfId="276" xr:uid="{00000000-0005-0000-0000-000015010000}"/>
    <cellStyle name="Note 141 5" xfId="277" xr:uid="{00000000-0005-0000-0000-000016010000}"/>
    <cellStyle name="Note 141 6" xfId="278" xr:uid="{00000000-0005-0000-0000-000017010000}"/>
    <cellStyle name="Note 142 2" xfId="279" xr:uid="{00000000-0005-0000-0000-000018010000}"/>
    <cellStyle name="Note 142 3" xfId="280" xr:uid="{00000000-0005-0000-0000-000019010000}"/>
    <cellStyle name="Note 142 4" xfId="281" xr:uid="{00000000-0005-0000-0000-00001A010000}"/>
    <cellStyle name="Note 142 5" xfId="282" xr:uid="{00000000-0005-0000-0000-00001B010000}"/>
    <cellStyle name="Note 142 6" xfId="283" xr:uid="{00000000-0005-0000-0000-00001C010000}"/>
    <cellStyle name="Note 143 2" xfId="284" xr:uid="{00000000-0005-0000-0000-00001D010000}"/>
    <cellStyle name="Note 143 3" xfId="285" xr:uid="{00000000-0005-0000-0000-00001E010000}"/>
    <cellStyle name="Note 143 4" xfId="286" xr:uid="{00000000-0005-0000-0000-00001F010000}"/>
    <cellStyle name="Note 143 5" xfId="287" xr:uid="{00000000-0005-0000-0000-000020010000}"/>
    <cellStyle name="Note 143 6" xfId="288" xr:uid="{00000000-0005-0000-0000-000021010000}"/>
    <cellStyle name="Note 144 2" xfId="289" xr:uid="{00000000-0005-0000-0000-000022010000}"/>
    <cellStyle name="Note 144 3" xfId="290" xr:uid="{00000000-0005-0000-0000-000023010000}"/>
    <cellStyle name="Note 144 4" xfId="291" xr:uid="{00000000-0005-0000-0000-000024010000}"/>
    <cellStyle name="Note 144 5" xfId="292" xr:uid="{00000000-0005-0000-0000-000025010000}"/>
    <cellStyle name="Note 144 6" xfId="293" xr:uid="{00000000-0005-0000-0000-000026010000}"/>
    <cellStyle name="Note 145 2" xfId="294" xr:uid="{00000000-0005-0000-0000-000027010000}"/>
    <cellStyle name="Note 145 3" xfId="295" xr:uid="{00000000-0005-0000-0000-000028010000}"/>
    <cellStyle name="Note 145 4" xfId="296" xr:uid="{00000000-0005-0000-0000-000029010000}"/>
    <cellStyle name="Note 145 5" xfId="297" xr:uid="{00000000-0005-0000-0000-00002A010000}"/>
    <cellStyle name="Note 145 6" xfId="298" xr:uid="{00000000-0005-0000-0000-00002B010000}"/>
    <cellStyle name="Note 146 2" xfId="299" xr:uid="{00000000-0005-0000-0000-00002C010000}"/>
    <cellStyle name="Note 146 3" xfId="300" xr:uid="{00000000-0005-0000-0000-00002D010000}"/>
    <cellStyle name="Note 146 4" xfId="301" xr:uid="{00000000-0005-0000-0000-00002E010000}"/>
    <cellStyle name="Note 146 5" xfId="302" xr:uid="{00000000-0005-0000-0000-00002F010000}"/>
    <cellStyle name="Note 146 6" xfId="303" xr:uid="{00000000-0005-0000-0000-000030010000}"/>
    <cellStyle name="Note 147 2" xfId="304" xr:uid="{00000000-0005-0000-0000-000031010000}"/>
    <cellStyle name="Note 147 3" xfId="305" xr:uid="{00000000-0005-0000-0000-000032010000}"/>
    <cellStyle name="Note 147 4" xfId="306" xr:uid="{00000000-0005-0000-0000-000033010000}"/>
    <cellStyle name="Note 147 5" xfId="307" xr:uid="{00000000-0005-0000-0000-000034010000}"/>
    <cellStyle name="Note 147 6" xfId="308" xr:uid="{00000000-0005-0000-0000-000035010000}"/>
    <cellStyle name="Note 148 2" xfId="309" xr:uid="{00000000-0005-0000-0000-000036010000}"/>
    <cellStyle name="Note 148 3" xfId="310" xr:uid="{00000000-0005-0000-0000-000037010000}"/>
    <cellStyle name="Note 148 4" xfId="311" xr:uid="{00000000-0005-0000-0000-000038010000}"/>
    <cellStyle name="Note 148 5" xfId="312" xr:uid="{00000000-0005-0000-0000-000039010000}"/>
    <cellStyle name="Note 148 6" xfId="313" xr:uid="{00000000-0005-0000-0000-00003A010000}"/>
    <cellStyle name="Note 149 2" xfId="314" xr:uid="{00000000-0005-0000-0000-00003B010000}"/>
    <cellStyle name="Note 149 3" xfId="315" xr:uid="{00000000-0005-0000-0000-00003C010000}"/>
    <cellStyle name="Note 149 4" xfId="316" xr:uid="{00000000-0005-0000-0000-00003D010000}"/>
    <cellStyle name="Note 149 5" xfId="317" xr:uid="{00000000-0005-0000-0000-00003E010000}"/>
    <cellStyle name="Note 149 6" xfId="318" xr:uid="{00000000-0005-0000-0000-00003F010000}"/>
    <cellStyle name="Note 15 2" xfId="319" xr:uid="{00000000-0005-0000-0000-000040010000}"/>
    <cellStyle name="Note 15 3" xfId="320" xr:uid="{00000000-0005-0000-0000-000041010000}"/>
    <cellStyle name="Note 15 4" xfId="321" xr:uid="{00000000-0005-0000-0000-000042010000}"/>
    <cellStyle name="Note 15 5" xfId="322" xr:uid="{00000000-0005-0000-0000-000043010000}"/>
    <cellStyle name="Note 15 6" xfId="323" xr:uid="{00000000-0005-0000-0000-000044010000}"/>
    <cellStyle name="Note 150 2" xfId="324" xr:uid="{00000000-0005-0000-0000-000045010000}"/>
    <cellStyle name="Note 150 3" xfId="325" xr:uid="{00000000-0005-0000-0000-000046010000}"/>
    <cellStyle name="Note 150 4" xfId="326" xr:uid="{00000000-0005-0000-0000-000047010000}"/>
    <cellStyle name="Note 150 5" xfId="327" xr:uid="{00000000-0005-0000-0000-000048010000}"/>
    <cellStyle name="Note 150 6" xfId="328" xr:uid="{00000000-0005-0000-0000-000049010000}"/>
    <cellStyle name="Note 151 2" xfId="329" xr:uid="{00000000-0005-0000-0000-00004A010000}"/>
    <cellStyle name="Note 151 3" xfId="330" xr:uid="{00000000-0005-0000-0000-00004B010000}"/>
    <cellStyle name="Note 151 4" xfId="331" xr:uid="{00000000-0005-0000-0000-00004C010000}"/>
    <cellStyle name="Note 151 5" xfId="332" xr:uid="{00000000-0005-0000-0000-00004D010000}"/>
    <cellStyle name="Note 151 6" xfId="333" xr:uid="{00000000-0005-0000-0000-00004E010000}"/>
    <cellStyle name="Note 152 2" xfId="334" xr:uid="{00000000-0005-0000-0000-00004F010000}"/>
    <cellStyle name="Note 152 3" xfId="335" xr:uid="{00000000-0005-0000-0000-000050010000}"/>
    <cellStyle name="Note 152 4" xfId="336" xr:uid="{00000000-0005-0000-0000-000051010000}"/>
    <cellStyle name="Note 152 5" xfId="337" xr:uid="{00000000-0005-0000-0000-000052010000}"/>
    <cellStyle name="Note 152 6" xfId="338" xr:uid="{00000000-0005-0000-0000-000053010000}"/>
    <cellStyle name="Note 153 2" xfId="339" xr:uid="{00000000-0005-0000-0000-000054010000}"/>
    <cellStyle name="Note 153 3" xfId="340" xr:uid="{00000000-0005-0000-0000-000055010000}"/>
    <cellStyle name="Note 153 4" xfId="341" xr:uid="{00000000-0005-0000-0000-000056010000}"/>
    <cellStyle name="Note 153 5" xfId="342" xr:uid="{00000000-0005-0000-0000-000057010000}"/>
    <cellStyle name="Note 153 6" xfId="343" xr:uid="{00000000-0005-0000-0000-000058010000}"/>
    <cellStyle name="Note 154 2" xfId="344" xr:uid="{00000000-0005-0000-0000-000059010000}"/>
    <cellStyle name="Note 154 3" xfId="345" xr:uid="{00000000-0005-0000-0000-00005A010000}"/>
    <cellStyle name="Note 154 4" xfId="346" xr:uid="{00000000-0005-0000-0000-00005B010000}"/>
    <cellStyle name="Note 154 5" xfId="347" xr:uid="{00000000-0005-0000-0000-00005C010000}"/>
    <cellStyle name="Note 154 6" xfId="348" xr:uid="{00000000-0005-0000-0000-00005D010000}"/>
    <cellStyle name="Note 155 2" xfId="349" xr:uid="{00000000-0005-0000-0000-00005E010000}"/>
    <cellStyle name="Note 155 3" xfId="350" xr:uid="{00000000-0005-0000-0000-00005F010000}"/>
    <cellStyle name="Note 155 4" xfId="351" xr:uid="{00000000-0005-0000-0000-000060010000}"/>
    <cellStyle name="Note 155 5" xfId="352" xr:uid="{00000000-0005-0000-0000-000061010000}"/>
    <cellStyle name="Note 155 6" xfId="353" xr:uid="{00000000-0005-0000-0000-000062010000}"/>
    <cellStyle name="Note 156 2" xfId="354" xr:uid="{00000000-0005-0000-0000-000063010000}"/>
    <cellStyle name="Note 156 3" xfId="355" xr:uid="{00000000-0005-0000-0000-000064010000}"/>
    <cellStyle name="Note 156 4" xfId="356" xr:uid="{00000000-0005-0000-0000-000065010000}"/>
    <cellStyle name="Note 156 5" xfId="357" xr:uid="{00000000-0005-0000-0000-000066010000}"/>
    <cellStyle name="Note 156 6" xfId="358" xr:uid="{00000000-0005-0000-0000-000067010000}"/>
    <cellStyle name="Note 157 2" xfId="359" xr:uid="{00000000-0005-0000-0000-000068010000}"/>
    <cellStyle name="Note 157 3" xfId="360" xr:uid="{00000000-0005-0000-0000-000069010000}"/>
    <cellStyle name="Note 157 4" xfId="361" xr:uid="{00000000-0005-0000-0000-00006A010000}"/>
    <cellStyle name="Note 157 5" xfId="362" xr:uid="{00000000-0005-0000-0000-00006B010000}"/>
    <cellStyle name="Note 157 6" xfId="363" xr:uid="{00000000-0005-0000-0000-00006C010000}"/>
    <cellStyle name="Note 158 2" xfId="364" xr:uid="{00000000-0005-0000-0000-00006D010000}"/>
    <cellStyle name="Note 158 3" xfId="365" xr:uid="{00000000-0005-0000-0000-00006E010000}"/>
    <cellStyle name="Note 158 4" xfId="366" xr:uid="{00000000-0005-0000-0000-00006F010000}"/>
    <cellStyle name="Note 158 5" xfId="367" xr:uid="{00000000-0005-0000-0000-000070010000}"/>
    <cellStyle name="Note 158 6" xfId="368" xr:uid="{00000000-0005-0000-0000-000071010000}"/>
    <cellStyle name="Note 159 2" xfId="369" xr:uid="{00000000-0005-0000-0000-000072010000}"/>
    <cellStyle name="Note 159 3" xfId="370" xr:uid="{00000000-0005-0000-0000-000073010000}"/>
    <cellStyle name="Note 159 4" xfId="371" xr:uid="{00000000-0005-0000-0000-000074010000}"/>
    <cellStyle name="Note 159 5" xfId="372" xr:uid="{00000000-0005-0000-0000-000075010000}"/>
    <cellStyle name="Note 159 6" xfId="373" xr:uid="{00000000-0005-0000-0000-000076010000}"/>
    <cellStyle name="Note 16 2" xfId="374" xr:uid="{00000000-0005-0000-0000-000077010000}"/>
    <cellStyle name="Note 16 3" xfId="375" xr:uid="{00000000-0005-0000-0000-000078010000}"/>
    <cellStyle name="Note 16 4" xfId="376" xr:uid="{00000000-0005-0000-0000-000079010000}"/>
    <cellStyle name="Note 16 5" xfId="377" xr:uid="{00000000-0005-0000-0000-00007A010000}"/>
    <cellStyle name="Note 16 6" xfId="378" xr:uid="{00000000-0005-0000-0000-00007B010000}"/>
    <cellStyle name="Note 160 2" xfId="379" xr:uid="{00000000-0005-0000-0000-00007C010000}"/>
    <cellStyle name="Note 160 3" xfId="380" xr:uid="{00000000-0005-0000-0000-00007D010000}"/>
    <cellStyle name="Note 160 4" xfId="381" xr:uid="{00000000-0005-0000-0000-00007E010000}"/>
    <cellStyle name="Note 160 5" xfId="382" xr:uid="{00000000-0005-0000-0000-00007F010000}"/>
    <cellStyle name="Note 160 6" xfId="383" xr:uid="{00000000-0005-0000-0000-000080010000}"/>
    <cellStyle name="Note 161 2" xfId="384" xr:uid="{00000000-0005-0000-0000-000081010000}"/>
    <cellStyle name="Note 161 3" xfId="385" xr:uid="{00000000-0005-0000-0000-000082010000}"/>
    <cellStyle name="Note 161 4" xfId="386" xr:uid="{00000000-0005-0000-0000-000083010000}"/>
    <cellStyle name="Note 161 5" xfId="387" xr:uid="{00000000-0005-0000-0000-000084010000}"/>
    <cellStyle name="Note 161 6" xfId="388" xr:uid="{00000000-0005-0000-0000-000085010000}"/>
    <cellStyle name="Note 162 2" xfId="389" xr:uid="{00000000-0005-0000-0000-000086010000}"/>
    <cellStyle name="Note 162 3" xfId="390" xr:uid="{00000000-0005-0000-0000-000087010000}"/>
    <cellStyle name="Note 162 4" xfId="391" xr:uid="{00000000-0005-0000-0000-000088010000}"/>
    <cellStyle name="Note 162 5" xfId="392" xr:uid="{00000000-0005-0000-0000-000089010000}"/>
    <cellStyle name="Note 162 6" xfId="393" xr:uid="{00000000-0005-0000-0000-00008A010000}"/>
    <cellStyle name="Note 163 2" xfId="394" xr:uid="{00000000-0005-0000-0000-00008B010000}"/>
    <cellStyle name="Note 163 3" xfId="395" xr:uid="{00000000-0005-0000-0000-00008C010000}"/>
    <cellStyle name="Note 163 4" xfId="396" xr:uid="{00000000-0005-0000-0000-00008D010000}"/>
    <cellStyle name="Note 163 5" xfId="397" xr:uid="{00000000-0005-0000-0000-00008E010000}"/>
    <cellStyle name="Note 163 6" xfId="398" xr:uid="{00000000-0005-0000-0000-00008F010000}"/>
    <cellStyle name="Note 164 2" xfId="399" xr:uid="{00000000-0005-0000-0000-000090010000}"/>
    <cellStyle name="Note 164 3" xfId="400" xr:uid="{00000000-0005-0000-0000-000091010000}"/>
    <cellStyle name="Note 164 4" xfId="401" xr:uid="{00000000-0005-0000-0000-000092010000}"/>
    <cellStyle name="Note 164 5" xfId="402" xr:uid="{00000000-0005-0000-0000-000093010000}"/>
    <cellStyle name="Note 164 6" xfId="403" xr:uid="{00000000-0005-0000-0000-000094010000}"/>
    <cellStyle name="Note 165 2" xfId="404" xr:uid="{00000000-0005-0000-0000-000095010000}"/>
    <cellStyle name="Note 165 3" xfId="405" xr:uid="{00000000-0005-0000-0000-000096010000}"/>
    <cellStyle name="Note 165 4" xfId="406" xr:uid="{00000000-0005-0000-0000-000097010000}"/>
    <cellStyle name="Note 165 5" xfId="407" xr:uid="{00000000-0005-0000-0000-000098010000}"/>
    <cellStyle name="Note 165 6" xfId="408" xr:uid="{00000000-0005-0000-0000-000099010000}"/>
    <cellStyle name="Note 166" xfId="409" xr:uid="{00000000-0005-0000-0000-00009A010000}"/>
    <cellStyle name="Note 167" xfId="410" xr:uid="{00000000-0005-0000-0000-00009B010000}"/>
    <cellStyle name="Note 168" xfId="411" xr:uid="{00000000-0005-0000-0000-00009C010000}"/>
    <cellStyle name="Note 168 2" xfId="412" xr:uid="{00000000-0005-0000-0000-00009D010000}"/>
    <cellStyle name="Note 169" xfId="413" xr:uid="{00000000-0005-0000-0000-00009E010000}"/>
    <cellStyle name="Note 17 2" xfId="414" xr:uid="{00000000-0005-0000-0000-00009F010000}"/>
    <cellStyle name="Note 17 3" xfId="415" xr:uid="{00000000-0005-0000-0000-0000A0010000}"/>
    <cellStyle name="Note 17 4" xfId="416" xr:uid="{00000000-0005-0000-0000-0000A1010000}"/>
    <cellStyle name="Note 17 5" xfId="417" xr:uid="{00000000-0005-0000-0000-0000A2010000}"/>
    <cellStyle name="Note 17 6" xfId="418" xr:uid="{00000000-0005-0000-0000-0000A3010000}"/>
    <cellStyle name="Note 170" xfId="419" xr:uid="{00000000-0005-0000-0000-0000A4010000}"/>
    <cellStyle name="Note 18 2" xfId="420" xr:uid="{00000000-0005-0000-0000-0000A5010000}"/>
    <cellStyle name="Note 18 3" xfId="421" xr:uid="{00000000-0005-0000-0000-0000A6010000}"/>
    <cellStyle name="Note 18 4" xfId="422" xr:uid="{00000000-0005-0000-0000-0000A7010000}"/>
    <cellStyle name="Note 18 5" xfId="423" xr:uid="{00000000-0005-0000-0000-0000A8010000}"/>
    <cellStyle name="Note 18 6" xfId="424" xr:uid="{00000000-0005-0000-0000-0000A9010000}"/>
    <cellStyle name="Note 19 2" xfId="425" xr:uid="{00000000-0005-0000-0000-0000AA010000}"/>
    <cellStyle name="Note 19 3" xfId="426" xr:uid="{00000000-0005-0000-0000-0000AB010000}"/>
    <cellStyle name="Note 19 4" xfId="427" xr:uid="{00000000-0005-0000-0000-0000AC010000}"/>
    <cellStyle name="Note 19 5" xfId="428" xr:uid="{00000000-0005-0000-0000-0000AD010000}"/>
    <cellStyle name="Note 19 6" xfId="429" xr:uid="{00000000-0005-0000-0000-0000AE010000}"/>
    <cellStyle name="Note 2 2" xfId="430" xr:uid="{00000000-0005-0000-0000-0000AF010000}"/>
    <cellStyle name="Note 2 3" xfId="431" xr:uid="{00000000-0005-0000-0000-0000B0010000}"/>
    <cellStyle name="Note 2 4" xfId="432" xr:uid="{00000000-0005-0000-0000-0000B1010000}"/>
    <cellStyle name="Note 2 5" xfId="433" xr:uid="{00000000-0005-0000-0000-0000B2010000}"/>
    <cellStyle name="Note 2 6" xfId="434" xr:uid="{00000000-0005-0000-0000-0000B3010000}"/>
    <cellStyle name="Note 20 2" xfId="435" xr:uid="{00000000-0005-0000-0000-0000B4010000}"/>
    <cellStyle name="Note 20 3" xfId="436" xr:uid="{00000000-0005-0000-0000-0000B5010000}"/>
    <cellStyle name="Note 20 4" xfId="437" xr:uid="{00000000-0005-0000-0000-0000B6010000}"/>
    <cellStyle name="Note 20 5" xfId="438" xr:uid="{00000000-0005-0000-0000-0000B7010000}"/>
    <cellStyle name="Note 20 6" xfId="439" xr:uid="{00000000-0005-0000-0000-0000B8010000}"/>
    <cellStyle name="Note 21 2" xfId="440" xr:uid="{00000000-0005-0000-0000-0000B9010000}"/>
    <cellStyle name="Note 21 3" xfId="441" xr:uid="{00000000-0005-0000-0000-0000BA010000}"/>
    <cellStyle name="Note 21 4" xfId="442" xr:uid="{00000000-0005-0000-0000-0000BB010000}"/>
    <cellStyle name="Note 21 5" xfId="443" xr:uid="{00000000-0005-0000-0000-0000BC010000}"/>
    <cellStyle name="Note 21 6" xfId="444" xr:uid="{00000000-0005-0000-0000-0000BD010000}"/>
    <cellStyle name="Note 22 2" xfId="445" xr:uid="{00000000-0005-0000-0000-0000BE010000}"/>
    <cellStyle name="Note 22 3" xfId="446" xr:uid="{00000000-0005-0000-0000-0000BF010000}"/>
    <cellStyle name="Note 22 4" xfId="447" xr:uid="{00000000-0005-0000-0000-0000C0010000}"/>
    <cellStyle name="Note 22 5" xfId="448" xr:uid="{00000000-0005-0000-0000-0000C1010000}"/>
    <cellStyle name="Note 22 6" xfId="449" xr:uid="{00000000-0005-0000-0000-0000C2010000}"/>
    <cellStyle name="Note 23 2" xfId="450" xr:uid="{00000000-0005-0000-0000-0000C3010000}"/>
    <cellStyle name="Note 23 3" xfId="451" xr:uid="{00000000-0005-0000-0000-0000C4010000}"/>
    <cellStyle name="Note 23 4" xfId="452" xr:uid="{00000000-0005-0000-0000-0000C5010000}"/>
    <cellStyle name="Note 23 5" xfId="453" xr:uid="{00000000-0005-0000-0000-0000C6010000}"/>
    <cellStyle name="Note 23 6" xfId="454" xr:uid="{00000000-0005-0000-0000-0000C7010000}"/>
    <cellStyle name="Note 24 2" xfId="455" xr:uid="{00000000-0005-0000-0000-0000C8010000}"/>
    <cellStyle name="Note 24 3" xfId="456" xr:uid="{00000000-0005-0000-0000-0000C9010000}"/>
    <cellStyle name="Note 24 4" xfId="457" xr:uid="{00000000-0005-0000-0000-0000CA010000}"/>
    <cellStyle name="Note 24 5" xfId="458" xr:uid="{00000000-0005-0000-0000-0000CB010000}"/>
    <cellStyle name="Note 24 6" xfId="459" xr:uid="{00000000-0005-0000-0000-0000CC010000}"/>
    <cellStyle name="Note 25 2" xfId="460" xr:uid="{00000000-0005-0000-0000-0000CD010000}"/>
    <cellStyle name="Note 25 3" xfId="461" xr:uid="{00000000-0005-0000-0000-0000CE010000}"/>
    <cellStyle name="Note 25 4" xfId="462" xr:uid="{00000000-0005-0000-0000-0000CF010000}"/>
    <cellStyle name="Note 25 5" xfId="463" xr:uid="{00000000-0005-0000-0000-0000D0010000}"/>
    <cellStyle name="Note 25 6" xfId="464" xr:uid="{00000000-0005-0000-0000-0000D1010000}"/>
    <cellStyle name="Note 26 2" xfId="465" xr:uid="{00000000-0005-0000-0000-0000D2010000}"/>
    <cellStyle name="Note 26 3" xfId="466" xr:uid="{00000000-0005-0000-0000-0000D3010000}"/>
    <cellStyle name="Note 26 4" xfId="467" xr:uid="{00000000-0005-0000-0000-0000D4010000}"/>
    <cellStyle name="Note 26 5" xfId="468" xr:uid="{00000000-0005-0000-0000-0000D5010000}"/>
    <cellStyle name="Note 26 6" xfId="469" xr:uid="{00000000-0005-0000-0000-0000D6010000}"/>
    <cellStyle name="Note 27 2" xfId="470" xr:uid="{00000000-0005-0000-0000-0000D7010000}"/>
    <cellStyle name="Note 27 3" xfId="471" xr:uid="{00000000-0005-0000-0000-0000D8010000}"/>
    <cellStyle name="Note 27 4" xfId="472" xr:uid="{00000000-0005-0000-0000-0000D9010000}"/>
    <cellStyle name="Note 27 5" xfId="473" xr:uid="{00000000-0005-0000-0000-0000DA010000}"/>
    <cellStyle name="Note 27 6" xfId="474" xr:uid="{00000000-0005-0000-0000-0000DB010000}"/>
    <cellStyle name="Note 28 2" xfId="475" xr:uid="{00000000-0005-0000-0000-0000DC010000}"/>
    <cellStyle name="Note 28 3" xfId="476" xr:uid="{00000000-0005-0000-0000-0000DD010000}"/>
    <cellStyle name="Note 28 4" xfId="477" xr:uid="{00000000-0005-0000-0000-0000DE010000}"/>
    <cellStyle name="Note 28 5" xfId="478" xr:uid="{00000000-0005-0000-0000-0000DF010000}"/>
    <cellStyle name="Note 28 6" xfId="479" xr:uid="{00000000-0005-0000-0000-0000E0010000}"/>
    <cellStyle name="Note 29 2" xfId="480" xr:uid="{00000000-0005-0000-0000-0000E1010000}"/>
    <cellStyle name="Note 29 3" xfId="481" xr:uid="{00000000-0005-0000-0000-0000E2010000}"/>
    <cellStyle name="Note 29 4" xfId="482" xr:uid="{00000000-0005-0000-0000-0000E3010000}"/>
    <cellStyle name="Note 29 5" xfId="483" xr:uid="{00000000-0005-0000-0000-0000E4010000}"/>
    <cellStyle name="Note 29 6" xfId="484" xr:uid="{00000000-0005-0000-0000-0000E5010000}"/>
    <cellStyle name="Note 3 2" xfId="485" xr:uid="{00000000-0005-0000-0000-0000E6010000}"/>
    <cellStyle name="Note 3 3" xfId="486" xr:uid="{00000000-0005-0000-0000-0000E7010000}"/>
    <cellStyle name="Note 3 4" xfId="487" xr:uid="{00000000-0005-0000-0000-0000E8010000}"/>
    <cellStyle name="Note 3 5" xfId="488" xr:uid="{00000000-0005-0000-0000-0000E9010000}"/>
    <cellStyle name="Note 3 6" xfId="489" xr:uid="{00000000-0005-0000-0000-0000EA010000}"/>
    <cellStyle name="Note 30 2" xfId="490" xr:uid="{00000000-0005-0000-0000-0000EB010000}"/>
    <cellStyle name="Note 30 3" xfId="491" xr:uid="{00000000-0005-0000-0000-0000EC010000}"/>
    <cellStyle name="Note 30 4" xfId="492" xr:uid="{00000000-0005-0000-0000-0000ED010000}"/>
    <cellStyle name="Note 30 5" xfId="493" xr:uid="{00000000-0005-0000-0000-0000EE010000}"/>
    <cellStyle name="Note 30 6" xfId="494" xr:uid="{00000000-0005-0000-0000-0000EF010000}"/>
    <cellStyle name="Note 31 2" xfId="495" xr:uid="{00000000-0005-0000-0000-0000F0010000}"/>
    <cellStyle name="Note 31 3" xfId="496" xr:uid="{00000000-0005-0000-0000-0000F1010000}"/>
    <cellStyle name="Note 31 4" xfId="497" xr:uid="{00000000-0005-0000-0000-0000F2010000}"/>
    <cellStyle name="Note 31 5" xfId="498" xr:uid="{00000000-0005-0000-0000-0000F3010000}"/>
    <cellStyle name="Note 31 6" xfId="499" xr:uid="{00000000-0005-0000-0000-0000F4010000}"/>
    <cellStyle name="Note 32 2" xfId="500" xr:uid="{00000000-0005-0000-0000-0000F5010000}"/>
    <cellStyle name="Note 32 3" xfId="501" xr:uid="{00000000-0005-0000-0000-0000F6010000}"/>
    <cellStyle name="Note 32 4" xfId="502" xr:uid="{00000000-0005-0000-0000-0000F7010000}"/>
    <cellStyle name="Note 32 5" xfId="503" xr:uid="{00000000-0005-0000-0000-0000F8010000}"/>
    <cellStyle name="Note 32 6" xfId="504" xr:uid="{00000000-0005-0000-0000-0000F9010000}"/>
    <cellStyle name="Note 33 2" xfId="505" xr:uid="{00000000-0005-0000-0000-0000FA010000}"/>
    <cellStyle name="Note 33 3" xfId="506" xr:uid="{00000000-0005-0000-0000-0000FB010000}"/>
    <cellStyle name="Note 33 4" xfId="507" xr:uid="{00000000-0005-0000-0000-0000FC010000}"/>
    <cellStyle name="Note 33 5" xfId="508" xr:uid="{00000000-0005-0000-0000-0000FD010000}"/>
    <cellStyle name="Note 33 6" xfId="509" xr:uid="{00000000-0005-0000-0000-0000FE010000}"/>
    <cellStyle name="Note 34 2" xfId="510" xr:uid="{00000000-0005-0000-0000-0000FF010000}"/>
    <cellStyle name="Note 34 3" xfId="511" xr:uid="{00000000-0005-0000-0000-000000020000}"/>
    <cellStyle name="Note 34 4" xfId="512" xr:uid="{00000000-0005-0000-0000-000001020000}"/>
    <cellStyle name="Note 34 5" xfId="513" xr:uid="{00000000-0005-0000-0000-000002020000}"/>
    <cellStyle name="Note 34 6" xfId="514" xr:uid="{00000000-0005-0000-0000-000003020000}"/>
    <cellStyle name="Note 35 2" xfId="515" xr:uid="{00000000-0005-0000-0000-000004020000}"/>
    <cellStyle name="Note 35 3" xfId="516" xr:uid="{00000000-0005-0000-0000-000005020000}"/>
    <cellStyle name="Note 35 4" xfId="517" xr:uid="{00000000-0005-0000-0000-000006020000}"/>
    <cellStyle name="Note 35 5" xfId="518" xr:uid="{00000000-0005-0000-0000-000007020000}"/>
    <cellStyle name="Note 35 6" xfId="519" xr:uid="{00000000-0005-0000-0000-000008020000}"/>
    <cellStyle name="Note 35 7" xfId="520" xr:uid="{00000000-0005-0000-0000-000009020000}"/>
    <cellStyle name="Note 35 8" xfId="521" xr:uid="{00000000-0005-0000-0000-00000A020000}"/>
    <cellStyle name="Note 36 2" xfId="522" xr:uid="{00000000-0005-0000-0000-00000B020000}"/>
    <cellStyle name="Note 36 3" xfId="523" xr:uid="{00000000-0005-0000-0000-00000C020000}"/>
    <cellStyle name="Note 36 4" xfId="524" xr:uid="{00000000-0005-0000-0000-00000D020000}"/>
    <cellStyle name="Note 36 5" xfId="525" xr:uid="{00000000-0005-0000-0000-00000E020000}"/>
    <cellStyle name="Note 36 6" xfId="526" xr:uid="{00000000-0005-0000-0000-00000F020000}"/>
    <cellStyle name="Note 37 2" xfId="527" xr:uid="{00000000-0005-0000-0000-000010020000}"/>
    <cellStyle name="Note 37 3" xfId="528" xr:uid="{00000000-0005-0000-0000-000011020000}"/>
    <cellStyle name="Note 37 4" xfId="529" xr:uid="{00000000-0005-0000-0000-000012020000}"/>
    <cellStyle name="Note 37 5" xfId="530" xr:uid="{00000000-0005-0000-0000-000013020000}"/>
    <cellStyle name="Note 37 6" xfId="531" xr:uid="{00000000-0005-0000-0000-000014020000}"/>
    <cellStyle name="Note 38 2" xfId="532" xr:uid="{00000000-0005-0000-0000-000015020000}"/>
    <cellStyle name="Note 38 3" xfId="533" xr:uid="{00000000-0005-0000-0000-000016020000}"/>
    <cellStyle name="Note 38 4" xfId="534" xr:uid="{00000000-0005-0000-0000-000017020000}"/>
    <cellStyle name="Note 38 5" xfId="535" xr:uid="{00000000-0005-0000-0000-000018020000}"/>
    <cellStyle name="Note 38 6" xfId="536" xr:uid="{00000000-0005-0000-0000-000019020000}"/>
    <cellStyle name="Note 39 2" xfId="537" xr:uid="{00000000-0005-0000-0000-00001A020000}"/>
    <cellStyle name="Note 39 3" xfId="538" xr:uid="{00000000-0005-0000-0000-00001B020000}"/>
    <cellStyle name="Note 39 4" xfId="539" xr:uid="{00000000-0005-0000-0000-00001C020000}"/>
    <cellStyle name="Note 39 5" xfId="540" xr:uid="{00000000-0005-0000-0000-00001D020000}"/>
    <cellStyle name="Note 39 6" xfId="541" xr:uid="{00000000-0005-0000-0000-00001E020000}"/>
    <cellStyle name="Note 4 2" xfId="542" xr:uid="{00000000-0005-0000-0000-00001F020000}"/>
    <cellStyle name="Note 4 3" xfId="543" xr:uid="{00000000-0005-0000-0000-000020020000}"/>
    <cellStyle name="Note 4 4" xfId="544" xr:uid="{00000000-0005-0000-0000-000021020000}"/>
    <cellStyle name="Note 4 5" xfId="545" xr:uid="{00000000-0005-0000-0000-000022020000}"/>
    <cellStyle name="Note 4 6" xfId="546" xr:uid="{00000000-0005-0000-0000-000023020000}"/>
    <cellStyle name="Note 40 2" xfId="547" xr:uid="{00000000-0005-0000-0000-000024020000}"/>
    <cellStyle name="Note 40 3" xfId="548" xr:uid="{00000000-0005-0000-0000-000025020000}"/>
    <cellStyle name="Note 40 4" xfId="549" xr:uid="{00000000-0005-0000-0000-000026020000}"/>
    <cellStyle name="Note 40 5" xfId="550" xr:uid="{00000000-0005-0000-0000-000027020000}"/>
    <cellStyle name="Note 40 6" xfId="551" xr:uid="{00000000-0005-0000-0000-000028020000}"/>
    <cellStyle name="Note 41 2" xfId="552" xr:uid="{00000000-0005-0000-0000-000029020000}"/>
    <cellStyle name="Note 41 3" xfId="553" xr:uid="{00000000-0005-0000-0000-00002A020000}"/>
    <cellStyle name="Note 41 4" xfId="554" xr:uid="{00000000-0005-0000-0000-00002B020000}"/>
    <cellStyle name="Note 41 5" xfId="555" xr:uid="{00000000-0005-0000-0000-00002C020000}"/>
    <cellStyle name="Note 41 6" xfId="556" xr:uid="{00000000-0005-0000-0000-00002D020000}"/>
    <cellStyle name="Note 42 2" xfId="557" xr:uid="{00000000-0005-0000-0000-00002E020000}"/>
    <cellStyle name="Note 42 3" xfId="558" xr:uid="{00000000-0005-0000-0000-00002F020000}"/>
    <cellStyle name="Note 42 4" xfId="559" xr:uid="{00000000-0005-0000-0000-000030020000}"/>
    <cellStyle name="Note 42 5" xfId="560" xr:uid="{00000000-0005-0000-0000-000031020000}"/>
    <cellStyle name="Note 42 6" xfId="561" xr:uid="{00000000-0005-0000-0000-000032020000}"/>
    <cellStyle name="Note 43 2" xfId="562" xr:uid="{00000000-0005-0000-0000-000033020000}"/>
    <cellStyle name="Note 43 3" xfId="563" xr:uid="{00000000-0005-0000-0000-000034020000}"/>
    <cellStyle name="Note 43 4" xfId="564" xr:uid="{00000000-0005-0000-0000-000035020000}"/>
    <cellStyle name="Note 43 5" xfId="565" xr:uid="{00000000-0005-0000-0000-000036020000}"/>
    <cellStyle name="Note 43 6" xfId="566" xr:uid="{00000000-0005-0000-0000-000037020000}"/>
    <cellStyle name="Note 44 2" xfId="567" xr:uid="{00000000-0005-0000-0000-000038020000}"/>
    <cellStyle name="Note 44 3" xfId="568" xr:uid="{00000000-0005-0000-0000-000039020000}"/>
    <cellStyle name="Note 44 4" xfId="569" xr:uid="{00000000-0005-0000-0000-00003A020000}"/>
    <cellStyle name="Note 44 5" xfId="570" xr:uid="{00000000-0005-0000-0000-00003B020000}"/>
    <cellStyle name="Note 44 6" xfId="571" xr:uid="{00000000-0005-0000-0000-00003C020000}"/>
    <cellStyle name="Note 45 2" xfId="572" xr:uid="{00000000-0005-0000-0000-00003D020000}"/>
    <cellStyle name="Note 45 3" xfId="573" xr:uid="{00000000-0005-0000-0000-00003E020000}"/>
    <cellStyle name="Note 45 4" xfId="574" xr:uid="{00000000-0005-0000-0000-00003F020000}"/>
    <cellStyle name="Note 45 5" xfId="575" xr:uid="{00000000-0005-0000-0000-000040020000}"/>
    <cellStyle name="Note 45 6" xfId="576" xr:uid="{00000000-0005-0000-0000-000041020000}"/>
    <cellStyle name="Note 46 2" xfId="577" xr:uid="{00000000-0005-0000-0000-000042020000}"/>
    <cellStyle name="Note 46 3" xfId="578" xr:uid="{00000000-0005-0000-0000-000043020000}"/>
    <cellStyle name="Note 46 4" xfId="579" xr:uid="{00000000-0005-0000-0000-000044020000}"/>
    <cellStyle name="Note 46 5" xfId="580" xr:uid="{00000000-0005-0000-0000-000045020000}"/>
    <cellStyle name="Note 46 6" xfId="581" xr:uid="{00000000-0005-0000-0000-000046020000}"/>
    <cellStyle name="Note 47 2" xfId="582" xr:uid="{00000000-0005-0000-0000-000047020000}"/>
    <cellStyle name="Note 47 3" xfId="583" xr:uid="{00000000-0005-0000-0000-000048020000}"/>
    <cellStyle name="Note 47 4" xfId="584" xr:uid="{00000000-0005-0000-0000-000049020000}"/>
    <cellStyle name="Note 47 5" xfId="585" xr:uid="{00000000-0005-0000-0000-00004A020000}"/>
    <cellStyle name="Note 47 6" xfId="586" xr:uid="{00000000-0005-0000-0000-00004B020000}"/>
    <cellStyle name="Note 48 2" xfId="587" xr:uid="{00000000-0005-0000-0000-00004C020000}"/>
    <cellStyle name="Note 48 3" xfId="588" xr:uid="{00000000-0005-0000-0000-00004D020000}"/>
    <cellStyle name="Note 48 4" xfId="589" xr:uid="{00000000-0005-0000-0000-00004E020000}"/>
    <cellStyle name="Note 48 5" xfId="590" xr:uid="{00000000-0005-0000-0000-00004F020000}"/>
    <cellStyle name="Note 48 6" xfId="591" xr:uid="{00000000-0005-0000-0000-000050020000}"/>
    <cellStyle name="Note 49 2" xfId="592" xr:uid="{00000000-0005-0000-0000-000051020000}"/>
    <cellStyle name="Note 49 3" xfId="593" xr:uid="{00000000-0005-0000-0000-000052020000}"/>
    <cellStyle name="Note 49 4" xfId="594" xr:uid="{00000000-0005-0000-0000-000053020000}"/>
    <cellStyle name="Note 49 5" xfId="595" xr:uid="{00000000-0005-0000-0000-000054020000}"/>
    <cellStyle name="Note 49 6" xfId="596" xr:uid="{00000000-0005-0000-0000-000055020000}"/>
    <cellStyle name="Note 5 2" xfId="597" xr:uid="{00000000-0005-0000-0000-000056020000}"/>
    <cellStyle name="Note 5 3" xfId="598" xr:uid="{00000000-0005-0000-0000-000057020000}"/>
    <cellStyle name="Note 5 4" xfId="599" xr:uid="{00000000-0005-0000-0000-000058020000}"/>
    <cellStyle name="Note 5 5" xfId="600" xr:uid="{00000000-0005-0000-0000-000059020000}"/>
    <cellStyle name="Note 5 6" xfId="601" xr:uid="{00000000-0005-0000-0000-00005A020000}"/>
    <cellStyle name="Note 50 2" xfId="602" xr:uid="{00000000-0005-0000-0000-00005B020000}"/>
    <cellStyle name="Note 50 3" xfId="603" xr:uid="{00000000-0005-0000-0000-00005C020000}"/>
    <cellStyle name="Note 50 4" xfId="604" xr:uid="{00000000-0005-0000-0000-00005D020000}"/>
    <cellStyle name="Note 50 5" xfId="605" xr:uid="{00000000-0005-0000-0000-00005E020000}"/>
    <cellStyle name="Note 50 6" xfId="606" xr:uid="{00000000-0005-0000-0000-00005F020000}"/>
    <cellStyle name="Note 51 2" xfId="607" xr:uid="{00000000-0005-0000-0000-000060020000}"/>
    <cellStyle name="Note 51 3" xfId="608" xr:uid="{00000000-0005-0000-0000-000061020000}"/>
    <cellStyle name="Note 51 4" xfId="609" xr:uid="{00000000-0005-0000-0000-000062020000}"/>
    <cellStyle name="Note 51 5" xfId="610" xr:uid="{00000000-0005-0000-0000-000063020000}"/>
    <cellStyle name="Note 51 6" xfId="611" xr:uid="{00000000-0005-0000-0000-000064020000}"/>
    <cellStyle name="Note 52 2" xfId="612" xr:uid="{00000000-0005-0000-0000-000065020000}"/>
    <cellStyle name="Note 52 3" xfId="613" xr:uid="{00000000-0005-0000-0000-000066020000}"/>
    <cellStyle name="Note 52 4" xfId="614" xr:uid="{00000000-0005-0000-0000-000067020000}"/>
    <cellStyle name="Note 52 5" xfId="615" xr:uid="{00000000-0005-0000-0000-000068020000}"/>
    <cellStyle name="Note 52 6" xfId="616" xr:uid="{00000000-0005-0000-0000-000069020000}"/>
    <cellStyle name="Note 53 2" xfId="617" xr:uid="{00000000-0005-0000-0000-00006A020000}"/>
    <cellStyle name="Note 53 3" xfId="618" xr:uid="{00000000-0005-0000-0000-00006B020000}"/>
    <cellStyle name="Note 53 4" xfId="619" xr:uid="{00000000-0005-0000-0000-00006C020000}"/>
    <cellStyle name="Note 53 5" xfId="620" xr:uid="{00000000-0005-0000-0000-00006D020000}"/>
    <cellStyle name="Note 53 6" xfId="621" xr:uid="{00000000-0005-0000-0000-00006E020000}"/>
    <cellStyle name="Note 54 2" xfId="622" xr:uid="{00000000-0005-0000-0000-00006F020000}"/>
    <cellStyle name="Note 54 3" xfId="623" xr:uid="{00000000-0005-0000-0000-000070020000}"/>
    <cellStyle name="Note 54 4" xfId="624" xr:uid="{00000000-0005-0000-0000-000071020000}"/>
    <cellStyle name="Note 54 5" xfId="625" xr:uid="{00000000-0005-0000-0000-000072020000}"/>
    <cellStyle name="Note 54 6" xfId="626" xr:uid="{00000000-0005-0000-0000-000073020000}"/>
    <cellStyle name="Note 55 2" xfId="627" xr:uid="{00000000-0005-0000-0000-000074020000}"/>
    <cellStyle name="Note 55 3" xfId="628" xr:uid="{00000000-0005-0000-0000-000075020000}"/>
    <cellStyle name="Note 55 4" xfId="629" xr:uid="{00000000-0005-0000-0000-000076020000}"/>
    <cellStyle name="Note 55 5" xfId="630" xr:uid="{00000000-0005-0000-0000-000077020000}"/>
    <cellStyle name="Note 55 6" xfId="631" xr:uid="{00000000-0005-0000-0000-000078020000}"/>
    <cellStyle name="Note 56 2" xfId="632" xr:uid="{00000000-0005-0000-0000-000079020000}"/>
    <cellStyle name="Note 56 3" xfId="633" xr:uid="{00000000-0005-0000-0000-00007A020000}"/>
    <cellStyle name="Note 56 4" xfId="634" xr:uid="{00000000-0005-0000-0000-00007B020000}"/>
    <cellStyle name="Note 56 5" xfId="635" xr:uid="{00000000-0005-0000-0000-00007C020000}"/>
    <cellStyle name="Note 56 6" xfId="636" xr:uid="{00000000-0005-0000-0000-00007D020000}"/>
    <cellStyle name="Note 57 2" xfId="637" xr:uid="{00000000-0005-0000-0000-00007E020000}"/>
    <cellStyle name="Note 57 3" xfId="638" xr:uid="{00000000-0005-0000-0000-00007F020000}"/>
    <cellStyle name="Note 57 4" xfId="639" xr:uid="{00000000-0005-0000-0000-000080020000}"/>
    <cellStyle name="Note 57 5" xfId="640" xr:uid="{00000000-0005-0000-0000-000081020000}"/>
    <cellStyle name="Note 57 6" xfId="641" xr:uid="{00000000-0005-0000-0000-000082020000}"/>
    <cellStyle name="Note 58 2" xfId="642" xr:uid="{00000000-0005-0000-0000-000083020000}"/>
    <cellStyle name="Note 58 3" xfId="643" xr:uid="{00000000-0005-0000-0000-000084020000}"/>
    <cellStyle name="Note 58 4" xfId="644" xr:uid="{00000000-0005-0000-0000-000085020000}"/>
    <cellStyle name="Note 58 5" xfId="645" xr:uid="{00000000-0005-0000-0000-000086020000}"/>
    <cellStyle name="Note 58 6" xfId="646" xr:uid="{00000000-0005-0000-0000-000087020000}"/>
    <cellStyle name="Note 59 2" xfId="647" xr:uid="{00000000-0005-0000-0000-000088020000}"/>
    <cellStyle name="Note 59 3" xfId="648" xr:uid="{00000000-0005-0000-0000-000089020000}"/>
    <cellStyle name="Note 59 4" xfId="649" xr:uid="{00000000-0005-0000-0000-00008A020000}"/>
    <cellStyle name="Note 59 5" xfId="650" xr:uid="{00000000-0005-0000-0000-00008B020000}"/>
    <cellStyle name="Note 59 6" xfId="651" xr:uid="{00000000-0005-0000-0000-00008C020000}"/>
    <cellStyle name="Note 6 2" xfId="652" xr:uid="{00000000-0005-0000-0000-00008D020000}"/>
    <cellStyle name="Note 6 3" xfId="653" xr:uid="{00000000-0005-0000-0000-00008E020000}"/>
    <cellStyle name="Note 6 4" xfId="654" xr:uid="{00000000-0005-0000-0000-00008F020000}"/>
    <cellStyle name="Note 6 5" xfId="655" xr:uid="{00000000-0005-0000-0000-000090020000}"/>
    <cellStyle name="Note 6 6" xfId="656" xr:uid="{00000000-0005-0000-0000-000091020000}"/>
    <cellStyle name="Note 60 2" xfId="657" xr:uid="{00000000-0005-0000-0000-000092020000}"/>
    <cellStyle name="Note 60 3" xfId="658" xr:uid="{00000000-0005-0000-0000-000093020000}"/>
    <cellStyle name="Note 60 4" xfId="659" xr:uid="{00000000-0005-0000-0000-000094020000}"/>
    <cellStyle name="Note 60 5" xfId="660" xr:uid="{00000000-0005-0000-0000-000095020000}"/>
    <cellStyle name="Note 60 6" xfId="661" xr:uid="{00000000-0005-0000-0000-000096020000}"/>
    <cellStyle name="Note 61 2" xfId="662" xr:uid="{00000000-0005-0000-0000-000097020000}"/>
    <cellStyle name="Note 61 3" xfId="663" xr:uid="{00000000-0005-0000-0000-000098020000}"/>
    <cellStyle name="Note 61 4" xfId="664" xr:uid="{00000000-0005-0000-0000-000099020000}"/>
    <cellStyle name="Note 61 5" xfId="665" xr:uid="{00000000-0005-0000-0000-00009A020000}"/>
    <cellStyle name="Note 61 6" xfId="666" xr:uid="{00000000-0005-0000-0000-00009B020000}"/>
    <cellStyle name="Note 62 2" xfId="667" xr:uid="{00000000-0005-0000-0000-00009C020000}"/>
    <cellStyle name="Note 62 3" xfId="668" xr:uid="{00000000-0005-0000-0000-00009D020000}"/>
    <cellStyle name="Note 62 4" xfId="669" xr:uid="{00000000-0005-0000-0000-00009E020000}"/>
    <cellStyle name="Note 62 5" xfId="670" xr:uid="{00000000-0005-0000-0000-00009F020000}"/>
    <cellStyle name="Note 62 6" xfId="671" xr:uid="{00000000-0005-0000-0000-0000A0020000}"/>
    <cellStyle name="Note 63 2" xfId="672" xr:uid="{00000000-0005-0000-0000-0000A1020000}"/>
    <cellStyle name="Note 63 3" xfId="673" xr:uid="{00000000-0005-0000-0000-0000A2020000}"/>
    <cellStyle name="Note 63 4" xfId="674" xr:uid="{00000000-0005-0000-0000-0000A3020000}"/>
    <cellStyle name="Note 63 5" xfId="675" xr:uid="{00000000-0005-0000-0000-0000A4020000}"/>
    <cellStyle name="Note 63 6" xfId="676" xr:uid="{00000000-0005-0000-0000-0000A5020000}"/>
    <cellStyle name="Note 64 2" xfId="677" xr:uid="{00000000-0005-0000-0000-0000A6020000}"/>
    <cellStyle name="Note 64 3" xfId="678" xr:uid="{00000000-0005-0000-0000-0000A7020000}"/>
    <cellStyle name="Note 64 4" xfId="679" xr:uid="{00000000-0005-0000-0000-0000A8020000}"/>
    <cellStyle name="Note 64 5" xfId="680" xr:uid="{00000000-0005-0000-0000-0000A9020000}"/>
    <cellStyle name="Note 64 6" xfId="681" xr:uid="{00000000-0005-0000-0000-0000AA020000}"/>
    <cellStyle name="Note 65 2" xfId="682" xr:uid="{00000000-0005-0000-0000-0000AB020000}"/>
    <cellStyle name="Note 65 3" xfId="683" xr:uid="{00000000-0005-0000-0000-0000AC020000}"/>
    <cellStyle name="Note 65 4" xfId="684" xr:uid="{00000000-0005-0000-0000-0000AD020000}"/>
    <cellStyle name="Note 65 5" xfId="685" xr:uid="{00000000-0005-0000-0000-0000AE020000}"/>
    <cellStyle name="Note 65 6" xfId="686" xr:uid="{00000000-0005-0000-0000-0000AF020000}"/>
    <cellStyle name="Note 66 2" xfId="687" xr:uid="{00000000-0005-0000-0000-0000B0020000}"/>
    <cellStyle name="Note 66 3" xfId="688" xr:uid="{00000000-0005-0000-0000-0000B1020000}"/>
    <cellStyle name="Note 66 4" xfId="689" xr:uid="{00000000-0005-0000-0000-0000B2020000}"/>
    <cellStyle name="Note 66 5" xfId="690" xr:uid="{00000000-0005-0000-0000-0000B3020000}"/>
    <cellStyle name="Note 66 6" xfId="691" xr:uid="{00000000-0005-0000-0000-0000B4020000}"/>
    <cellStyle name="Note 67 2" xfId="692" xr:uid="{00000000-0005-0000-0000-0000B5020000}"/>
    <cellStyle name="Note 67 3" xfId="693" xr:uid="{00000000-0005-0000-0000-0000B6020000}"/>
    <cellStyle name="Note 67 4" xfId="694" xr:uid="{00000000-0005-0000-0000-0000B7020000}"/>
    <cellStyle name="Note 67 5" xfId="695" xr:uid="{00000000-0005-0000-0000-0000B8020000}"/>
    <cellStyle name="Note 67 6" xfId="696" xr:uid="{00000000-0005-0000-0000-0000B9020000}"/>
    <cellStyle name="Note 68 2" xfId="697" xr:uid="{00000000-0005-0000-0000-0000BA020000}"/>
    <cellStyle name="Note 68 3" xfId="698" xr:uid="{00000000-0005-0000-0000-0000BB020000}"/>
    <cellStyle name="Note 68 4" xfId="699" xr:uid="{00000000-0005-0000-0000-0000BC020000}"/>
    <cellStyle name="Note 68 5" xfId="700" xr:uid="{00000000-0005-0000-0000-0000BD020000}"/>
    <cellStyle name="Note 68 6" xfId="701" xr:uid="{00000000-0005-0000-0000-0000BE020000}"/>
    <cellStyle name="Note 69 2" xfId="702" xr:uid="{00000000-0005-0000-0000-0000BF020000}"/>
    <cellStyle name="Note 69 3" xfId="703" xr:uid="{00000000-0005-0000-0000-0000C0020000}"/>
    <cellStyle name="Note 69 4" xfId="704" xr:uid="{00000000-0005-0000-0000-0000C1020000}"/>
    <cellStyle name="Note 69 5" xfId="705" xr:uid="{00000000-0005-0000-0000-0000C2020000}"/>
    <cellStyle name="Note 69 6" xfId="706" xr:uid="{00000000-0005-0000-0000-0000C3020000}"/>
    <cellStyle name="Note 7 2" xfId="707" xr:uid="{00000000-0005-0000-0000-0000C4020000}"/>
    <cellStyle name="Note 7 3" xfId="708" xr:uid="{00000000-0005-0000-0000-0000C5020000}"/>
    <cellStyle name="Note 7 4" xfId="709" xr:uid="{00000000-0005-0000-0000-0000C6020000}"/>
    <cellStyle name="Note 7 5" xfId="710" xr:uid="{00000000-0005-0000-0000-0000C7020000}"/>
    <cellStyle name="Note 7 6" xfId="711" xr:uid="{00000000-0005-0000-0000-0000C8020000}"/>
    <cellStyle name="Note 70 2" xfId="712" xr:uid="{00000000-0005-0000-0000-0000C9020000}"/>
    <cellStyle name="Note 70 3" xfId="713" xr:uid="{00000000-0005-0000-0000-0000CA020000}"/>
    <cellStyle name="Note 70 4" xfId="714" xr:uid="{00000000-0005-0000-0000-0000CB020000}"/>
    <cellStyle name="Note 70 5" xfId="715" xr:uid="{00000000-0005-0000-0000-0000CC020000}"/>
    <cellStyle name="Note 70 6" xfId="716" xr:uid="{00000000-0005-0000-0000-0000CD020000}"/>
    <cellStyle name="Note 71 2" xfId="717" xr:uid="{00000000-0005-0000-0000-0000CE020000}"/>
    <cellStyle name="Note 71 3" xfId="718" xr:uid="{00000000-0005-0000-0000-0000CF020000}"/>
    <cellStyle name="Note 71 4" xfId="719" xr:uid="{00000000-0005-0000-0000-0000D0020000}"/>
    <cellStyle name="Note 71 5" xfId="720" xr:uid="{00000000-0005-0000-0000-0000D1020000}"/>
    <cellStyle name="Note 71 6" xfId="721" xr:uid="{00000000-0005-0000-0000-0000D2020000}"/>
    <cellStyle name="Note 72 2" xfId="722" xr:uid="{00000000-0005-0000-0000-0000D3020000}"/>
    <cellStyle name="Note 72 3" xfId="723" xr:uid="{00000000-0005-0000-0000-0000D4020000}"/>
    <cellStyle name="Note 72 4" xfId="724" xr:uid="{00000000-0005-0000-0000-0000D5020000}"/>
    <cellStyle name="Note 72 5" xfId="725" xr:uid="{00000000-0005-0000-0000-0000D6020000}"/>
    <cellStyle name="Note 72 6" xfId="726" xr:uid="{00000000-0005-0000-0000-0000D7020000}"/>
    <cellStyle name="Note 73 2" xfId="727" xr:uid="{00000000-0005-0000-0000-0000D8020000}"/>
    <cellStyle name="Note 73 3" xfId="728" xr:uid="{00000000-0005-0000-0000-0000D9020000}"/>
    <cellStyle name="Note 73 4" xfId="729" xr:uid="{00000000-0005-0000-0000-0000DA020000}"/>
    <cellStyle name="Note 73 5" xfId="730" xr:uid="{00000000-0005-0000-0000-0000DB020000}"/>
    <cellStyle name="Note 73 6" xfId="731" xr:uid="{00000000-0005-0000-0000-0000DC020000}"/>
    <cellStyle name="Note 74 2" xfId="732" xr:uid="{00000000-0005-0000-0000-0000DD020000}"/>
    <cellStyle name="Note 74 3" xfId="733" xr:uid="{00000000-0005-0000-0000-0000DE020000}"/>
    <cellStyle name="Note 74 4" xfId="734" xr:uid="{00000000-0005-0000-0000-0000DF020000}"/>
    <cellStyle name="Note 74 5" xfId="735" xr:uid="{00000000-0005-0000-0000-0000E0020000}"/>
    <cellStyle name="Note 74 6" xfId="736" xr:uid="{00000000-0005-0000-0000-0000E1020000}"/>
    <cellStyle name="Note 75 2" xfId="737" xr:uid="{00000000-0005-0000-0000-0000E2020000}"/>
    <cellStyle name="Note 75 3" xfId="738" xr:uid="{00000000-0005-0000-0000-0000E3020000}"/>
    <cellStyle name="Note 75 4" xfId="739" xr:uid="{00000000-0005-0000-0000-0000E4020000}"/>
    <cellStyle name="Note 75 5" xfId="740" xr:uid="{00000000-0005-0000-0000-0000E5020000}"/>
    <cellStyle name="Note 75 6" xfId="741" xr:uid="{00000000-0005-0000-0000-0000E6020000}"/>
    <cellStyle name="Note 76 2" xfId="742" xr:uid="{00000000-0005-0000-0000-0000E7020000}"/>
    <cellStyle name="Note 76 3" xfId="743" xr:uid="{00000000-0005-0000-0000-0000E8020000}"/>
    <cellStyle name="Note 76 4" xfId="744" xr:uid="{00000000-0005-0000-0000-0000E9020000}"/>
    <cellStyle name="Note 76 5" xfId="745" xr:uid="{00000000-0005-0000-0000-0000EA020000}"/>
    <cellStyle name="Note 76 6" xfId="746" xr:uid="{00000000-0005-0000-0000-0000EB020000}"/>
    <cellStyle name="Note 77 2" xfId="747" xr:uid="{00000000-0005-0000-0000-0000EC020000}"/>
    <cellStyle name="Note 77 3" xfId="748" xr:uid="{00000000-0005-0000-0000-0000ED020000}"/>
    <cellStyle name="Note 77 4" xfId="749" xr:uid="{00000000-0005-0000-0000-0000EE020000}"/>
    <cellStyle name="Note 77 5" xfId="750" xr:uid="{00000000-0005-0000-0000-0000EF020000}"/>
    <cellStyle name="Note 77 6" xfId="751" xr:uid="{00000000-0005-0000-0000-0000F0020000}"/>
    <cellStyle name="Note 78 2" xfId="752" xr:uid="{00000000-0005-0000-0000-0000F1020000}"/>
    <cellStyle name="Note 78 3" xfId="753" xr:uid="{00000000-0005-0000-0000-0000F2020000}"/>
    <cellStyle name="Note 78 4" xfId="754" xr:uid="{00000000-0005-0000-0000-0000F3020000}"/>
    <cellStyle name="Note 78 5" xfId="755" xr:uid="{00000000-0005-0000-0000-0000F4020000}"/>
    <cellStyle name="Note 78 6" xfId="756" xr:uid="{00000000-0005-0000-0000-0000F5020000}"/>
    <cellStyle name="Note 79 2" xfId="757" xr:uid="{00000000-0005-0000-0000-0000F6020000}"/>
    <cellStyle name="Note 79 3" xfId="758" xr:uid="{00000000-0005-0000-0000-0000F7020000}"/>
    <cellStyle name="Note 79 4" xfId="759" xr:uid="{00000000-0005-0000-0000-0000F8020000}"/>
    <cellStyle name="Note 79 5" xfId="760" xr:uid="{00000000-0005-0000-0000-0000F9020000}"/>
    <cellStyle name="Note 79 6" xfId="761" xr:uid="{00000000-0005-0000-0000-0000FA020000}"/>
    <cellStyle name="Note 8 2" xfId="762" xr:uid="{00000000-0005-0000-0000-0000FB020000}"/>
    <cellStyle name="Note 8 3" xfId="763" xr:uid="{00000000-0005-0000-0000-0000FC020000}"/>
    <cellStyle name="Note 8 4" xfId="764" xr:uid="{00000000-0005-0000-0000-0000FD020000}"/>
    <cellStyle name="Note 8 5" xfId="765" xr:uid="{00000000-0005-0000-0000-0000FE020000}"/>
    <cellStyle name="Note 8 6" xfId="766" xr:uid="{00000000-0005-0000-0000-0000FF020000}"/>
    <cellStyle name="Note 80 2" xfId="767" xr:uid="{00000000-0005-0000-0000-000000030000}"/>
    <cellStyle name="Note 80 3" xfId="768" xr:uid="{00000000-0005-0000-0000-000001030000}"/>
    <cellStyle name="Note 80 4" xfId="769" xr:uid="{00000000-0005-0000-0000-000002030000}"/>
    <cellStyle name="Note 80 5" xfId="770" xr:uid="{00000000-0005-0000-0000-000003030000}"/>
    <cellStyle name="Note 80 6" xfId="771" xr:uid="{00000000-0005-0000-0000-000004030000}"/>
    <cellStyle name="Note 81 2" xfId="772" xr:uid="{00000000-0005-0000-0000-000005030000}"/>
    <cellStyle name="Note 81 3" xfId="773" xr:uid="{00000000-0005-0000-0000-000006030000}"/>
    <cellStyle name="Note 81 4" xfId="774" xr:uid="{00000000-0005-0000-0000-000007030000}"/>
    <cellStyle name="Note 81 5" xfId="775" xr:uid="{00000000-0005-0000-0000-000008030000}"/>
    <cellStyle name="Note 81 6" xfId="776" xr:uid="{00000000-0005-0000-0000-000009030000}"/>
    <cellStyle name="Note 82 2" xfId="777" xr:uid="{00000000-0005-0000-0000-00000A030000}"/>
    <cellStyle name="Note 82 3" xfId="778" xr:uid="{00000000-0005-0000-0000-00000B030000}"/>
    <cellStyle name="Note 82 4" xfId="779" xr:uid="{00000000-0005-0000-0000-00000C030000}"/>
    <cellStyle name="Note 82 5" xfId="780" xr:uid="{00000000-0005-0000-0000-00000D030000}"/>
    <cellStyle name="Note 82 6" xfId="781" xr:uid="{00000000-0005-0000-0000-00000E030000}"/>
    <cellStyle name="Note 83 2" xfId="782" xr:uid="{00000000-0005-0000-0000-00000F030000}"/>
    <cellStyle name="Note 83 3" xfId="783" xr:uid="{00000000-0005-0000-0000-000010030000}"/>
    <cellStyle name="Note 83 4" xfId="784" xr:uid="{00000000-0005-0000-0000-000011030000}"/>
    <cellStyle name="Note 83 5" xfId="785" xr:uid="{00000000-0005-0000-0000-000012030000}"/>
    <cellStyle name="Note 83 6" xfId="786" xr:uid="{00000000-0005-0000-0000-000013030000}"/>
    <cellStyle name="Note 84 2" xfId="787" xr:uid="{00000000-0005-0000-0000-000014030000}"/>
    <cellStyle name="Note 84 3" xfId="788" xr:uid="{00000000-0005-0000-0000-000015030000}"/>
    <cellStyle name="Note 84 4" xfId="789" xr:uid="{00000000-0005-0000-0000-000016030000}"/>
    <cellStyle name="Note 84 5" xfId="790" xr:uid="{00000000-0005-0000-0000-000017030000}"/>
    <cellStyle name="Note 84 6" xfId="791" xr:uid="{00000000-0005-0000-0000-000018030000}"/>
    <cellStyle name="Note 85 2" xfId="792" xr:uid="{00000000-0005-0000-0000-000019030000}"/>
    <cellStyle name="Note 85 3" xfId="793" xr:uid="{00000000-0005-0000-0000-00001A030000}"/>
    <cellStyle name="Note 85 4" xfId="794" xr:uid="{00000000-0005-0000-0000-00001B030000}"/>
    <cellStyle name="Note 85 5" xfId="795" xr:uid="{00000000-0005-0000-0000-00001C030000}"/>
    <cellStyle name="Note 85 6" xfId="796" xr:uid="{00000000-0005-0000-0000-00001D030000}"/>
    <cellStyle name="Note 86 2" xfId="797" xr:uid="{00000000-0005-0000-0000-00001E030000}"/>
    <cellStyle name="Note 86 3" xfId="798" xr:uid="{00000000-0005-0000-0000-00001F030000}"/>
    <cellStyle name="Note 86 4" xfId="799" xr:uid="{00000000-0005-0000-0000-000020030000}"/>
    <cellStyle name="Note 86 5" xfId="800" xr:uid="{00000000-0005-0000-0000-000021030000}"/>
    <cellStyle name="Note 86 6" xfId="801" xr:uid="{00000000-0005-0000-0000-000022030000}"/>
    <cellStyle name="Note 87 2" xfId="802" xr:uid="{00000000-0005-0000-0000-000023030000}"/>
    <cellStyle name="Note 87 3" xfId="803" xr:uid="{00000000-0005-0000-0000-000024030000}"/>
    <cellStyle name="Note 87 4" xfId="804" xr:uid="{00000000-0005-0000-0000-000025030000}"/>
    <cellStyle name="Note 87 5" xfId="805" xr:uid="{00000000-0005-0000-0000-000026030000}"/>
    <cellStyle name="Note 87 6" xfId="806" xr:uid="{00000000-0005-0000-0000-000027030000}"/>
    <cellStyle name="Note 88 2" xfId="807" xr:uid="{00000000-0005-0000-0000-000028030000}"/>
    <cellStyle name="Note 88 3" xfId="808" xr:uid="{00000000-0005-0000-0000-000029030000}"/>
    <cellStyle name="Note 88 4" xfId="809" xr:uid="{00000000-0005-0000-0000-00002A030000}"/>
    <cellStyle name="Note 88 5" xfId="810" xr:uid="{00000000-0005-0000-0000-00002B030000}"/>
    <cellStyle name="Note 88 6" xfId="811" xr:uid="{00000000-0005-0000-0000-00002C030000}"/>
    <cellStyle name="Note 89 2" xfId="812" xr:uid="{00000000-0005-0000-0000-00002D030000}"/>
    <cellStyle name="Note 89 3" xfId="813" xr:uid="{00000000-0005-0000-0000-00002E030000}"/>
    <cellStyle name="Note 89 4" xfId="814" xr:uid="{00000000-0005-0000-0000-00002F030000}"/>
    <cellStyle name="Note 89 5" xfId="815" xr:uid="{00000000-0005-0000-0000-000030030000}"/>
    <cellStyle name="Note 89 6" xfId="816" xr:uid="{00000000-0005-0000-0000-000031030000}"/>
    <cellStyle name="Note 9 2" xfId="817" xr:uid="{00000000-0005-0000-0000-000032030000}"/>
    <cellStyle name="Note 9 3" xfId="818" xr:uid="{00000000-0005-0000-0000-000033030000}"/>
    <cellStyle name="Note 9 4" xfId="819" xr:uid="{00000000-0005-0000-0000-000034030000}"/>
    <cellStyle name="Note 9 5" xfId="820" xr:uid="{00000000-0005-0000-0000-000035030000}"/>
    <cellStyle name="Note 9 6" xfId="821" xr:uid="{00000000-0005-0000-0000-000036030000}"/>
    <cellStyle name="Note 90 2" xfId="822" xr:uid="{00000000-0005-0000-0000-000037030000}"/>
    <cellStyle name="Note 90 3" xfId="823" xr:uid="{00000000-0005-0000-0000-000038030000}"/>
    <cellStyle name="Note 90 4" xfId="824" xr:uid="{00000000-0005-0000-0000-000039030000}"/>
    <cellStyle name="Note 90 5" xfId="825" xr:uid="{00000000-0005-0000-0000-00003A030000}"/>
    <cellStyle name="Note 90 6" xfId="826" xr:uid="{00000000-0005-0000-0000-00003B030000}"/>
    <cellStyle name="Note 91 2" xfId="827" xr:uid="{00000000-0005-0000-0000-00003C030000}"/>
    <cellStyle name="Note 91 3" xfId="828" xr:uid="{00000000-0005-0000-0000-00003D030000}"/>
    <cellStyle name="Note 91 4" xfId="829" xr:uid="{00000000-0005-0000-0000-00003E030000}"/>
    <cellStyle name="Note 91 5" xfId="830" xr:uid="{00000000-0005-0000-0000-00003F030000}"/>
    <cellStyle name="Note 91 6" xfId="831" xr:uid="{00000000-0005-0000-0000-000040030000}"/>
    <cellStyle name="Note 92 2" xfId="832" xr:uid="{00000000-0005-0000-0000-000041030000}"/>
    <cellStyle name="Note 92 3" xfId="833" xr:uid="{00000000-0005-0000-0000-000042030000}"/>
    <cellStyle name="Note 92 4" xfId="834" xr:uid="{00000000-0005-0000-0000-000043030000}"/>
    <cellStyle name="Note 92 5" xfId="835" xr:uid="{00000000-0005-0000-0000-000044030000}"/>
    <cellStyle name="Note 92 6" xfId="836" xr:uid="{00000000-0005-0000-0000-000045030000}"/>
    <cellStyle name="Note 93 2" xfId="837" xr:uid="{00000000-0005-0000-0000-000046030000}"/>
    <cellStyle name="Note 93 3" xfId="838" xr:uid="{00000000-0005-0000-0000-000047030000}"/>
    <cellStyle name="Note 93 4" xfId="839" xr:uid="{00000000-0005-0000-0000-000048030000}"/>
    <cellStyle name="Note 93 5" xfId="840" xr:uid="{00000000-0005-0000-0000-000049030000}"/>
    <cellStyle name="Note 93 6" xfId="841" xr:uid="{00000000-0005-0000-0000-00004A030000}"/>
    <cellStyle name="Note 94 2" xfId="842" xr:uid="{00000000-0005-0000-0000-00004B030000}"/>
    <cellStyle name="Note 94 3" xfId="843" xr:uid="{00000000-0005-0000-0000-00004C030000}"/>
    <cellStyle name="Note 94 4" xfId="844" xr:uid="{00000000-0005-0000-0000-00004D030000}"/>
    <cellStyle name="Note 94 5" xfId="845" xr:uid="{00000000-0005-0000-0000-00004E030000}"/>
    <cellStyle name="Note 94 6" xfId="846" xr:uid="{00000000-0005-0000-0000-00004F030000}"/>
    <cellStyle name="Note 95 2" xfId="847" xr:uid="{00000000-0005-0000-0000-000050030000}"/>
    <cellStyle name="Note 95 3" xfId="848" xr:uid="{00000000-0005-0000-0000-000051030000}"/>
    <cellStyle name="Note 95 4" xfId="849" xr:uid="{00000000-0005-0000-0000-000052030000}"/>
    <cellStyle name="Note 95 5" xfId="850" xr:uid="{00000000-0005-0000-0000-000053030000}"/>
    <cellStyle name="Note 95 6" xfId="851" xr:uid="{00000000-0005-0000-0000-000054030000}"/>
    <cellStyle name="Note 96 2" xfId="852" xr:uid="{00000000-0005-0000-0000-000055030000}"/>
    <cellStyle name="Note 96 3" xfId="853" xr:uid="{00000000-0005-0000-0000-000056030000}"/>
    <cellStyle name="Note 96 4" xfId="854" xr:uid="{00000000-0005-0000-0000-000057030000}"/>
    <cellStyle name="Note 96 5" xfId="855" xr:uid="{00000000-0005-0000-0000-000058030000}"/>
    <cellStyle name="Note 96 6" xfId="856" xr:uid="{00000000-0005-0000-0000-000059030000}"/>
    <cellStyle name="Note 97 2" xfId="857" xr:uid="{00000000-0005-0000-0000-00005A030000}"/>
    <cellStyle name="Note 97 3" xfId="858" xr:uid="{00000000-0005-0000-0000-00005B030000}"/>
    <cellStyle name="Note 97 4" xfId="859" xr:uid="{00000000-0005-0000-0000-00005C030000}"/>
    <cellStyle name="Note 97 5" xfId="860" xr:uid="{00000000-0005-0000-0000-00005D030000}"/>
    <cellStyle name="Note 97 6" xfId="861" xr:uid="{00000000-0005-0000-0000-00005E030000}"/>
    <cellStyle name="Note 98 2" xfId="862" xr:uid="{00000000-0005-0000-0000-00005F030000}"/>
    <cellStyle name="Note 98 3" xfId="863" xr:uid="{00000000-0005-0000-0000-000060030000}"/>
    <cellStyle name="Note 98 4" xfId="864" xr:uid="{00000000-0005-0000-0000-000061030000}"/>
    <cellStyle name="Note 98 5" xfId="865" xr:uid="{00000000-0005-0000-0000-000062030000}"/>
    <cellStyle name="Note 98 6" xfId="866" xr:uid="{00000000-0005-0000-0000-000063030000}"/>
    <cellStyle name="Note 99 2" xfId="867" xr:uid="{00000000-0005-0000-0000-000064030000}"/>
    <cellStyle name="Note 99 3" xfId="868" xr:uid="{00000000-0005-0000-0000-000065030000}"/>
    <cellStyle name="Note 99 4" xfId="869" xr:uid="{00000000-0005-0000-0000-000066030000}"/>
    <cellStyle name="Note 99 5" xfId="870" xr:uid="{00000000-0005-0000-0000-000067030000}"/>
    <cellStyle name="Note 99 6" xfId="871" xr:uid="{00000000-0005-0000-0000-000068030000}"/>
    <cellStyle name="Output 2" xfId="872" xr:uid="{00000000-0005-0000-0000-000069030000}"/>
    <cellStyle name="Percent 2" xfId="873" xr:uid="{00000000-0005-0000-0000-00006A030000}"/>
    <cellStyle name="Title 2" xfId="874" xr:uid="{00000000-0005-0000-0000-00006B030000}"/>
    <cellStyle name="Total 2" xfId="875" xr:uid="{00000000-0005-0000-0000-00006C030000}"/>
    <cellStyle name="一般 2" xfId="879" xr:uid="{F38F6039-0B81-4C93-8F24-34DB84503FC9}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FFFF"/>
      <color rgb="FFF4ACF6"/>
      <color rgb="FFFFFF99"/>
      <color rgb="FF008080"/>
      <color rgb="FF99FFCC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61" Type="http://schemas.openxmlformats.org/officeDocument/2006/relationships/image" Target="../media/image61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M125"/>
  <sheetViews>
    <sheetView tabSelected="1" view="pageBreakPreview" zoomScale="70" zoomScaleNormal="20" zoomScaleSheetLayoutView="70" workbookViewId="0">
      <pane xSplit="2" ySplit="3" topLeftCell="C6" activePane="bottomRight" state="frozen"/>
      <selection pane="topRight" activeCell="C1" sqref="C1"/>
      <selection pane="bottomLeft" activeCell="A4" sqref="A4"/>
      <selection pane="bottomRight" activeCell="U18" sqref="U18"/>
    </sheetView>
  </sheetViews>
  <sheetFormatPr defaultColWidth="31.5703125" defaultRowHeight="18" customHeight="1" x14ac:dyDescent="0.25"/>
  <cols>
    <col min="1" max="1" width="21.85546875" style="3" customWidth="1"/>
    <col min="2" max="2" width="17.5703125" style="2" customWidth="1"/>
    <col min="3" max="3" width="8.7109375" style="3" customWidth="1"/>
    <col min="4" max="9" width="9" style="3" hidden="1" customWidth="1"/>
    <col min="10" max="10" width="6" style="3" hidden="1" customWidth="1"/>
    <col min="11" max="16" width="9" style="3" customWidth="1"/>
    <col min="17" max="17" width="6" style="3" customWidth="1"/>
    <col min="18" max="23" width="9" style="3" customWidth="1"/>
    <col min="24" max="24" width="6" style="3" customWidth="1"/>
    <col min="25" max="30" width="9" style="3" customWidth="1"/>
    <col min="31" max="31" width="6" style="3" customWidth="1"/>
    <col min="32" max="37" width="9" style="3" customWidth="1"/>
    <col min="38" max="38" width="6" style="3" customWidth="1"/>
    <col min="39" max="44" width="9" style="3" customWidth="1"/>
    <col min="45" max="45" width="6" style="3" customWidth="1"/>
    <col min="46" max="51" width="9" style="3" customWidth="1"/>
    <col min="52" max="52" width="6" style="3" customWidth="1"/>
    <col min="53" max="58" width="9" style="3" customWidth="1"/>
    <col min="59" max="59" width="6" style="3" customWidth="1"/>
    <col min="60" max="62" width="9" style="3" customWidth="1"/>
    <col min="63" max="16384" width="31.5703125" style="3"/>
  </cols>
  <sheetData>
    <row r="1" spans="1:65" s="4" customFormat="1" ht="15.75" x14ac:dyDescent="0.25">
      <c r="A1" s="1" t="s">
        <v>77</v>
      </c>
      <c r="B1" s="2"/>
      <c r="C1" s="3"/>
    </row>
    <row r="2" spans="1:65" s="4" customFormat="1" ht="16.5" thickBot="1" x14ac:dyDescent="0.3">
      <c r="A2" s="5"/>
      <c r="B2" s="6"/>
      <c r="C2" s="7"/>
    </row>
    <row r="3" spans="1:65" s="2" customFormat="1" ht="16.5" thickBot="1" x14ac:dyDescent="0.3">
      <c r="A3" s="8" t="s">
        <v>0</v>
      </c>
      <c r="B3" s="9" t="s">
        <v>1</v>
      </c>
      <c r="C3" s="10" t="s">
        <v>6</v>
      </c>
      <c r="D3" s="11">
        <v>46032</v>
      </c>
      <c r="E3" s="11">
        <f t="shared" ref="E3" si="0">+D3+1</f>
        <v>46033</v>
      </c>
      <c r="F3" s="11">
        <f t="shared" ref="F3:I3" si="1">+E3+1</f>
        <v>46034</v>
      </c>
      <c r="G3" s="11">
        <f t="shared" si="1"/>
        <v>46035</v>
      </c>
      <c r="H3" s="11">
        <f t="shared" si="1"/>
        <v>46036</v>
      </c>
      <c r="I3" s="11">
        <f t="shared" si="1"/>
        <v>46037</v>
      </c>
      <c r="J3" s="11">
        <f t="shared" ref="J3" si="2">+I3+1</f>
        <v>46038</v>
      </c>
      <c r="K3" s="87">
        <v>46039</v>
      </c>
      <c r="L3" s="11">
        <f t="shared" ref="L3" si="3">+K3+1</f>
        <v>46040</v>
      </c>
      <c r="M3" s="11">
        <f t="shared" ref="M3" si="4">+L3+1</f>
        <v>46041</v>
      </c>
      <c r="N3" s="11">
        <f t="shared" ref="N3" si="5">+M3+1</f>
        <v>46042</v>
      </c>
      <c r="O3" s="11">
        <f t="shared" ref="O3" si="6">+N3+1</f>
        <v>46043</v>
      </c>
      <c r="P3" s="11">
        <f t="shared" ref="P3" si="7">+O3+1</f>
        <v>46044</v>
      </c>
      <c r="Q3" s="11">
        <f t="shared" ref="Q3" si="8">+P3+1</f>
        <v>46045</v>
      </c>
      <c r="R3" s="11">
        <f t="shared" ref="R3" si="9">+Q3+1</f>
        <v>46046</v>
      </c>
      <c r="S3" s="11">
        <f t="shared" ref="S3" si="10">+R3+1</f>
        <v>46047</v>
      </c>
      <c r="T3" s="11">
        <f t="shared" ref="T3" si="11">+S3+1</f>
        <v>46048</v>
      </c>
      <c r="U3" s="11">
        <f t="shared" ref="U3" si="12">+T3+1</f>
        <v>46049</v>
      </c>
      <c r="V3" s="11">
        <f t="shared" ref="V3:X3" si="13">+U3+1</f>
        <v>46050</v>
      </c>
      <c r="W3" s="11">
        <f t="shared" si="13"/>
        <v>46051</v>
      </c>
      <c r="X3" s="11">
        <f t="shared" si="13"/>
        <v>46052</v>
      </c>
      <c r="Y3" s="11">
        <f t="shared" ref="Y3" si="14">+X3+1</f>
        <v>46053</v>
      </c>
      <c r="Z3" s="11">
        <f t="shared" ref="Z3" si="15">+Y3+1</f>
        <v>46054</v>
      </c>
      <c r="AA3" s="11">
        <f t="shared" ref="AA3" si="16">+Z3+1</f>
        <v>46055</v>
      </c>
      <c r="AB3" s="11">
        <f t="shared" ref="AB3" si="17">+AA3+1</f>
        <v>46056</v>
      </c>
      <c r="AC3" s="11">
        <f t="shared" ref="AC3" si="18">+AB3+1</f>
        <v>46057</v>
      </c>
      <c r="AD3" s="11">
        <f t="shared" ref="AD3" si="19">+AC3+1</f>
        <v>46058</v>
      </c>
      <c r="AE3" s="11">
        <f t="shared" ref="AE3" si="20">+AD3+1</f>
        <v>46059</v>
      </c>
      <c r="AF3" s="11">
        <f t="shared" ref="AF3" si="21">+AE3+1</f>
        <v>46060</v>
      </c>
      <c r="AG3" s="11">
        <f t="shared" ref="AG3" si="22">+AF3+1</f>
        <v>46061</v>
      </c>
      <c r="AH3" s="11">
        <f t="shared" ref="AH3" si="23">+AG3+1</f>
        <v>46062</v>
      </c>
      <c r="AI3" s="11">
        <f t="shared" ref="AI3" si="24">+AH3+1</f>
        <v>46063</v>
      </c>
      <c r="AJ3" s="11">
        <f t="shared" ref="AJ3" si="25">+AI3+1</f>
        <v>46064</v>
      </c>
      <c r="AK3" s="11">
        <f t="shared" ref="AK3" si="26">+AJ3+1</f>
        <v>46065</v>
      </c>
      <c r="AL3" s="11">
        <f t="shared" ref="AL3" si="27">+AK3+1</f>
        <v>46066</v>
      </c>
      <c r="AM3" s="11">
        <f t="shared" ref="AM3" si="28">+AL3+1</f>
        <v>46067</v>
      </c>
      <c r="AN3" s="11">
        <f t="shared" ref="AN3" si="29">+AM3+1</f>
        <v>46068</v>
      </c>
      <c r="AO3" s="11">
        <f t="shared" ref="AO3" si="30">+AN3+1</f>
        <v>46069</v>
      </c>
      <c r="AP3" s="11">
        <f t="shared" ref="AP3" si="31">+AO3+1</f>
        <v>46070</v>
      </c>
      <c r="AQ3" s="11">
        <f t="shared" ref="AQ3" si="32">+AP3+1</f>
        <v>46071</v>
      </c>
      <c r="AR3" s="11">
        <f t="shared" ref="AR3" si="33">+AQ3+1</f>
        <v>46072</v>
      </c>
      <c r="AS3" s="11">
        <f t="shared" ref="AS3" si="34">+AR3+1</f>
        <v>46073</v>
      </c>
      <c r="AT3" s="11">
        <f t="shared" ref="AT3" si="35">+AS3+1</f>
        <v>46074</v>
      </c>
      <c r="AU3" s="11">
        <f t="shared" ref="AU3" si="36">+AT3+1</f>
        <v>46075</v>
      </c>
      <c r="AV3" s="11">
        <f t="shared" ref="AV3" si="37">+AU3+1</f>
        <v>46076</v>
      </c>
      <c r="AW3" s="11">
        <f t="shared" ref="AW3" si="38">+AV3+1</f>
        <v>46077</v>
      </c>
      <c r="AX3" s="11">
        <f t="shared" ref="AX3" si="39">+AW3+1</f>
        <v>46078</v>
      </c>
      <c r="AY3" s="11">
        <f t="shared" ref="AY3" si="40">+AX3+1</f>
        <v>46079</v>
      </c>
      <c r="AZ3" s="11">
        <f t="shared" ref="AZ3" si="41">+AY3+1</f>
        <v>46080</v>
      </c>
      <c r="BA3" s="11">
        <f t="shared" ref="BA3" si="42">+AZ3+1</f>
        <v>46081</v>
      </c>
      <c r="BB3" s="11">
        <f t="shared" ref="BB3" si="43">+BA3+1</f>
        <v>46082</v>
      </c>
      <c r="BC3" s="11">
        <f t="shared" ref="BC3" si="44">+BB3+1</f>
        <v>46083</v>
      </c>
      <c r="BD3" s="11">
        <f t="shared" ref="BD3" si="45">+BC3+1</f>
        <v>46084</v>
      </c>
      <c r="BE3" s="11">
        <f t="shared" ref="BE3" si="46">+BD3+1</f>
        <v>46085</v>
      </c>
      <c r="BF3" s="11">
        <f t="shared" ref="BF3" si="47">+BE3+1</f>
        <v>46086</v>
      </c>
      <c r="BG3" s="11">
        <f t="shared" ref="BG3" si="48">+BF3+1</f>
        <v>46087</v>
      </c>
      <c r="BH3" s="11">
        <f t="shared" ref="BH3" si="49">+BG3+1</f>
        <v>46088</v>
      </c>
      <c r="BI3" s="11">
        <f t="shared" ref="BI3" si="50">+BH3+1</f>
        <v>46089</v>
      </c>
      <c r="BJ3" s="11">
        <f t="shared" ref="BJ3" si="51">+BI3+1</f>
        <v>46090</v>
      </c>
    </row>
    <row r="4" spans="1:65" s="2" customFormat="1" ht="16.5" thickBot="1" x14ac:dyDescent="0.3">
      <c r="A4" s="8"/>
      <c r="B4" s="9"/>
      <c r="C4" s="8" t="s">
        <v>5</v>
      </c>
      <c r="D4" s="12" t="str">
        <f t="shared" ref="D4" si="52">+TEXT(D3,"ddd")</f>
        <v>Sat</v>
      </c>
      <c r="E4" s="12" t="str">
        <f t="shared" ref="E4:F4" si="53">+TEXT(E3,"ddd")</f>
        <v>Sun</v>
      </c>
      <c r="F4" s="12" t="str">
        <f t="shared" si="53"/>
        <v>Mon</v>
      </c>
      <c r="G4" s="12" t="str">
        <f t="shared" ref="G4:H4" si="54">+TEXT(G3,"ddd")</f>
        <v>Tue</v>
      </c>
      <c r="H4" s="12" t="str">
        <f t="shared" si="54"/>
        <v>Wed</v>
      </c>
      <c r="I4" s="12" t="str">
        <f t="shared" ref="I4" si="55">+TEXT(I3,"ddd")</f>
        <v>Thu</v>
      </c>
      <c r="J4" s="12" t="str">
        <f t="shared" ref="J4:R4" si="56">+TEXT(J3,"ddd")</f>
        <v>Fri</v>
      </c>
      <c r="K4" s="88" t="str">
        <f t="shared" si="56"/>
        <v>Sat</v>
      </c>
      <c r="L4" s="12" t="str">
        <f t="shared" si="56"/>
        <v>Sun</v>
      </c>
      <c r="M4" s="12" t="str">
        <f t="shared" si="56"/>
        <v>Mon</v>
      </c>
      <c r="N4" s="12" t="str">
        <f t="shared" si="56"/>
        <v>Tue</v>
      </c>
      <c r="O4" s="12" t="str">
        <f t="shared" si="56"/>
        <v>Wed</v>
      </c>
      <c r="P4" s="12" t="str">
        <f t="shared" si="56"/>
        <v>Thu</v>
      </c>
      <c r="Q4" s="12" t="str">
        <f t="shared" si="56"/>
        <v>Fri</v>
      </c>
      <c r="R4" s="12" t="str">
        <f t="shared" si="56"/>
        <v>Sat</v>
      </c>
      <c r="S4" s="12" t="str">
        <f t="shared" ref="S4:V4" si="57">+TEXT(S3,"ddd")</f>
        <v>Sun</v>
      </c>
      <c r="T4" s="12" t="str">
        <f t="shared" si="57"/>
        <v>Mon</v>
      </c>
      <c r="U4" s="12" t="str">
        <f t="shared" si="57"/>
        <v>Tue</v>
      </c>
      <c r="V4" s="12" t="str">
        <f t="shared" si="57"/>
        <v>Wed</v>
      </c>
      <c r="W4" s="12" t="str">
        <f t="shared" ref="W4:AQ4" si="58">+TEXT(W3,"ddd")</f>
        <v>Thu</v>
      </c>
      <c r="X4" s="12" t="str">
        <f t="shared" si="58"/>
        <v>Fri</v>
      </c>
      <c r="Y4" s="12" t="str">
        <f t="shared" si="58"/>
        <v>Sat</v>
      </c>
      <c r="Z4" s="12" t="str">
        <f t="shared" si="58"/>
        <v>Sun</v>
      </c>
      <c r="AA4" s="12" t="str">
        <f t="shared" si="58"/>
        <v>Mon</v>
      </c>
      <c r="AB4" s="12" t="str">
        <f t="shared" si="58"/>
        <v>Tue</v>
      </c>
      <c r="AC4" s="12" t="str">
        <f t="shared" si="58"/>
        <v>Wed</v>
      </c>
      <c r="AD4" s="12" t="str">
        <f t="shared" ref="AD4" si="59">+TEXT(AD3,"ddd")</f>
        <v>Thu</v>
      </c>
      <c r="AE4" s="12" t="str">
        <f t="shared" si="58"/>
        <v>Fri</v>
      </c>
      <c r="AF4" s="12" t="str">
        <f t="shared" si="58"/>
        <v>Sat</v>
      </c>
      <c r="AG4" s="12" t="str">
        <f t="shared" si="58"/>
        <v>Sun</v>
      </c>
      <c r="AH4" s="12" t="str">
        <f t="shared" si="58"/>
        <v>Mon</v>
      </c>
      <c r="AI4" s="12" t="str">
        <f t="shared" si="58"/>
        <v>Tue</v>
      </c>
      <c r="AJ4" s="12" t="str">
        <f t="shared" si="58"/>
        <v>Wed</v>
      </c>
      <c r="AK4" s="12" t="str">
        <f t="shared" ref="AK4" si="60">+TEXT(AK3,"ddd")</f>
        <v>Thu</v>
      </c>
      <c r="AL4" s="12" t="str">
        <f t="shared" si="58"/>
        <v>Fri</v>
      </c>
      <c r="AM4" s="12" t="str">
        <f t="shared" si="58"/>
        <v>Sat</v>
      </c>
      <c r="AN4" s="12" t="str">
        <f t="shared" si="58"/>
        <v>Sun</v>
      </c>
      <c r="AO4" s="12" t="str">
        <f t="shared" si="58"/>
        <v>Mon</v>
      </c>
      <c r="AP4" s="12" t="str">
        <f t="shared" si="58"/>
        <v>Tue</v>
      </c>
      <c r="AQ4" s="12" t="str">
        <f t="shared" si="58"/>
        <v>Wed</v>
      </c>
      <c r="AR4" s="12" t="str">
        <f t="shared" ref="AR4:BJ4" si="61">+TEXT(AR3,"ddd")</f>
        <v>Thu</v>
      </c>
      <c r="AS4" s="12" t="str">
        <f t="shared" si="61"/>
        <v>Fri</v>
      </c>
      <c r="AT4" s="12" t="str">
        <f t="shared" si="61"/>
        <v>Sat</v>
      </c>
      <c r="AU4" s="12" t="str">
        <f t="shared" si="61"/>
        <v>Sun</v>
      </c>
      <c r="AV4" s="12" t="str">
        <f t="shared" si="61"/>
        <v>Mon</v>
      </c>
      <c r="AW4" s="12" t="str">
        <f t="shared" si="61"/>
        <v>Tue</v>
      </c>
      <c r="AX4" s="12" t="str">
        <f t="shared" si="61"/>
        <v>Wed</v>
      </c>
      <c r="AY4" s="12" t="str">
        <f t="shared" si="61"/>
        <v>Thu</v>
      </c>
      <c r="AZ4" s="12" t="str">
        <f t="shared" si="61"/>
        <v>Fri</v>
      </c>
      <c r="BA4" s="12" t="str">
        <f t="shared" si="61"/>
        <v>Sat</v>
      </c>
      <c r="BB4" s="12" t="str">
        <f t="shared" si="61"/>
        <v>Sun</v>
      </c>
      <c r="BC4" s="12" t="str">
        <f t="shared" si="61"/>
        <v>Mon</v>
      </c>
      <c r="BD4" s="12" t="str">
        <f t="shared" si="61"/>
        <v>Tue</v>
      </c>
      <c r="BE4" s="12" t="str">
        <f t="shared" si="61"/>
        <v>Wed</v>
      </c>
      <c r="BF4" s="12" t="str">
        <f t="shared" si="61"/>
        <v>Thu</v>
      </c>
      <c r="BG4" s="12" t="str">
        <f t="shared" si="61"/>
        <v>Fri</v>
      </c>
      <c r="BH4" s="12" t="str">
        <f t="shared" si="61"/>
        <v>Sat</v>
      </c>
      <c r="BI4" s="12" t="str">
        <f t="shared" si="61"/>
        <v>Sun</v>
      </c>
      <c r="BJ4" s="12" t="str">
        <f t="shared" si="61"/>
        <v>Mon</v>
      </c>
    </row>
    <row r="5" spans="1:65" s="14" customFormat="1" ht="10.5" customHeight="1" x14ac:dyDescent="0.25">
      <c r="A5" s="94" t="s">
        <v>7</v>
      </c>
      <c r="B5" s="95"/>
      <c r="C5" s="15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</row>
    <row r="6" spans="1:65" ht="33.75" customHeight="1" x14ac:dyDescent="0.25">
      <c r="A6" s="57" t="s">
        <v>25</v>
      </c>
      <c r="B6" s="68" t="s">
        <v>100</v>
      </c>
      <c r="C6" s="18" t="s">
        <v>9</v>
      </c>
      <c r="D6" s="19"/>
      <c r="E6" s="19"/>
      <c r="F6" s="19"/>
      <c r="G6" s="19"/>
      <c r="H6" s="19"/>
      <c r="I6" s="19"/>
      <c r="J6" s="46"/>
      <c r="K6" s="19"/>
      <c r="L6" s="19"/>
      <c r="M6" s="19"/>
      <c r="N6" s="19"/>
      <c r="O6" s="19"/>
      <c r="P6" s="19"/>
      <c r="Q6" s="46"/>
      <c r="R6" s="19"/>
      <c r="S6" s="68" t="s">
        <v>90</v>
      </c>
      <c r="T6" s="19" t="s">
        <v>172</v>
      </c>
      <c r="U6" s="19"/>
      <c r="V6" s="19"/>
      <c r="W6" s="19"/>
      <c r="X6" s="46"/>
      <c r="Y6" s="19"/>
      <c r="Z6" s="19"/>
      <c r="AA6" s="68" t="s">
        <v>130</v>
      </c>
      <c r="AB6" s="19" t="s">
        <v>173</v>
      </c>
      <c r="AC6" s="19"/>
      <c r="AD6" s="19"/>
      <c r="AE6" s="46"/>
      <c r="AF6" s="19"/>
      <c r="AG6" s="19"/>
      <c r="AH6" s="19"/>
      <c r="AI6" s="19"/>
      <c r="AJ6" s="19"/>
      <c r="AK6" s="19"/>
      <c r="AL6" s="46"/>
      <c r="AM6" s="19"/>
      <c r="AN6" s="19"/>
      <c r="AO6" s="19"/>
      <c r="AP6" s="19"/>
      <c r="AQ6" s="68" t="s">
        <v>100</v>
      </c>
      <c r="AR6" s="19" t="s">
        <v>174</v>
      </c>
      <c r="AS6" s="46"/>
      <c r="AT6" s="19"/>
      <c r="AU6" s="19"/>
      <c r="AV6" s="68" t="s">
        <v>69</v>
      </c>
      <c r="AW6" s="19" t="s">
        <v>175</v>
      </c>
      <c r="AX6" s="19"/>
      <c r="AY6" s="68" t="s">
        <v>100</v>
      </c>
      <c r="AZ6" s="46"/>
      <c r="BA6" s="19"/>
      <c r="BB6" s="19"/>
      <c r="BC6" s="19"/>
      <c r="BD6" s="19"/>
      <c r="BE6" s="19"/>
      <c r="BF6" s="19"/>
      <c r="BG6" s="46"/>
      <c r="BH6" s="68" t="s">
        <v>69</v>
      </c>
      <c r="BI6" s="19"/>
      <c r="BJ6" s="19"/>
    </row>
    <row r="7" spans="1:65" s="14" customFormat="1" ht="15.75" x14ac:dyDescent="0.25">
      <c r="A7" s="98"/>
      <c r="B7" s="54"/>
      <c r="C7" s="23" t="s">
        <v>2</v>
      </c>
      <c r="D7" s="25">
        <v>1184.4000000000001</v>
      </c>
      <c r="E7" s="25">
        <v>1184.4000000000001</v>
      </c>
      <c r="F7" s="25">
        <v>1184.4000000000001</v>
      </c>
      <c r="G7" s="25">
        <v>1184.4000000000001</v>
      </c>
      <c r="H7" s="25">
        <v>1184.4000000000001</v>
      </c>
      <c r="I7" s="25">
        <v>1184.4000000000001</v>
      </c>
      <c r="J7" s="47"/>
      <c r="K7" s="25">
        <v>1184.4000000000001</v>
      </c>
      <c r="L7" s="25">
        <v>1184.4000000000001</v>
      </c>
      <c r="M7" s="25">
        <v>1184.4000000000001</v>
      </c>
      <c r="N7" s="25">
        <v>1184.4000000000001</v>
      </c>
      <c r="O7" s="25">
        <v>1184.4000000000001</v>
      </c>
      <c r="P7" s="25">
        <v>1184.4000000000001</v>
      </c>
      <c r="Q7" s="47"/>
      <c r="R7" s="25">
        <v>1184.4000000000001</v>
      </c>
      <c r="S7" s="25">
        <v>0</v>
      </c>
      <c r="T7" s="25">
        <v>238.94366197183098</v>
      </c>
      <c r="U7" s="25">
        <v>477.88732394366195</v>
      </c>
      <c r="V7" s="25">
        <v>477.88732394366195</v>
      </c>
      <c r="W7" s="25">
        <v>477.88732394366195</v>
      </c>
      <c r="X7" s="47"/>
      <c r="Y7" s="25">
        <v>573.46478873239437</v>
      </c>
      <c r="Z7" s="25">
        <v>573.46478873239437</v>
      </c>
      <c r="AA7" s="25">
        <v>0</v>
      </c>
      <c r="AB7" s="25">
        <v>211.96585903083701</v>
      </c>
      <c r="AC7" s="25">
        <v>423.93171806167402</v>
      </c>
      <c r="AD7" s="25">
        <v>423.93171806167402</v>
      </c>
      <c r="AE7" s="47"/>
      <c r="AF7" s="25">
        <v>423.93171806167402</v>
      </c>
      <c r="AG7" s="25">
        <v>423.93171806167402</v>
      </c>
      <c r="AH7" s="25">
        <v>423.93171806167402</v>
      </c>
      <c r="AI7" s="25">
        <v>423.93171806167402</v>
      </c>
      <c r="AJ7" s="25">
        <v>423.93171806167402</v>
      </c>
      <c r="AK7" s="25">
        <v>423.93171806167402</v>
      </c>
      <c r="AL7" s="47"/>
      <c r="AM7" s="25">
        <v>423.93171806167402</v>
      </c>
      <c r="AN7" s="25">
        <v>423.93171806167402</v>
      </c>
      <c r="AO7" s="25">
        <v>423.93171806167402</v>
      </c>
      <c r="AP7" s="25">
        <v>423.93171806167402</v>
      </c>
      <c r="AQ7" s="25">
        <v>0</v>
      </c>
      <c r="AR7" s="25">
        <v>336.60714285714289</v>
      </c>
      <c r="AS7" s="47"/>
      <c r="AT7" s="25">
        <v>673.21428571428578</v>
      </c>
      <c r="AU7" s="25">
        <v>807.85714285714289</v>
      </c>
      <c r="AV7" s="25">
        <v>807.85714285714289</v>
      </c>
      <c r="AW7" s="25">
        <v>807.85714285714289</v>
      </c>
      <c r="AX7" s="25">
        <v>807.85714285714289</v>
      </c>
      <c r="AY7" s="25">
        <v>807.85714285714289</v>
      </c>
      <c r="AZ7" s="47"/>
      <c r="BA7" s="25">
        <v>807.85714285714289</v>
      </c>
      <c r="BB7" s="25">
        <v>807.85714285714289</v>
      </c>
      <c r="BC7" s="25">
        <v>807.85714285714289</v>
      </c>
      <c r="BD7" s="25">
        <v>807.85714285714289</v>
      </c>
      <c r="BE7" s="25">
        <v>807.85714285714289</v>
      </c>
      <c r="BF7" s="25">
        <v>807.85714285714289</v>
      </c>
      <c r="BG7" s="47"/>
      <c r="BH7" s="25">
        <v>807.85714285714289</v>
      </c>
      <c r="BI7" s="25">
        <v>807.85714285714289</v>
      </c>
      <c r="BJ7" s="25"/>
    </row>
    <row r="8" spans="1:65" s="14" customFormat="1" ht="15.75" x14ac:dyDescent="0.25">
      <c r="A8" s="99"/>
      <c r="B8" s="55"/>
      <c r="C8" s="23" t="s">
        <v>8</v>
      </c>
      <c r="D8" s="24">
        <v>65</v>
      </c>
      <c r="E8" s="24">
        <v>65</v>
      </c>
      <c r="F8" s="24">
        <v>65</v>
      </c>
      <c r="G8" s="24">
        <v>65</v>
      </c>
      <c r="H8" s="24">
        <v>65</v>
      </c>
      <c r="I8" s="24">
        <v>65</v>
      </c>
      <c r="J8" s="48"/>
      <c r="K8" s="24">
        <v>65</v>
      </c>
      <c r="L8" s="24">
        <v>65</v>
      </c>
      <c r="M8" s="24">
        <v>65</v>
      </c>
      <c r="N8" s="24">
        <v>65</v>
      </c>
      <c r="O8" s="24">
        <v>65</v>
      </c>
      <c r="P8" s="24">
        <v>65</v>
      </c>
      <c r="Q8" s="48"/>
      <c r="R8" s="24">
        <v>65</v>
      </c>
      <c r="S8" s="24">
        <v>65</v>
      </c>
      <c r="T8" s="24">
        <v>65</v>
      </c>
      <c r="U8" s="24">
        <v>65</v>
      </c>
      <c r="V8" s="24">
        <v>65</v>
      </c>
      <c r="W8" s="24">
        <v>65</v>
      </c>
      <c r="X8" s="48"/>
      <c r="Y8" s="24">
        <v>65</v>
      </c>
      <c r="Z8" s="24">
        <v>65</v>
      </c>
      <c r="AA8" s="24">
        <v>65</v>
      </c>
      <c r="AB8" s="24">
        <v>65</v>
      </c>
      <c r="AC8" s="24">
        <v>65</v>
      </c>
      <c r="AD8" s="24">
        <v>65</v>
      </c>
      <c r="AE8" s="48"/>
      <c r="AF8" s="24">
        <v>65</v>
      </c>
      <c r="AG8" s="24">
        <v>65</v>
      </c>
      <c r="AH8" s="24">
        <v>65</v>
      </c>
      <c r="AI8" s="24">
        <v>65</v>
      </c>
      <c r="AJ8" s="24">
        <v>65</v>
      </c>
      <c r="AK8" s="24">
        <v>65</v>
      </c>
      <c r="AL8" s="48"/>
      <c r="AM8" s="24">
        <v>65</v>
      </c>
      <c r="AN8" s="24">
        <v>65</v>
      </c>
      <c r="AO8" s="24">
        <v>65</v>
      </c>
      <c r="AP8" s="24">
        <v>65</v>
      </c>
      <c r="AQ8" s="24">
        <v>65</v>
      </c>
      <c r="AR8" s="24">
        <v>65</v>
      </c>
      <c r="AS8" s="48"/>
      <c r="AT8" s="24">
        <v>65</v>
      </c>
      <c r="AU8" s="24">
        <v>65</v>
      </c>
      <c r="AV8" s="24">
        <v>65</v>
      </c>
      <c r="AW8" s="24">
        <v>65</v>
      </c>
      <c r="AX8" s="24">
        <v>65</v>
      </c>
      <c r="AY8" s="24">
        <v>65</v>
      </c>
      <c r="AZ8" s="48"/>
      <c r="BA8" s="24">
        <v>65</v>
      </c>
      <c r="BB8" s="24">
        <v>65</v>
      </c>
      <c r="BC8" s="24">
        <v>65</v>
      </c>
      <c r="BD8" s="24">
        <v>65</v>
      </c>
      <c r="BE8" s="24">
        <v>65</v>
      </c>
      <c r="BF8" s="24">
        <v>65</v>
      </c>
      <c r="BG8" s="48"/>
      <c r="BH8" s="24">
        <v>65</v>
      </c>
      <c r="BI8" s="24">
        <v>65</v>
      </c>
      <c r="BJ8" s="24">
        <v>65</v>
      </c>
    </row>
    <row r="9" spans="1:65" ht="31.5" customHeight="1" x14ac:dyDescent="0.25">
      <c r="A9" s="57" t="s">
        <v>25</v>
      </c>
      <c r="B9" s="67" t="s">
        <v>94</v>
      </c>
      <c r="C9" s="18" t="s">
        <v>9</v>
      </c>
      <c r="D9" s="112" t="s">
        <v>116</v>
      </c>
      <c r="E9" s="113"/>
      <c r="F9" s="114"/>
      <c r="G9" s="19"/>
      <c r="H9" s="19"/>
      <c r="I9" s="19"/>
      <c r="J9" s="46"/>
      <c r="L9" s="61" t="s">
        <v>87</v>
      </c>
      <c r="O9" s="79" t="s">
        <v>60</v>
      </c>
      <c r="Q9" s="46"/>
      <c r="V9" s="61" t="s">
        <v>32</v>
      </c>
      <c r="W9" s="19"/>
      <c r="X9" s="46"/>
      <c r="Y9" s="19"/>
      <c r="Z9" s="19"/>
      <c r="AA9" s="19"/>
      <c r="AB9" s="19"/>
      <c r="AC9" s="79" t="s">
        <v>54</v>
      </c>
      <c r="AE9" s="46"/>
      <c r="AH9" s="61" t="s">
        <v>122</v>
      </c>
      <c r="AJ9" s="19"/>
      <c r="AK9" s="19"/>
      <c r="AL9" s="46"/>
      <c r="AM9" s="79" t="s">
        <v>57</v>
      </c>
      <c r="AN9" s="19"/>
      <c r="AO9" s="19"/>
      <c r="AP9" s="19"/>
      <c r="AQ9" s="19"/>
      <c r="AR9" s="19"/>
      <c r="AS9" s="46"/>
      <c r="AT9" s="19"/>
      <c r="AU9" s="19"/>
      <c r="AV9" s="19"/>
      <c r="AW9" s="79" t="s">
        <v>146</v>
      </c>
      <c r="AX9" s="19"/>
      <c r="AY9" s="19"/>
      <c r="AZ9" s="46"/>
      <c r="BA9" s="19"/>
      <c r="BB9" s="19"/>
      <c r="BC9" s="76"/>
      <c r="BD9" s="19"/>
      <c r="BE9" s="19"/>
      <c r="BF9" s="19"/>
      <c r="BG9" s="46"/>
      <c r="BH9" s="19"/>
      <c r="BI9" s="19"/>
      <c r="BJ9" s="19"/>
    </row>
    <row r="10" spans="1:65" s="14" customFormat="1" ht="15.75" x14ac:dyDescent="0.25">
      <c r="A10" s="98"/>
      <c r="B10" s="22"/>
      <c r="C10" s="23" t="s">
        <v>2</v>
      </c>
      <c r="D10" s="25">
        <f t="shared" ref="D10:G10" si="62">600*D11/36.4*0.75</f>
        <v>1471.1538461538462</v>
      </c>
      <c r="E10" s="25">
        <f t="shared" si="62"/>
        <v>1471.1538461538462</v>
      </c>
      <c r="F10" s="25">
        <f t="shared" si="62"/>
        <v>1471.1538461538462</v>
      </c>
      <c r="G10" s="25">
        <f t="shared" si="62"/>
        <v>1471.1538461538462</v>
      </c>
      <c r="H10" s="25">
        <f>600*H11/36.4*0.75</f>
        <v>1471.1538461538462</v>
      </c>
      <c r="I10" s="25">
        <f>600*I11/36.4*0.75</f>
        <v>642.85714285714289</v>
      </c>
      <c r="J10" s="78"/>
      <c r="K10" s="25">
        <v>0</v>
      </c>
      <c r="L10" s="25">
        <v>0</v>
      </c>
      <c r="M10" s="25">
        <v>528</v>
      </c>
      <c r="N10" s="25">
        <v>528</v>
      </c>
      <c r="O10" s="25">
        <v>0</v>
      </c>
      <c r="P10" s="25">
        <f t="shared" ref="P10" si="63">600*P11/48.46*0.87</f>
        <v>581.67560874948413</v>
      </c>
      <c r="Q10" s="78"/>
      <c r="R10" s="25">
        <f t="shared" ref="R10" si="64">600*R11/48.46*0.87</f>
        <v>581.67560874948413</v>
      </c>
      <c r="S10" s="25">
        <f t="shared" ref="S10:U10" si="65">600*S11/48.46*0.87</f>
        <v>581.67560874948413</v>
      </c>
      <c r="T10" s="25">
        <f t="shared" si="65"/>
        <v>581.67560874948413</v>
      </c>
      <c r="U10" s="25">
        <f t="shared" si="65"/>
        <v>581.67560874948413</v>
      </c>
      <c r="V10" s="25">
        <v>0</v>
      </c>
      <c r="W10" s="25">
        <f t="shared" ref="W10:AB10" si="66">600*W11/59.71*0.91</f>
        <v>493.7866354044549</v>
      </c>
      <c r="X10" s="78"/>
      <c r="Y10" s="25">
        <f t="shared" si="66"/>
        <v>493.7866354044549</v>
      </c>
      <c r="Z10" s="25">
        <f t="shared" si="66"/>
        <v>493.7866354044549</v>
      </c>
      <c r="AA10" s="25">
        <f t="shared" si="66"/>
        <v>493.7866354044549</v>
      </c>
      <c r="AB10" s="25">
        <f t="shared" si="66"/>
        <v>493.7866354044549</v>
      </c>
      <c r="AC10" s="25">
        <v>0</v>
      </c>
      <c r="AD10" s="25">
        <f t="shared" ref="AD10:AG10" si="67">600*AD11/48.46*0.91</f>
        <v>608.41931489888566</v>
      </c>
      <c r="AE10" s="47"/>
      <c r="AF10" s="25">
        <f t="shared" si="67"/>
        <v>608.41931489888566</v>
      </c>
      <c r="AG10" s="25">
        <f t="shared" si="67"/>
        <v>608.41931489888566</v>
      </c>
      <c r="AH10" s="25">
        <v>0</v>
      </c>
      <c r="AI10" s="25">
        <f>AI11*600/34.12*0.87</f>
        <v>826.14302461899183</v>
      </c>
      <c r="AJ10" s="25">
        <f>AJ11*600/34.12*0.87</f>
        <v>826.14302461899183</v>
      </c>
      <c r="AK10" s="25">
        <f>AK11*600/34.12*0.87</f>
        <v>826.14302461899183</v>
      </c>
      <c r="AL10" s="47"/>
      <c r="AM10" s="25">
        <v>0</v>
      </c>
      <c r="AN10" s="25">
        <f t="shared" ref="AN10:AV10" si="68">AN11*600/47.5*0.87</f>
        <v>593.43157894736839</v>
      </c>
      <c r="AO10" s="25">
        <f t="shared" si="68"/>
        <v>593.43157894736839</v>
      </c>
      <c r="AP10" s="25">
        <f t="shared" si="68"/>
        <v>593.43157894736839</v>
      </c>
      <c r="AQ10" s="25">
        <f t="shared" si="68"/>
        <v>593.43157894736839</v>
      </c>
      <c r="AR10" s="25">
        <f t="shared" si="68"/>
        <v>593.43157894736839</v>
      </c>
      <c r="AS10" s="47"/>
      <c r="AT10" s="25">
        <f t="shared" si="68"/>
        <v>593.43157894736839</v>
      </c>
      <c r="AU10" s="25">
        <f t="shared" si="68"/>
        <v>593.43157894736839</v>
      </c>
      <c r="AV10" s="25">
        <f t="shared" si="68"/>
        <v>593.43157894736839</v>
      </c>
      <c r="AW10" s="86">
        <v>0</v>
      </c>
      <c r="AX10" s="86">
        <f>600*AX11/55.71*0.91</f>
        <v>529.24071082390947</v>
      </c>
      <c r="AY10" s="86">
        <f>600*AY11/55.71*0.91</f>
        <v>529.24071082390947</v>
      </c>
      <c r="AZ10" s="47"/>
      <c r="BA10" s="86">
        <f t="shared" ref="BA10:BC10" si="69">600*BA11/55.71*0.91</f>
        <v>529.24071082390947</v>
      </c>
      <c r="BB10" s="86">
        <f t="shared" si="69"/>
        <v>529.24071082390947</v>
      </c>
      <c r="BC10" s="86">
        <f t="shared" si="69"/>
        <v>529.24071082390947</v>
      </c>
      <c r="BD10" s="25"/>
      <c r="BE10" s="25"/>
      <c r="BF10" s="25"/>
      <c r="BG10" s="47"/>
      <c r="BH10" s="25"/>
      <c r="BI10" s="25"/>
      <c r="BJ10" s="25"/>
    </row>
    <row r="11" spans="1:65" s="14" customFormat="1" ht="15.75" x14ac:dyDescent="0.25">
      <c r="A11" s="99"/>
      <c r="B11" s="26"/>
      <c r="C11" s="23" t="s">
        <v>8</v>
      </c>
      <c r="D11" s="24">
        <f t="shared" ref="D11:H11" si="70">52+67</f>
        <v>119</v>
      </c>
      <c r="E11" s="24">
        <f t="shared" si="70"/>
        <v>119</v>
      </c>
      <c r="F11" s="24">
        <f t="shared" si="70"/>
        <v>119</v>
      </c>
      <c r="G11" s="24">
        <f t="shared" si="70"/>
        <v>119</v>
      </c>
      <c r="H11" s="24">
        <f t="shared" si="70"/>
        <v>119</v>
      </c>
      <c r="I11" s="24">
        <v>52</v>
      </c>
      <c r="J11" s="48"/>
      <c r="K11" s="24">
        <v>54</v>
      </c>
      <c r="L11" s="24">
        <v>54</v>
      </c>
      <c r="M11" s="24">
        <v>54</v>
      </c>
      <c r="N11" s="24">
        <v>54</v>
      </c>
      <c r="O11" s="24">
        <v>54</v>
      </c>
      <c r="P11" s="24">
        <v>54</v>
      </c>
      <c r="Q11" s="48"/>
      <c r="R11" s="24">
        <v>54</v>
      </c>
      <c r="S11" s="24">
        <v>54</v>
      </c>
      <c r="T11" s="24">
        <v>54</v>
      </c>
      <c r="U11" s="24">
        <v>54</v>
      </c>
      <c r="V11" s="24">
        <v>54</v>
      </c>
      <c r="W11" s="24">
        <v>54</v>
      </c>
      <c r="X11" s="48"/>
      <c r="Y11" s="24">
        <v>54</v>
      </c>
      <c r="Z11" s="24">
        <v>54</v>
      </c>
      <c r="AA11" s="24">
        <v>54</v>
      </c>
      <c r="AB11" s="24">
        <v>54</v>
      </c>
      <c r="AC11" s="24">
        <v>54</v>
      </c>
      <c r="AD11" s="24">
        <v>54</v>
      </c>
      <c r="AE11" s="48"/>
      <c r="AF11" s="24">
        <v>54</v>
      </c>
      <c r="AG11" s="24">
        <v>54</v>
      </c>
      <c r="AH11" s="24">
        <v>54</v>
      </c>
      <c r="AI11" s="24">
        <v>54</v>
      </c>
      <c r="AJ11" s="24">
        <v>54</v>
      </c>
      <c r="AK11" s="24">
        <v>54</v>
      </c>
      <c r="AL11" s="48"/>
      <c r="AM11" s="24">
        <v>54</v>
      </c>
      <c r="AN11" s="24">
        <v>54</v>
      </c>
      <c r="AO11" s="24">
        <v>54</v>
      </c>
      <c r="AP11" s="24">
        <v>54</v>
      </c>
      <c r="AQ11" s="24">
        <v>54</v>
      </c>
      <c r="AR11" s="24">
        <v>54</v>
      </c>
      <c r="AS11" s="48"/>
      <c r="AT11" s="24">
        <v>54</v>
      </c>
      <c r="AU11" s="24">
        <v>54</v>
      </c>
      <c r="AV11" s="24">
        <v>54</v>
      </c>
      <c r="AW11" s="24">
        <v>54</v>
      </c>
      <c r="AX11" s="24">
        <v>54</v>
      </c>
      <c r="AY11" s="24">
        <v>54</v>
      </c>
      <c r="AZ11" s="48"/>
      <c r="BA11" s="24">
        <v>54</v>
      </c>
      <c r="BB11" s="24">
        <v>54</v>
      </c>
      <c r="BC11" s="24">
        <v>54</v>
      </c>
      <c r="BD11" s="24">
        <v>54</v>
      </c>
      <c r="BE11" s="24">
        <v>54</v>
      </c>
      <c r="BF11" s="24">
        <v>54</v>
      </c>
      <c r="BG11" s="48"/>
      <c r="BH11" s="24">
        <v>54</v>
      </c>
      <c r="BI11" s="24">
        <v>54</v>
      </c>
      <c r="BJ11" s="24">
        <v>54</v>
      </c>
      <c r="BK11" s="24">
        <v>54</v>
      </c>
      <c r="BL11" s="24">
        <v>54</v>
      </c>
      <c r="BM11" s="24">
        <v>54</v>
      </c>
    </row>
    <row r="12" spans="1:65" ht="31.5" customHeight="1" x14ac:dyDescent="0.25">
      <c r="A12" s="57" t="s">
        <v>37</v>
      </c>
      <c r="B12" s="68" t="s">
        <v>107</v>
      </c>
      <c r="C12" s="18" t="s">
        <v>9</v>
      </c>
      <c r="J12" s="48"/>
      <c r="K12" s="67" t="s">
        <v>95</v>
      </c>
      <c r="Q12" s="46"/>
      <c r="X12" s="46"/>
      <c r="AB12" s="79" t="s">
        <v>75</v>
      </c>
      <c r="AE12" s="46"/>
      <c r="AF12" s="61" t="s">
        <v>119</v>
      </c>
      <c r="AG12" s="3" t="s">
        <v>176</v>
      </c>
      <c r="AL12" s="46"/>
      <c r="AM12" s="61" t="s">
        <v>137</v>
      </c>
      <c r="AS12" s="46"/>
      <c r="AZ12" s="46"/>
      <c r="BG12" s="46"/>
    </row>
    <row r="13" spans="1:65" s="14" customFormat="1" ht="15.75" x14ac:dyDescent="0.25">
      <c r="A13" s="98"/>
      <c r="B13" s="100"/>
      <c r="C13" s="23" t="s">
        <v>2</v>
      </c>
      <c r="D13" s="25">
        <v>0</v>
      </c>
      <c r="E13" s="25">
        <f t="shared" ref="E13:I13" si="71">600*E14/34.41*0.87</f>
        <v>1441.1508282476025</v>
      </c>
      <c r="F13" s="25">
        <f t="shared" si="71"/>
        <v>1441.1508282476025</v>
      </c>
      <c r="G13" s="25">
        <f t="shared" si="71"/>
        <v>1441.1508282476025</v>
      </c>
      <c r="H13" s="25">
        <f t="shared" si="71"/>
        <v>1441.1508282476025</v>
      </c>
      <c r="I13" s="25">
        <f t="shared" si="71"/>
        <v>1441.1508282476025</v>
      </c>
      <c r="J13" s="48"/>
      <c r="K13" s="25">
        <v>0</v>
      </c>
      <c r="L13" s="25">
        <f t="shared" ref="L13" si="72">600*L14/34.41*0.87</f>
        <v>1441.1508282476025</v>
      </c>
      <c r="M13" s="25">
        <f t="shared" ref="M13:AA13" si="73">600*M14/34.41*0.87</f>
        <v>1441.1508282476025</v>
      </c>
      <c r="N13" s="25">
        <f t="shared" si="73"/>
        <v>1441.1508282476025</v>
      </c>
      <c r="O13" s="25">
        <f t="shared" si="73"/>
        <v>1441.1508282476025</v>
      </c>
      <c r="P13" s="25">
        <f t="shared" si="73"/>
        <v>1441.1508282476025</v>
      </c>
      <c r="Q13" s="47"/>
      <c r="R13" s="25">
        <f t="shared" si="73"/>
        <v>1441.1508282476025</v>
      </c>
      <c r="S13" s="25">
        <f t="shared" si="73"/>
        <v>1441.1508282476025</v>
      </c>
      <c r="T13" s="25">
        <f t="shared" si="73"/>
        <v>1441.1508282476025</v>
      </c>
      <c r="U13" s="25">
        <f t="shared" si="73"/>
        <v>1441.1508282476025</v>
      </c>
      <c r="V13" s="25">
        <f t="shared" si="73"/>
        <v>1441.1508282476025</v>
      </c>
      <c r="W13" s="25">
        <f t="shared" si="73"/>
        <v>1441.1508282476025</v>
      </c>
      <c r="X13" s="47"/>
      <c r="Y13" s="25">
        <f t="shared" si="73"/>
        <v>1441.1508282476025</v>
      </c>
      <c r="Z13" s="25">
        <f t="shared" si="73"/>
        <v>1441.1508282476025</v>
      </c>
      <c r="AA13" s="25">
        <f t="shared" si="73"/>
        <v>1441.1508282476025</v>
      </c>
      <c r="AB13" s="25"/>
      <c r="AC13" s="25">
        <f>600*AC14/46.72*0.75</f>
        <v>915.02568493150682</v>
      </c>
      <c r="AD13" s="25">
        <f>600*AD14/46.72*0.75</f>
        <v>915.02568493150682</v>
      </c>
      <c r="AE13" s="47"/>
      <c r="AF13" s="25"/>
      <c r="AG13" s="25">
        <f>600*AG14/67.25*0.75</f>
        <v>635.68773234200739</v>
      </c>
      <c r="AH13" s="25">
        <f t="shared" ref="AH13:AK13" si="74">600*AH14/67.25*0.75</f>
        <v>635.68773234200739</v>
      </c>
      <c r="AI13" s="25">
        <f t="shared" si="74"/>
        <v>635.68773234200739</v>
      </c>
      <c r="AJ13" s="25">
        <f t="shared" si="74"/>
        <v>635.68773234200739</v>
      </c>
      <c r="AK13" s="25">
        <f t="shared" si="74"/>
        <v>635.68773234200739</v>
      </c>
      <c r="AL13" s="47"/>
      <c r="AM13" s="25">
        <v>0</v>
      </c>
      <c r="AN13" s="25">
        <f>600*AN14/20.23*0.75</f>
        <v>2113.1982204646565</v>
      </c>
      <c r="AO13" s="25">
        <f t="shared" ref="AO13:AQ13" si="75">600*AO14/20.23*0.75</f>
        <v>2113.1982204646565</v>
      </c>
      <c r="AP13" s="25">
        <f t="shared" si="75"/>
        <v>2113.1982204646565</v>
      </c>
      <c r="AQ13" s="25">
        <f t="shared" si="75"/>
        <v>2113.1982204646565</v>
      </c>
      <c r="AR13" s="25"/>
      <c r="AS13" s="47"/>
      <c r="AT13" s="25"/>
      <c r="AU13" s="62">
        <v>0</v>
      </c>
      <c r="AV13" s="86">
        <f t="shared" ref="AV13" si="76">600*AV14/59.71*0.91</f>
        <v>868.69871043376327</v>
      </c>
      <c r="AW13" s="25"/>
      <c r="AX13" s="25"/>
      <c r="AY13" s="25"/>
      <c r="AZ13" s="47"/>
      <c r="BA13" s="25"/>
      <c r="BB13" s="25"/>
      <c r="BC13" s="25"/>
      <c r="BD13" s="25"/>
      <c r="BE13" s="25"/>
      <c r="BF13" s="25"/>
      <c r="BG13" s="47"/>
      <c r="BH13" s="25"/>
      <c r="BI13" s="25"/>
      <c r="BJ13" s="25"/>
    </row>
    <row r="14" spans="1:65" s="14" customFormat="1" ht="15.75" x14ac:dyDescent="0.25">
      <c r="A14" s="99"/>
      <c r="B14" s="101"/>
      <c r="C14" s="23" t="s">
        <v>8</v>
      </c>
      <c r="D14" s="60">
        <v>95</v>
      </c>
      <c r="E14" s="60">
        <v>95</v>
      </c>
      <c r="F14" s="60">
        <v>95</v>
      </c>
      <c r="G14" s="60">
        <v>95</v>
      </c>
      <c r="H14" s="60">
        <v>95</v>
      </c>
      <c r="I14" s="60">
        <v>95</v>
      </c>
      <c r="J14" s="48"/>
      <c r="K14" s="60">
        <v>95</v>
      </c>
      <c r="L14" s="60">
        <v>95</v>
      </c>
      <c r="M14" s="60">
        <v>95</v>
      </c>
      <c r="N14" s="60">
        <v>95</v>
      </c>
      <c r="O14" s="60">
        <v>95</v>
      </c>
      <c r="P14" s="60">
        <v>95</v>
      </c>
      <c r="Q14" s="48"/>
      <c r="R14" s="60">
        <v>95</v>
      </c>
      <c r="S14" s="60">
        <v>95</v>
      </c>
      <c r="T14" s="60">
        <v>95</v>
      </c>
      <c r="U14" s="60">
        <v>95</v>
      </c>
      <c r="V14" s="60">
        <v>95</v>
      </c>
      <c r="W14" s="60">
        <v>95</v>
      </c>
      <c r="X14" s="48"/>
      <c r="Y14" s="60">
        <v>95</v>
      </c>
      <c r="Z14" s="60">
        <v>95</v>
      </c>
      <c r="AA14" s="60">
        <v>95</v>
      </c>
      <c r="AB14" s="60">
        <v>95</v>
      </c>
      <c r="AC14" s="60">
        <v>95</v>
      </c>
      <c r="AD14" s="60">
        <v>95</v>
      </c>
      <c r="AE14" s="48"/>
      <c r="AF14" s="60">
        <v>95</v>
      </c>
      <c r="AG14" s="60">
        <v>95</v>
      </c>
      <c r="AH14" s="60">
        <v>95</v>
      </c>
      <c r="AI14" s="60">
        <v>95</v>
      </c>
      <c r="AJ14" s="60">
        <v>95</v>
      </c>
      <c r="AK14" s="60">
        <v>95</v>
      </c>
      <c r="AL14" s="48"/>
      <c r="AM14" s="60">
        <v>95</v>
      </c>
      <c r="AN14" s="60">
        <v>95</v>
      </c>
      <c r="AO14" s="60">
        <v>95</v>
      </c>
      <c r="AP14" s="60">
        <v>95</v>
      </c>
      <c r="AQ14" s="60">
        <v>95</v>
      </c>
      <c r="AR14" s="60">
        <v>95</v>
      </c>
      <c r="AS14" s="48"/>
      <c r="AT14" s="60">
        <v>95</v>
      </c>
      <c r="AU14" s="60">
        <v>95</v>
      </c>
      <c r="AV14" s="60">
        <v>95</v>
      </c>
      <c r="AW14" s="60">
        <v>95</v>
      </c>
      <c r="AX14" s="60">
        <v>95</v>
      </c>
      <c r="AY14" s="60">
        <v>95</v>
      </c>
      <c r="AZ14" s="48"/>
      <c r="BA14" s="60"/>
      <c r="BB14" s="60"/>
      <c r="BC14" s="60"/>
      <c r="BD14" s="60"/>
      <c r="BE14" s="60"/>
      <c r="BF14" s="60"/>
      <c r="BG14" s="48"/>
      <c r="BH14" s="60"/>
      <c r="BI14" s="60"/>
      <c r="BJ14" s="60"/>
    </row>
    <row r="15" spans="1:65" ht="31.5" customHeight="1" x14ac:dyDescent="0.25">
      <c r="A15" s="57" t="s">
        <v>124</v>
      </c>
      <c r="B15" s="61" t="s">
        <v>27</v>
      </c>
      <c r="C15" s="18"/>
      <c r="J15" s="46"/>
      <c r="M15" s="81" t="s">
        <v>179</v>
      </c>
      <c r="N15" s="3" t="s">
        <v>180</v>
      </c>
      <c r="Q15" s="46"/>
      <c r="X15" s="46"/>
      <c r="AE15" s="46"/>
      <c r="AL15" s="46"/>
      <c r="AS15" s="46"/>
      <c r="AZ15" s="46"/>
      <c r="BG15" s="46"/>
    </row>
    <row r="16" spans="1:65" s="14" customFormat="1" ht="15.75" x14ac:dyDescent="0.25">
      <c r="A16" s="98"/>
      <c r="B16" s="100"/>
      <c r="C16" s="23"/>
      <c r="D16" s="86">
        <f t="shared" ref="D16:L16" si="77">600*D17/36.01*0.95</f>
        <v>2231.8800333240765</v>
      </c>
      <c r="E16" s="86">
        <f t="shared" si="77"/>
        <v>2231.8800333240765</v>
      </c>
      <c r="F16" s="86">
        <f t="shared" si="77"/>
        <v>2231.8800333240765</v>
      </c>
      <c r="G16" s="86">
        <f t="shared" si="77"/>
        <v>2231.8800333240765</v>
      </c>
      <c r="H16" s="86">
        <f t="shared" si="77"/>
        <v>2231.8800333240765</v>
      </c>
      <c r="I16" s="86">
        <f t="shared" si="77"/>
        <v>2231.8800333240765</v>
      </c>
      <c r="J16" s="78"/>
      <c r="K16" s="25">
        <f t="shared" si="77"/>
        <v>2231.8800333240765</v>
      </c>
      <c r="L16" s="25">
        <f t="shared" si="77"/>
        <v>2231.8800333240765</v>
      </c>
      <c r="M16" s="25">
        <v>0</v>
      </c>
      <c r="N16" s="25">
        <f>600*N17/42.2*0.95</f>
        <v>1904.5023696682463</v>
      </c>
      <c r="O16" s="25">
        <f t="shared" ref="O16:P16" si="78">600*O17/42.2*0.95</f>
        <v>1904.5023696682463</v>
      </c>
      <c r="P16" s="25">
        <f t="shared" si="78"/>
        <v>1904.5023696682463</v>
      </c>
      <c r="Q16" s="78"/>
      <c r="R16" s="25">
        <f t="shared" ref="R16" si="79">600*R17/42.2*0.95</f>
        <v>1904.5023696682463</v>
      </c>
      <c r="S16" s="25">
        <f t="shared" ref="S16" si="80">600*S17/42.2*0.95</f>
        <v>1904.5023696682463</v>
      </c>
      <c r="T16" s="25">
        <f t="shared" ref="T16" si="81">600*T17/42.2*0.95</f>
        <v>1904.5023696682463</v>
      </c>
      <c r="U16" s="25">
        <f t="shared" ref="U16" si="82">600*U17/42.2*0.95</f>
        <v>1904.5023696682463</v>
      </c>
      <c r="V16" s="25">
        <f t="shared" ref="V16" si="83">600*V17/42.2*0.95</f>
        <v>1904.5023696682463</v>
      </c>
      <c r="W16" s="25">
        <f t="shared" ref="W16" si="84">600*W17/42.2*0.95</f>
        <v>1904.5023696682463</v>
      </c>
      <c r="X16" s="47"/>
      <c r="Y16" s="25">
        <f t="shared" ref="Y16" si="85">600*Y17/42.2*0.95</f>
        <v>1904.5023696682463</v>
      </c>
      <c r="Z16" s="25">
        <f t="shared" ref="Z16" si="86">600*Z17/42.2*0.95</f>
        <v>1904.5023696682463</v>
      </c>
      <c r="AA16" s="25">
        <f t="shared" ref="AA16" si="87">600*AA17/42.2*0.95</f>
        <v>1904.5023696682463</v>
      </c>
      <c r="AB16" s="25">
        <f t="shared" ref="AB16" si="88">600*AB17/42.2*0.95</f>
        <v>1904.5023696682463</v>
      </c>
      <c r="AC16" s="25">
        <f t="shared" ref="AC16" si="89">600*AC17/42.2*0.95</f>
        <v>1904.5023696682463</v>
      </c>
      <c r="AD16" s="25">
        <f t="shared" ref="AD16" si="90">600*AD17/42.2*0.95</f>
        <v>1904.5023696682463</v>
      </c>
      <c r="AE16" s="47"/>
      <c r="AF16" s="25">
        <f t="shared" ref="AF16" si="91">600*AF17/42.2*0.95</f>
        <v>1904.5023696682463</v>
      </c>
      <c r="AG16" s="25">
        <f t="shared" ref="AG16" si="92">600*AG17/42.2*0.95</f>
        <v>1904.5023696682463</v>
      </c>
      <c r="AH16" s="25">
        <f t="shared" ref="AH16" si="93">600*AH17/42.2*0.95</f>
        <v>1904.5023696682463</v>
      </c>
      <c r="AI16" s="25">
        <f t="shared" ref="AI16" si="94">600*AI17/42.2*0.95</f>
        <v>1904.5023696682463</v>
      </c>
      <c r="AJ16" s="25">
        <f t="shared" ref="AJ16" si="95">600*AJ17/42.2*0.95</f>
        <v>1904.5023696682463</v>
      </c>
      <c r="AK16" s="25">
        <f t="shared" ref="AK16" si="96">600*AK17/42.2*0.95</f>
        <v>1904.5023696682463</v>
      </c>
      <c r="AL16" s="47"/>
      <c r="AM16" s="25">
        <f t="shared" ref="AM16" si="97">600*AM17/42.2*0.95</f>
        <v>1904.5023696682463</v>
      </c>
      <c r="AN16" s="25">
        <f t="shared" ref="AN16" si="98">600*AN17/42.2*0.95</f>
        <v>1904.5023696682463</v>
      </c>
      <c r="AO16" s="25">
        <f t="shared" ref="AO16" si="99">600*AO17/42.2*0.95</f>
        <v>1904.5023696682463</v>
      </c>
      <c r="AP16" s="25">
        <f t="shared" ref="AP16" si="100">600*AP17/42.2*0.95</f>
        <v>1904.5023696682463</v>
      </c>
      <c r="AQ16" s="25">
        <f t="shared" ref="AQ16" si="101">600*AQ17/42.2*0.95</f>
        <v>1904.5023696682463</v>
      </c>
      <c r="AR16" s="25">
        <f t="shared" ref="AR16" si="102">600*AR17/42.2*0.95</f>
        <v>1904.5023696682463</v>
      </c>
      <c r="AS16" s="47"/>
      <c r="AT16" s="25">
        <f t="shared" ref="AT16" si="103">600*AT17/42.2*0.95</f>
        <v>1904.5023696682463</v>
      </c>
      <c r="AU16" s="25">
        <f t="shared" ref="AU16" si="104">600*AU17/42.2*0.95</f>
        <v>1904.5023696682463</v>
      </c>
      <c r="AV16" s="25">
        <f t="shared" ref="AV16" si="105">600*AV17/42.2*0.95</f>
        <v>1904.5023696682463</v>
      </c>
      <c r="AW16" s="86">
        <v>0</v>
      </c>
      <c r="AX16" s="86">
        <f t="shared" ref="AX16:AY16" si="106">600*AX17/59.71*0.91</f>
        <v>1289.3317702227432</v>
      </c>
      <c r="AY16" s="86">
        <f t="shared" si="106"/>
        <v>1289.3317702227432</v>
      </c>
      <c r="AZ16" s="47"/>
      <c r="BA16" s="86">
        <f t="shared" ref="BA16:BF16" si="107">600*BA17/59.71*0.91</f>
        <v>1289.3317702227432</v>
      </c>
      <c r="BB16" s="86">
        <f t="shared" si="107"/>
        <v>1289.3317702227432</v>
      </c>
      <c r="BC16" s="86">
        <f t="shared" si="107"/>
        <v>1289.3317702227432</v>
      </c>
      <c r="BD16" s="86">
        <f t="shared" si="107"/>
        <v>1289.3317702227432</v>
      </c>
      <c r="BE16" s="86">
        <f t="shared" si="107"/>
        <v>1289.3317702227432</v>
      </c>
      <c r="BF16" s="86">
        <f t="shared" si="107"/>
        <v>1289.3317702227432</v>
      </c>
      <c r="BG16" s="47"/>
      <c r="BH16" s="25"/>
      <c r="BI16" s="25"/>
      <c r="BJ16" s="25"/>
    </row>
    <row r="17" spans="1:62" s="14" customFormat="1" ht="15.75" x14ac:dyDescent="0.25">
      <c r="A17" s="99"/>
      <c r="B17" s="101"/>
      <c r="C17" s="23"/>
      <c r="D17" s="60">
        <f t="shared" ref="D17:AY17" si="108">69+72</f>
        <v>141</v>
      </c>
      <c r="E17" s="60">
        <f t="shared" si="108"/>
        <v>141</v>
      </c>
      <c r="F17" s="60">
        <f t="shared" si="108"/>
        <v>141</v>
      </c>
      <c r="G17" s="60">
        <f t="shared" si="108"/>
        <v>141</v>
      </c>
      <c r="H17" s="60">
        <f t="shared" si="108"/>
        <v>141</v>
      </c>
      <c r="I17" s="60">
        <f t="shared" si="108"/>
        <v>141</v>
      </c>
      <c r="J17" s="48"/>
      <c r="K17" s="60">
        <f t="shared" si="108"/>
        <v>141</v>
      </c>
      <c r="L17" s="60">
        <f t="shared" si="108"/>
        <v>141</v>
      </c>
      <c r="M17" s="60">
        <f t="shared" si="108"/>
        <v>141</v>
      </c>
      <c r="N17" s="60">
        <f t="shared" si="108"/>
        <v>141</v>
      </c>
      <c r="O17" s="60">
        <f t="shared" si="108"/>
        <v>141</v>
      </c>
      <c r="P17" s="60">
        <f t="shared" si="108"/>
        <v>141</v>
      </c>
      <c r="Q17" s="48"/>
      <c r="R17" s="60">
        <f t="shared" si="108"/>
        <v>141</v>
      </c>
      <c r="S17" s="60">
        <f t="shared" si="108"/>
        <v>141</v>
      </c>
      <c r="T17" s="60">
        <f t="shared" si="108"/>
        <v>141</v>
      </c>
      <c r="U17" s="60">
        <f t="shared" si="108"/>
        <v>141</v>
      </c>
      <c r="V17" s="60">
        <f t="shared" si="108"/>
        <v>141</v>
      </c>
      <c r="W17" s="60">
        <f t="shared" si="108"/>
        <v>141</v>
      </c>
      <c r="X17" s="48"/>
      <c r="Y17" s="60">
        <f t="shared" si="108"/>
        <v>141</v>
      </c>
      <c r="Z17" s="60">
        <f t="shared" si="108"/>
        <v>141</v>
      </c>
      <c r="AA17" s="60">
        <f t="shared" si="108"/>
        <v>141</v>
      </c>
      <c r="AB17" s="60">
        <f t="shared" si="108"/>
        <v>141</v>
      </c>
      <c r="AC17" s="60">
        <f t="shared" si="108"/>
        <v>141</v>
      </c>
      <c r="AD17" s="60">
        <f t="shared" si="108"/>
        <v>141</v>
      </c>
      <c r="AE17" s="48"/>
      <c r="AF17" s="60">
        <f t="shared" si="108"/>
        <v>141</v>
      </c>
      <c r="AG17" s="60">
        <f t="shared" si="108"/>
        <v>141</v>
      </c>
      <c r="AH17" s="60">
        <f t="shared" si="108"/>
        <v>141</v>
      </c>
      <c r="AI17" s="60">
        <f t="shared" si="108"/>
        <v>141</v>
      </c>
      <c r="AJ17" s="60">
        <f t="shared" si="108"/>
        <v>141</v>
      </c>
      <c r="AK17" s="60">
        <f t="shared" si="108"/>
        <v>141</v>
      </c>
      <c r="AL17" s="48"/>
      <c r="AM17" s="60">
        <f t="shared" si="108"/>
        <v>141</v>
      </c>
      <c r="AN17" s="60">
        <f t="shared" si="108"/>
        <v>141</v>
      </c>
      <c r="AO17" s="60">
        <f t="shared" si="108"/>
        <v>141</v>
      </c>
      <c r="AP17" s="60">
        <f t="shared" si="108"/>
        <v>141</v>
      </c>
      <c r="AQ17" s="60">
        <f t="shared" si="108"/>
        <v>141</v>
      </c>
      <c r="AR17" s="60">
        <f t="shared" si="108"/>
        <v>141</v>
      </c>
      <c r="AS17" s="48"/>
      <c r="AT17" s="60">
        <f t="shared" si="108"/>
        <v>141</v>
      </c>
      <c r="AU17" s="60">
        <f t="shared" si="108"/>
        <v>141</v>
      </c>
      <c r="AV17" s="60">
        <f t="shared" si="108"/>
        <v>141</v>
      </c>
      <c r="AW17" s="60">
        <f t="shared" si="108"/>
        <v>141</v>
      </c>
      <c r="AX17" s="60">
        <f t="shared" si="108"/>
        <v>141</v>
      </c>
      <c r="AY17" s="60">
        <f t="shared" si="108"/>
        <v>141</v>
      </c>
      <c r="AZ17" s="48"/>
      <c r="BA17" s="60">
        <f t="shared" ref="BA17:BF17" si="109">69+72</f>
        <v>141</v>
      </c>
      <c r="BB17" s="60">
        <f t="shared" si="109"/>
        <v>141</v>
      </c>
      <c r="BC17" s="60">
        <f t="shared" si="109"/>
        <v>141</v>
      </c>
      <c r="BD17" s="60">
        <f t="shared" si="109"/>
        <v>141</v>
      </c>
      <c r="BE17" s="60">
        <f t="shared" si="109"/>
        <v>141</v>
      </c>
      <c r="BF17" s="60">
        <f t="shared" si="109"/>
        <v>141</v>
      </c>
      <c r="BG17" s="48"/>
      <c r="BH17" s="60"/>
      <c r="BI17" s="60"/>
      <c r="BJ17" s="60"/>
    </row>
    <row r="18" spans="1:62" s="14" customFormat="1" ht="31.5" customHeight="1" x14ac:dyDescent="0.25">
      <c r="A18" s="57" t="s">
        <v>38</v>
      </c>
      <c r="B18" s="67" t="s">
        <v>24</v>
      </c>
      <c r="C18" s="18" t="s">
        <v>9</v>
      </c>
      <c r="D18" s="19"/>
      <c r="E18" s="67" t="s">
        <v>24</v>
      </c>
      <c r="F18" s="3"/>
      <c r="G18" s="3"/>
      <c r="H18" s="3"/>
      <c r="I18" s="3"/>
      <c r="J18" s="51"/>
      <c r="K18" s="3"/>
      <c r="L18" s="3"/>
      <c r="M18" s="3"/>
      <c r="N18" s="3"/>
      <c r="O18" s="3"/>
      <c r="P18" s="3"/>
      <c r="Q18" s="51"/>
      <c r="R18" s="79" t="s">
        <v>50</v>
      </c>
      <c r="S18" s="3"/>
      <c r="T18" s="3"/>
      <c r="U18" s="3"/>
      <c r="V18" s="3"/>
      <c r="W18" s="3"/>
      <c r="X18" s="51"/>
      <c r="Y18" s="16"/>
      <c r="Z18" s="16"/>
      <c r="AA18" s="16"/>
      <c r="AB18" s="16"/>
      <c r="AC18" s="16"/>
      <c r="AD18" s="16"/>
      <c r="AE18" s="49"/>
      <c r="AF18" s="16"/>
      <c r="AG18" s="16"/>
      <c r="AH18" s="16"/>
      <c r="AI18" s="16"/>
      <c r="AJ18" s="56" t="s">
        <v>31</v>
      </c>
      <c r="AK18" s="19"/>
      <c r="AL18" s="49"/>
      <c r="AM18" s="16"/>
      <c r="AN18" s="16"/>
      <c r="AO18" s="16"/>
      <c r="AP18" s="16"/>
      <c r="AQ18" s="16"/>
      <c r="AR18" s="16"/>
      <c r="AS18" s="49"/>
      <c r="AT18" s="16"/>
      <c r="AU18" s="16"/>
      <c r="AV18" s="16"/>
      <c r="AW18" s="16"/>
      <c r="AX18" s="16"/>
      <c r="AY18" s="16"/>
      <c r="AZ18" s="49"/>
      <c r="BA18" s="16"/>
      <c r="BB18" s="16"/>
      <c r="BC18" s="16"/>
      <c r="BD18" s="16"/>
      <c r="BE18" s="16"/>
      <c r="BF18" s="16"/>
      <c r="BG18" s="49"/>
      <c r="BH18" s="16"/>
      <c r="BI18" s="16"/>
      <c r="BJ18" s="16"/>
    </row>
    <row r="19" spans="1:62" ht="15.75" x14ac:dyDescent="0.25">
      <c r="A19" s="98"/>
      <c r="B19" s="96"/>
      <c r="C19" s="23" t="s">
        <v>2</v>
      </c>
      <c r="D19" s="25">
        <f t="shared" ref="D19" si="110">600*D20/21.62*0.87</f>
        <v>1303.7927844588344</v>
      </c>
      <c r="E19" s="25">
        <v>0</v>
      </c>
      <c r="F19" s="25">
        <f>600*F20/23.49*0.95</f>
        <v>1310.344827586207</v>
      </c>
      <c r="G19" s="25">
        <f t="shared" ref="G19:H19" si="111">600*G20/23.49*0.95</f>
        <v>1310.344827586207</v>
      </c>
      <c r="H19" s="25">
        <f t="shared" si="111"/>
        <v>1310.344827586207</v>
      </c>
      <c r="I19" s="25">
        <f>600*I20/23.49*0.87</f>
        <v>1200</v>
      </c>
      <c r="J19" s="47"/>
      <c r="K19" s="25">
        <f t="shared" ref="K19:P19" si="112">600*K20/23.49*0.87</f>
        <v>1200</v>
      </c>
      <c r="L19" s="25">
        <f t="shared" si="112"/>
        <v>1200</v>
      </c>
      <c r="M19" s="25">
        <f t="shared" si="112"/>
        <v>1200</v>
      </c>
      <c r="N19" s="25">
        <f t="shared" si="112"/>
        <v>1200</v>
      </c>
      <c r="O19" s="25">
        <f t="shared" si="112"/>
        <v>1200</v>
      </c>
      <c r="P19" s="25">
        <f t="shared" si="112"/>
        <v>1200</v>
      </c>
      <c r="Q19" s="78"/>
      <c r="R19" s="25">
        <v>0</v>
      </c>
      <c r="S19" s="25">
        <f>600*S20/25.05*0.87</f>
        <v>1125.2694610778442</v>
      </c>
      <c r="T19" s="25">
        <f t="shared" ref="T19:W19" si="113">600*T20/25.05*0.87</f>
        <v>1125.2694610778442</v>
      </c>
      <c r="U19" s="25">
        <f t="shared" si="113"/>
        <v>1125.2694610778442</v>
      </c>
      <c r="V19" s="25">
        <f t="shared" si="113"/>
        <v>1125.2694610778442</v>
      </c>
      <c r="W19" s="25">
        <f t="shared" si="113"/>
        <v>1125.2694610778442</v>
      </c>
      <c r="X19" s="78"/>
      <c r="Y19" s="25">
        <f t="shared" ref="Y19:AD19" si="114">600*Y20/25.05*0.87</f>
        <v>1125.2694610778442</v>
      </c>
      <c r="Z19" s="25">
        <f t="shared" si="114"/>
        <v>1125.2694610778442</v>
      </c>
      <c r="AA19" s="25">
        <f t="shared" si="114"/>
        <v>1125.2694610778442</v>
      </c>
      <c r="AB19" s="25">
        <f t="shared" si="114"/>
        <v>1125.2694610778442</v>
      </c>
      <c r="AC19" s="25">
        <f t="shared" si="114"/>
        <v>1125.2694610778442</v>
      </c>
      <c r="AD19" s="25">
        <f t="shared" si="114"/>
        <v>1125.2694610778442</v>
      </c>
      <c r="AE19" s="78"/>
      <c r="AF19" s="25">
        <f t="shared" ref="AF19" si="115">600*AF20/25.05*0.87</f>
        <v>1125.2694610778442</v>
      </c>
      <c r="AG19" s="25">
        <f t="shared" ref="AG19:AI19" si="116">600*AG20/25.05*0.87</f>
        <v>1125.2694610778442</v>
      </c>
      <c r="AH19" s="25">
        <f t="shared" si="116"/>
        <v>1125.2694610778442</v>
      </c>
      <c r="AI19" s="25">
        <f t="shared" si="116"/>
        <v>1125.2694610778442</v>
      </c>
      <c r="AJ19" s="25">
        <v>0</v>
      </c>
      <c r="AK19" s="25">
        <f t="shared" ref="AK19:AY19" si="117">600*AK20/33.33*1</f>
        <v>972.09720972097216</v>
      </c>
      <c r="AL19" s="47"/>
      <c r="AM19" s="25">
        <f t="shared" si="117"/>
        <v>972.09720972097216</v>
      </c>
      <c r="AN19" s="25">
        <f t="shared" si="117"/>
        <v>972.09720972097216</v>
      </c>
      <c r="AO19" s="25">
        <f t="shared" si="117"/>
        <v>972.09720972097216</v>
      </c>
      <c r="AP19" s="25">
        <f t="shared" si="117"/>
        <v>972.09720972097216</v>
      </c>
      <c r="AQ19" s="25">
        <f t="shared" si="117"/>
        <v>972.09720972097216</v>
      </c>
      <c r="AR19" s="25">
        <f t="shared" si="117"/>
        <v>972.09720972097216</v>
      </c>
      <c r="AS19" s="47"/>
      <c r="AT19" s="25">
        <f t="shared" si="117"/>
        <v>972.09720972097216</v>
      </c>
      <c r="AU19" s="25">
        <f t="shared" si="117"/>
        <v>972.09720972097216</v>
      </c>
      <c r="AV19" s="25">
        <f t="shared" si="117"/>
        <v>972.09720972097216</v>
      </c>
      <c r="AW19" s="25">
        <f t="shared" si="117"/>
        <v>972.09720972097216</v>
      </c>
      <c r="AX19" s="25">
        <f t="shared" si="117"/>
        <v>972.09720972097216</v>
      </c>
      <c r="AY19" s="25">
        <f t="shared" si="117"/>
        <v>972.09720972097216</v>
      </c>
      <c r="AZ19" s="47"/>
      <c r="BA19" s="25"/>
      <c r="BB19" s="25"/>
      <c r="BC19" s="25"/>
      <c r="BD19" s="25"/>
      <c r="BE19" s="25"/>
      <c r="BF19" s="25"/>
      <c r="BG19" s="47"/>
      <c r="BH19" s="25"/>
      <c r="BI19" s="25"/>
      <c r="BJ19" s="25"/>
    </row>
    <row r="20" spans="1:62" s="14" customFormat="1" ht="15.75" x14ac:dyDescent="0.25">
      <c r="A20" s="99"/>
      <c r="B20" s="97"/>
      <c r="C20" s="23" t="s">
        <v>8</v>
      </c>
      <c r="D20" s="24">
        <v>54</v>
      </c>
      <c r="E20" s="24">
        <v>54</v>
      </c>
      <c r="F20" s="24">
        <v>54</v>
      </c>
      <c r="G20" s="24">
        <v>54</v>
      </c>
      <c r="H20" s="24">
        <v>54</v>
      </c>
      <c r="I20" s="24">
        <v>54</v>
      </c>
      <c r="J20" s="48"/>
      <c r="K20" s="24">
        <v>54</v>
      </c>
      <c r="L20" s="24">
        <v>54</v>
      </c>
      <c r="M20" s="24">
        <v>54</v>
      </c>
      <c r="N20" s="24">
        <v>54</v>
      </c>
      <c r="O20" s="24">
        <v>54</v>
      </c>
      <c r="P20" s="24">
        <v>54</v>
      </c>
      <c r="Q20" s="48"/>
      <c r="R20" s="24">
        <v>54</v>
      </c>
      <c r="S20" s="24">
        <v>54</v>
      </c>
      <c r="T20" s="24">
        <v>54</v>
      </c>
      <c r="U20" s="24">
        <v>54</v>
      </c>
      <c r="V20" s="24">
        <v>54</v>
      </c>
      <c r="W20" s="24">
        <v>54</v>
      </c>
      <c r="X20" s="48"/>
      <c r="Y20" s="24">
        <v>54</v>
      </c>
      <c r="Z20" s="24">
        <v>54</v>
      </c>
      <c r="AA20" s="24">
        <v>54</v>
      </c>
      <c r="AB20" s="24">
        <v>54</v>
      </c>
      <c r="AC20" s="24">
        <v>54</v>
      </c>
      <c r="AD20" s="24">
        <v>54</v>
      </c>
      <c r="AE20" s="48"/>
      <c r="AF20" s="24">
        <v>54</v>
      </c>
      <c r="AG20" s="24">
        <v>54</v>
      </c>
      <c r="AH20" s="24">
        <v>54</v>
      </c>
      <c r="AI20" s="24">
        <v>54</v>
      </c>
      <c r="AJ20" s="24">
        <v>54</v>
      </c>
      <c r="AK20" s="24">
        <v>54</v>
      </c>
      <c r="AL20" s="48"/>
      <c r="AM20" s="24">
        <v>54</v>
      </c>
      <c r="AN20" s="24">
        <v>54</v>
      </c>
      <c r="AO20" s="24">
        <v>54</v>
      </c>
      <c r="AP20" s="24">
        <v>54</v>
      </c>
      <c r="AQ20" s="24">
        <v>54</v>
      </c>
      <c r="AR20" s="24">
        <v>54</v>
      </c>
      <c r="AS20" s="48"/>
      <c r="AT20" s="24">
        <v>54</v>
      </c>
      <c r="AU20" s="24">
        <v>54</v>
      </c>
      <c r="AV20" s="24">
        <v>54</v>
      </c>
      <c r="AW20" s="24">
        <v>54</v>
      </c>
      <c r="AX20" s="24">
        <v>54</v>
      </c>
      <c r="AY20" s="24">
        <v>54</v>
      </c>
      <c r="AZ20" s="48"/>
      <c r="BA20" s="24">
        <v>54</v>
      </c>
      <c r="BB20" s="24">
        <v>54</v>
      </c>
      <c r="BC20" s="24">
        <v>54</v>
      </c>
      <c r="BD20" s="24">
        <v>54</v>
      </c>
      <c r="BE20" s="24">
        <v>54</v>
      </c>
      <c r="BF20" s="24">
        <v>54</v>
      </c>
      <c r="BG20" s="48"/>
      <c r="BH20" s="24"/>
      <c r="BI20" s="24"/>
      <c r="BJ20" s="24"/>
    </row>
    <row r="21" spans="1:62" ht="31.5" customHeight="1" x14ac:dyDescent="0.25">
      <c r="A21" s="57" t="s">
        <v>39</v>
      </c>
      <c r="B21" s="68" t="s">
        <v>71</v>
      </c>
      <c r="C21" s="18" t="s">
        <v>9</v>
      </c>
      <c r="D21" s="19"/>
      <c r="E21" s="19"/>
      <c r="F21" s="19"/>
      <c r="G21" s="19"/>
      <c r="H21" s="68" t="s">
        <v>132</v>
      </c>
      <c r="I21" s="19" t="s">
        <v>171</v>
      </c>
      <c r="J21" s="46"/>
      <c r="K21" s="68" t="s">
        <v>133</v>
      </c>
      <c r="L21" s="19" t="s">
        <v>167</v>
      </c>
      <c r="M21" s="19"/>
      <c r="N21" s="19"/>
      <c r="O21" s="19"/>
      <c r="P21" s="19"/>
      <c r="Q21" s="46"/>
      <c r="R21" s="19"/>
      <c r="S21" s="19"/>
      <c r="T21" s="19"/>
      <c r="U21" s="19"/>
      <c r="V21" s="19"/>
      <c r="W21" s="19"/>
      <c r="X21" s="46"/>
      <c r="Y21" s="68" t="s">
        <v>88</v>
      </c>
      <c r="Z21" s="19" t="s">
        <v>168</v>
      </c>
      <c r="AA21" s="19"/>
      <c r="AB21" s="19"/>
      <c r="AC21" s="68" t="s">
        <v>155</v>
      </c>
      <c r="AD21" s="19" t="s">
        <v>169</v>
      </c>
      <c r="AE21" s="46"/>
      <c r="AF21" s="19"/>
      <c r="AG21" s="19"/>
      <c r="AH21" s="19"/>
      <c r="AI21" s="19"/>
      <c r="AJ21" s="68" t="s">
        <v>71</v>
      </c>
      <c r="AK21" s="19" t="s">
        <v>170</v>
      </c>
      <c r="AL21" s="46"/>
      <c r="AM21" s="19"/>
      <c r="AN21" s="19"/>
      <c r="AO21" s="19"/>
      <c r="AP21" s="19"/>
      <c r="AQ21" s="19"/>
      <c r="AR21" s="19"/>
      <c r="AS21" s="46"/>
      <c r="AT21" s="19"/>
      <c r="AU21" s="19"/>
      <c r="AV21" s="19"/>
      <c r="AW21" s="19"/>
      <c r="AX21" s="19"/>
      <c r="AY21" s="19"/>
      <c r="AZ21" s="46"/>
      <c r="BA21" s="19"/>
      <c r="BB21" s="19"/>
      <c r="BC21" s="19"/>
      <c r="BD21" s="19"/>
      <c r="BE21" s="19"/>
      <c r="BF21" s="19"/>
      <c r="BG21" s="46"/>
      <c r="BH21" s="19"/>
      <c r="BI21" s="19"/>
      <c r="BJ21" s="19"/>
    </row>
    <row r="22" spans="1:62" s="14" customFormat="1" ht="15.75" x14ac:dyDescent="0.25">
      <c r="A22" s="98"/>
      <c r="B22" s="26"/>
      <c r="C22" s="23" t="s">
        <v>2</v>
      </c>
      <c r="D22" s="25">
        <v>409.08552631578948</v>
      </c>
      <c r="E22" s="25">
        <v>477.26644736842104</v>
      </c>
      <c r="F22" s="25">
        <v>545.44736842105272</v>
      </c>
      <c r="G22" s="25">
        <v>545.44736842105272</v>
      </c>
      <c r="H22" s="25">
        <v>0</v>
      </c>
      <c r="I22" s="25">
        <v>146.79178470254959</v>
      </c>
      <c r="J22" s="47"/>
      <c r="K22" s="25">
        <v>0</v>
      </c>
      <c r="L22" s="25">
        <v>200</v>
      </c>
      <c r="M22" s="25">
        <v>500</v>
      </c>
      <c r="N22" s="25">
        <v>1000</v>
      </c>
      <c r="O22" s="25">
        <v>1000</v>
      </c>
      <c r="P22" s="25">
        <v>1000</v>
      </c>
      <c r="Q22" s="47"/>
      <c r="R22" s="25">
        <v>1100</v>
      </c>
      <c r="S22" s="25">
        <v>1100</v>
      </c>
      <c r="T22" s="25">
        <v>1100</v>
      </c>
      <c r="U22" s="25">
        <v>1100</v>
      </c>
      <c r="V22" s="25">
        <v>1100</v>
      </c>
      <c r="W22" s="25">
        <v>1100</v>
      </c>
      <c r="X22" s="47"/>
      <c r="Y22" s="25">
        <v>388.39285714285717</v>
      </c>
      <c r="Z22" s="25">
        <v>466.07142857142856</v>
      </c>
      <c r="AA22" s="25">
        <v>776.78571428571433</v>
      </c>
      <c r="AB22" s="25">
        <v>776.78571428571433</v>
      </c>
      <c r="AC22" s="25">
        <v>0</v>
      </c>
      <c r="AD22" s="25">
        <v>365.25493421052636</v>
      </c>
      <c r="AE22" s="47"/>
      <c r="AF22" s="25">
        <v>730.50986842105272</v>
      </c>
      <c r="AG22" s="25">
        <v>876.61184210526324</v>
      </c>
      <c r="AH22" s="25">
        <v>876.61184210526324</v>
      </c>
      <c r="AI22" s="25">
        <v>876.61184210526324</v>
      </c>
      <c r="AJ22" s="25">
        <v>0</v>
      </c>
      <c r="AK22" s="25">
        <v>419.00943396226415</v>
      </c>
      <c r="AL22" s="47"/>
      <c r="AM22" s="25">
        <v>838.01886792452831</v>
      </c>
      <c r="AN22" s="25">
        <v>838.01886792452831</v>
      </c>
      <c r="AO22" s="25">
        <v>838.01886792452831</v>
      </c>
      <c r="AP22" s="25">
        <v>1005.6226415094339</v>
      </c>
      <c r="AQ22" s="25">
        <v>1005.6226415094339</v>
      </c>
      <c r="AR22" s="25">
        <v>1005.6226415094339</v>
      </c>
      <c r="AS22" s="47"/>
      <c r="AT22" s="25">
        <v>1005.6226415094339</v>
      </c>
      <c r="AU22" s="25">
        <v>1005.6226415094339</v>
      </c>
      <c r="AV22" s="25">
        <v>1005.6226415094339</v>
      </c>
      <c r="AW22" s="25">
        <v>1005.6226415094339</v>
      </c>
      <c r="AX22" s="25">
        <v>1005.6226415094339</v>
      </c>
      <c r="AY22" s="25">
        <v>1005.6226415094339</v>
      </c>
      <c r="AZ22" s="47"/>
      <c r="BA22" s="25">
        <v>1005.6226415094339</v>
      </c>
      <c r="BB22" s="25">
        <v>1005.6226415094339</v>
      </c>
      <c r="BC22" s="25">
        <v>1005.6226415094339</v>
      </c>
      <c r="BD22" s="25">
        <v>1005.6226415094339</v>
      </c>
      <c r="BE22" s="25"/>
      <c r="BF22" s="25"/>
      <c r="BG22" s="47"/>
      <c r="BH22" s="25"/>
      <c r="BI22" s="25"/>
      <c r="BJ22" s="25"/>
    </row>
    <row r="23" spans="1:62" s="14" customFormat="1" ht="15.75" x14ac:dyDescent="0.25">
      <c r="A23" s="99"/>
      <c r="B23" s="26"/>
      <c r="C23" s="23" t="s">
        <v>8</v>
      </c>
      <c r="D23" s="25">
        <v>75</v>
      </c>
      <c r="E23" s="25">
        <v>75</v>
      </c>
      <c r="F23" s="25">
        <v>75</v>
      </c>
      <c r="G23" s="25">
        <v>75</v>
      </c>
      <c r="H23" s="25">
        <v>75</v>
      </c>
      <c r="I23" s="25">
        <v>75</v>
      </c>
      <c r="J23" s="47"/>
      <c r="K23" s="25">
        <v>75</v>
      </c>
      <c r="L23" s="25">
        <v>75</v>
      </c>
      <c r="M23" s="25">
        <v>75</v>
      </c>
      <c r="N23" s="25">
        <v>75</v>
      </c>
      <c r="O23" s="25">
        <v>75</v>
      </c>
      <c r="P23" s="25">
        <v>75</v>
      </c>
      <c r="Q23" s="47"/>
      <c r="R23" s="25">
        <v>75</v>
      </c>
      <c r="S23" s="25">
        <v>75</v>
      </c>
      <c r="T23" s="25">
        <v>75</v>
      </c>
      <c r="U23" s="25">
        <v>75</v>
      </c>
      <c r="V23" s="25">
        <v>75</v>
      </c>
      <c r="W23" s="25">
        <v>75</v>
      </c>
      <c r="X23" s="47"/>
      <c r="Y23" s="25">
        <v>75</v>
      </c>
      <c r="Z23" s="25">
        <v>75</v>
      </c>
      <c r="AA23" s="25">
        <v>75</v>
      </c>
      <c r="AB23" s="25">
        <v>75</v>
      </c>
      <c r="AC23" s="25">
        <v>75</v>
      </c>
      <c r="AD23" s="25">
        <v>75</v>
      </c>
      <c r="AE23" s="47"/>
      <c r="AF23" s="25">
        <v>75</v>
      </c>
      <c r="AG23" s="25">
        <v>75</v>
      </c>
      <c r="AH23" s="25">
        <v>75</v>
      </c>
      <c r="AI23" s="25">
        <v>75</v>
      </c>
      <c r="AJ23" s="25">
        <v>75</v>
      </c>
      <c r="AK23" s="25">
        <v>75</v>
      </c>
      <c r="AL23" s="47"/>
      <c r="AM23" s="25">
        <v>75</v>
      </c>
      <c r="AN23" s="25">
        <v>75</v>
      </c>
      <c r="AO23" s="25">
        <v>75</v>
      </c>
      <c r="AP23" s="25">
        <v>75</v>
      </c>
      <c r="AQ23" s="25">
        <v>75</v>
      </c>
      <c r="AR23" s="25">
        <v>75</v>
      </c>
      <c r="AS23" s="47"/>
      <c r="AT23" s="25">
        <v>75</v>
      </c>
      <c r="AU23" s="25">
        <v>75</v>
      </c>
      <c r="AV23" s="25">
        <v>75</v>
      </c>
      <c r="AW23" s="25">
        <v>75</v>
      </c>
      <c r="AX23" s="25">
        <v>75</v>
      </c>
      <c r="AY23" s="25">
        <v>75</v>
      </c>
      <c r="AZ23" s="47"/>
      <c r="BA23" s="25">
        <v>75</v>
      </c>
      <c r="BB23" s="25">
        <v>75</v>
      </c>
      <c r="BC23" s="25">
        <v>75</v>
      </c>
      <c r="BD23" s="25">
        <v>75</v>
      </c>
      <c r="BE23" s="25">
        <v>75</v>
      </c>
      <c r="BF23" s="25">
        <v>75</v>
      </c>
      <c r="BG23" s="47"/>
      <c r="BH23" s="25"/>
      <c r="BI23" s="25"/>
      <c r="BJ23" s="25"/>
    </row>
    <row r="24" spans="1:62" ht="31.5" customHeight="1" x14ac:dyDescent="0.25">
      <c r="A24" s="57" t="s">
        <v>73</v>
      </c>
      <c r="B24" s="61" t="s">
        <v>33</v>
      </c>
      <c r="C24" s="18" t="s">
        <v>9</v>
      </c>
      <c r="D24" s="19"/>
      <c r="E24" s="19"/>
      <c r="F24" s="19"/>
      <c r="G24" s="19"/>
      <c r="H24" s="16" t="s">
        <v>127</v>
      </c>
      <c r="I24" s="19"/>
      <c r="J24" s="47"/>
      <c r="K24" s="19"/>
      <c r="L24" s="19"/>
      <c r="M24" s="19"/>
      <c r="N24" s="19"/>
      <c r="O24" s="19"/>
      <c r="P24" s="19"/>
      <c r="Q24" s="46"/>
      <c r="R24" s="19"/>
      <c r="S24" s="19"/>
      <c r="T24" s="19"/>
      <c r="U24" s="19"/>
      <c r="V24" s="19"/>
      <c r="W24" s="19"/>
      <c r="X24" s="46"/>
      <c r="Y24" s="19"/>
      <c r="Z24" s="19"/>
      <c r="AA24" s="19"/>
      <c r="AB24" s="19"/>
      <c r="AC24" s="61" t="s">
        <v>33</v>
      </c>
      <c r="AD24" s="19"/>
      <c r="AE24" s="46"/>
      <c r="AF24" s="19"/>
      <c r="AG24" s="19"/>
      <c r="AH24" s="19"/>
      <c r="AI24" s="19"/>
      <c r="AJ24" s="19"/>
      <c r="AK24" s="19"/>
      <c r="AL24" s="46"/>
      <c r="AM24" s="19"/>
      <c r="AN24" s="19"/>
      <c r="AO24" s="19"/>
      <c r="AP24" s="19"/>
      <c r="AQ24" s="19"/>
      <c r="AR24" s="19"/>
      <c r="AS24" s="46"/>
      <c r="AT24" s="19"/>
      <c r="AU24" s="19"/>
      <c r="AV24" s="19"/>
      <c r="AW24" s="19"/>
      <c r="AX24" s="19"/>
      <c r="AY24" s="19"/>
      <c r="AZ24" s="46"/>
      <c r="BA24" s="19"/>
      <c r="BB24" s="19"/>
      <c r="BC24" s="19"/>
      <c r="BD24" s="19"/>
      <c r="BE24" s="19"/>
      <c r="BF24" s="19"/>
      <c r="BG24" s="46"/>
      <c r="BH24" s="19"/>
      <c r="BI24" s="19"/>
      <c r="BJ24" s="19"/>
    </row>
    <row r="25" spans="1:62" s="14" customFormat="1" ht="15.75" x14ac:dyDescent="0.25">
      <c r="A25" s="73"/>
      <c r="B25" s="26"/>
      <c r="C25" s="23" t="s">
        <v>2</v>
      </c>
      <c r="D25" s="25">
        <f t="shared" ref="D25:G25" si="118">600*D26/31.14*0.9</f>
        <v>0</v>
      </c>
      <c r="E25" s="25">
        <f t="shared" si="118"/>
        <v>0</v>
      </c>
      <c r="F25" s="25">
        <f t="shared" si="118"/>
        <v>0</v>
      </c>
      <c r="G25" s="25">
        <f t="shared" si="118"/>
        <v>0</v>
      </c>
      <c r="H25" s="85"/>
      <c r="I25" s="85"/>
      <c r="J25" s="47"/>
      <c r="K25" s="85">
        <v>0</v>
      </c>
      <c r="L25" s="85">
        <f t="shared" ref="L25:P25" si="119">600*L26/31.14*0.9</f>
        <v>0</v>
      </c>
      <c r="M25" s="85">
        <f t="shared" si="119"/>
        <v>0</v>
      </c>
      <c r="N25" s="85">
        <f t="shared" si="119"/>
        <v>0</v>
      </c>
      <c r="O25" s="85">
        <f t="shared" si="119"/>
        <v>0</v>
      </c>
      <c r="P25" s="85">
        <f t="shared" si="119"/>
        <v>0</v>
      </c>
      <c r="Q25" s="47"/>
      <c r="R25" s="85">
        <v>0</v>
      </c>
      <c r="S25" s="85">
        <f t="shared" ref="S25:W25" si="120">600*S26/31.14*0.9</f>
        <v>0</v>
      </c>
      <c r="T25" s="85">
        <f t="shared" si="120"/>
        <v>0</v>
      </c>
      <c r="U25" s="85">
        <f t="shared" si="120"/>
        <v>0</v>
      </c>
      <c r="V25" s="85">
        <f t="shared" si="120"/>
        <v>0</v>
      </c>
      <c r="W25" s="85">
        <f t="shared" si="120"/>
        <v>0</v>
      </c>
      <c r="X25" s="47"/>
      <c r="Y25" s="85">
        <f t="shared" ref="Y25:AY25" si="121">600*Y26/31.14*0.9</f>
        <v>0</v>
      </c>
      <c r="Z25" s="85">
        <f t="shared" si="121"/>
        <v>0</v>
      </c>
      <c r="AA25" s="85">
        <f t="shared" si="121"/>
        <v>0</v>
      </c>
      <c r="AB25" s="85">
        <f t="shared" si="121"/>
        <v>0</v>
      </c>
      <c r="AC25" s="25"/>
      <c r="AD25" s="25">
        <f t="shared" si="121"/>
        <v>693.64161849710979</v>
      </c>
      <c r="AE25" s="47"/>
      <c r="AF25" s="25">
        <f t="shared" si="121"/>
        <v>693.64161849710979</v>
      </c>
      <c r="AG25" s="25">
        <f t="shared" si="121"/>
        <v>693.64161849710979</v>
      </c>
      <c r="AH25" s="25">
        <f t="shared" si="121"/>
        <v>693.64161849710979</v>
      </c>
      <c r="AI25" s="25">
        <f t="shared" si="121"/>
        <v>693.64161849710979</v>
      </c>
      <c r="AJ25" s="25">
        <f t="shared" si="121"/>
        <v>693.64161849710979</v>
      </c>
      <c r="AK25" s="25">
        <f t="shared" si="121"/>
        <v>693.64161849710979</v>
      </c>
      <c r="AL25" s="47"/>
      <c r="AM25" s="25">
        <f t="shared" si="121"/>
        <v>693.64161849710979</v>
      </c>
      <c r="AN25" s="25">
        <f t="shared" si="121"/>
        <v>693.64161849710979</v>
      </c>
      <c r="AO25" s="25">
        <f t="shared" si="121"/>
        <v>693.64161849710979</v>
      </c>
      <c r="AP25" s="25">
        <f t="shared" si="121"/>
        <v>693.64161849710979</v>
      </c>
      <c r="AQ25" s="25">
        <f t="shared" si="121"/>
        <v>693.64161849710979</v>
      </c>
      <c r="AR25" s="25">
        <f t="shared" si="121"/>
        <v>693.64161849710979</v>
      </c>
      <c r="AS25" s="47"/>
      <c r="AT25" s="25">
        <f t="shared" si="121"/>
        <v>693.64161849710979</v>
      </c>
      <c r="AU25" s="25">
        <f t="shared" si="121"/>
        <v>693.64161849710979</v>
      </c>
      <c r="AV25" s="25">
        <f t="shared" si="121"/>
        <v>693.64161849710979</v>
      </c>
      <c r="AW25" s="25">
        <f t="shared" si="121"/>
        <v>693.64161849710979</v>
      </c>
      <c r="AX25" s="25">
        <f t="shared" si="121"/>
        <v>693.64161849710979</v>
      </c>
      <c r="AY25" s="25">
        <f t="shared" si="121"/>
        <v>693.64161849710979</v>
      </c>
      <c r="AZ25" s="47"/>
      <c r="BA25" s="25"/>
      <c r="BB25" s="25"/>
      <c r="BC25" s="25"/>
      <c r="BD25" s="25"/>
      <c r="BE25" s="25"/>
      <c r="BF25" s="25"/>
      <c r="BG25" s="47"/>
      <c r="BH25" s="25"/>
      <c r="BI25" s="25"/>
      <c r="BJ25" s="25"/>
    </row>
    <row r="26" spans="1:62" s="14" customFormat="1" ht="15.75" x14ac:dyDescent="0.25">
      <c r="A26" s="74"/>
      <c r="B26" s="26"/>
      <c r="C26" s="23" t="s">
        <v>8</v>
      </c>
      <c r="D26" s="25"/>
      <c r="E26" s="25"/>
      <c r="F26" s="25"/>
      <c r="G26" s="25"/>
      <c r="H26" s="25"/>
      <c r="I26" s="25"/>
      <c r="J26" s="47"/>
      <c r="K26" s="25"/>
      <c r="L26" s="25"/>
      <c r="M26" s="25"/>
      <c r="N26" s="25"/>
      <c r="O26" s="25"/>
      <c r="P26" s="25"/>
      <c r="Q26" s="47"/>
      <c r="R26" s="25"/>
      <c r="S26" s="25"/>
      <c r="T26" s="25"/>
      <c r="U26" s="25"/>
      <c r="V26" s="25"/>
      <c r="W26" s="25"/>
      <c r="X26" s="47"/>
      <c r="Y26" s="25"/>
      <c r="Z26" s="25"/>
      <c r="AA26" s="25"/>
      <c r="AB26" s="25"/>
      <c r="AC26" s="25"/>
      <c r="AD26" s="25">
        <v>40</v>
      </c>
      <c r="AE26" s="47"/>
      <c r="AF26" s="25">
        <v>40</v>
      </c>
      <c r="AG26" s="25">
        <v>40</v>
      </c>
      <c r="AH26" s="25">
        <v>40</v>
      </c>
      <c r="AI26" s="25">
        <v>40</v>
      </c>
      <c r="AJ26" s="25">
        <v>40</v>
      </c>
      <c r="AK26" s="25">
        <v>40</v>
      </c>
      <c r="AL26" s="47"/>
      <c r="AM26" s="25">
        <v>40</v>
      </c>
      <c r="AN26" s="25">
        <v>40</v>
      </c>
      <c r="AO26" s="25">
        <v>40</v>
      </c>
      <c r="AP26" s="25">
        <v>40</v>
      </c>
      <c r="AQ26" s="25">
        <v>40</v>
      </c>
      <c r="AR26" s="25">
        <v>40</v>
      </c>
      <c r="AS26" s="47"/>
      <c r="AT26" s="25">
        <v>40</v>
      </c>
      <c r="AU26" s="25">
        <v>40</v>
      </c>
      <c r="AV26" s="25">
        <v>40</v>
      </c>
      <c r="AW26" s="25">
        <v>40</v>
      </c>
      <c r="AX26" s="25">
        <v>40</v>
      </c>
      <c r="AY26" s="25">
        <v>40</v>
      </c>
      <c r="AZ26" s="47"/>
      <c r="BA26" s="25"/>
      <c r="BB26" s="25"/>
      <c r="BC26" s="25"/>
      <c r="BD26" s="25"/>
      <c r="BE26" s="25"/>
      <c r="BF26" s="25"/>
      <c r="BG26" s="47"/>
      <c r="BH26" s="25"/>
      <c r="BI26" s="25"/>
      <c r="BJ26" s="25"/>
    </row>
    <row r="27" spans="1:62" ht="31.5" customHeight="1" x14ac:dyDescent="0.25">
      <c r="A27" s="57" t="s">
        <v>181</v>
      </c>
      <c r="B27" s="67" t="s">
        <v>95</v>
      </c>
      <c r="C27" s="18" t="s">
        <v>9</v>
      </c>
      <c r="D27" s="21"/>
      <c r="E27" s="21"/>
      <c r="F27" s="21"/>
      <c r="G27" s="21"/>
      <c r="H27" s="21"/>
      <c r="I27" s="21"/>
      <c r="J27" s="50"/>
      <c r="K27" s="21"/>
      <c r="L27" s="21"/>
      <c r="M27" s="21"/>
      <c r="N27" s="21"/>
      <c r="O27" s="21"/>
      <c r="P27" s="21"/>
      <c r="Q27" s="50"/>
      <c r="R27" s="21"/>
      <c r="S27" s="21"/>
      <c r="T27" s="21"/>
      <c r="U27" s="21"/>
      <c r="V27" s="21"/>
      <c r="W27" s="21"/>
      <c r="X27" s="50"/>
      <c r="Y27" s="21"/>
      <c r="Z27" s="21"/>
      <c r="AA27" s="21"/>
      <c r="AB27" s="21"/>
      <c r="AC27" s="21"/>
      <c r="AD27" s="61" t="s">
        <v>101</v>
      </c>
      <c r="AE27" s="50"/>
      <c r="AF27" s="61" t="s">
        <v>114</v>
      </c>
      <c r="AH27" s="21"/>
      <c r="AI27" s="21"/>
      <c r="AJ27" s="21"/>
      <c r="AK27" s="61" t="s">
        <v>115</v>
      </c>
      <c r="AL27" s="50"/>
      <c r="AM27" s="21"/>
      <c r="AN27" s="21"/>
      <c r="AO27" s="21"/>
      <c r="AP27" s="56" t="s">
        <v>148</v>
      </c>
      <c r="AQ27" s="21"/>
      <c r="AR27" s="21"/>
      <c r="AS27" s="50"/>
      <c r="AT27" s="21"/>
      <c r="AU27" s="21"/>
      <c r="AV27" s="21"/>
      <c r="AW27" s="21"/>
      <c r="AX27" s="21"/>
      <c r="AY27" s="21"/>
      <c r="AZ27" s="50"/>
      <c r="BA27" s="21"/>
      <c r="BB27" s="21"/>
      <c r="BC27" s="21"/>
      <c r="BD27" s="21"/>
      <c r="BE27" s="21"/>
      <c r="BF27" s="21"/>
      <c r="BG27" s="50"/>
      <c r="BH27" s="21"/>
      <c r="BI27" s="21"/>
      <c r="BJ27" s="21"/>
    </row>
    <row r="28" spans="1:62" s="14" customFormat="1" ht="15.75" x14ac:dyDescent="0.25">
      <c r="A28" s="98"/>
      <c r="B28" s="22"/>
      <c r="C28" s="23" t="s">
        <v>2</v>
      </c>
      <c r="D28" s="25">
        <f t="shared" ref="D28:I28" si="122">720*D29/34.41*1</f>
        <v>1506.5387968613777</v>
      </c>
      <c r="E28" s="25">
        <f t="shared" si="122"/>
        <v>2866.6085440278994</v>
      </c>
      <c r="F28" s="25">
        <f t="shared" si="122"/>
        <v>2866.6085440278994</v>
      </c>
      <c r="G28" s="25">
        <f t="shared" si="122"/>
        <v>2866.6085440278994</v>
      </c>
      <c r="H28" s="25">
        <f t="shared" si="122"/>
        <v>2866.6085440278994</v>
      </c>
      <c r="I28" s="25">
        <f t="shared" si="122"/>
        <v>2866.6085440278994</v>
      </c>
      <c r="J28" s="47"/>
      <c r="K28" s="25">
        <f t="shared" ref="K28:P28" si="123">720*K29/34.41*1</f>
        <v>2866.6085440278994</v>
      </c>
      <c r="L28" s="25">
        <f t="shared" si="123"/>
        <v>2866.6085440278994</v>
      </c>
      <c r="M28" s="25">
        <f t="shared" si="123"/>
        <v>2866.6085440278994</v>
      </c>
      <c r="N28" s="25">
        <f t="shared" si="123"/>
        <v>2866.6085440278994</v>
      </c>
      <c r="O28" s="25">
        <f t="shared" si="123"/>
        <v>2866.6085440278994</v>
      </c>
      <c r="P28" s="25">
        <f t="shared" si="123"/>
        <v>2866.6085440278994</v>
      </c>
      <c r="Q28" s="47"/>
      <c r="R28" s="25">
        <f t="shared" ref="R28:AC28" si="124">720*R29/34.41*1</f>
        <v>2866.6085440278994</v>
      </c>
      <c r="S28" s="25">
        <f t="shared" si="124"/>
        <v>2866.6085440278994</v>
      </c>
      <c r="T28" s="25">
        <f t="shared" si="124"/>
        <v>2866.6085440278994</v>
      </c>
      <c r="U28" s="25">
        <f t="shared" si="124"/>
        <v>2866.6085440278994</v>
      </c>
      <c r="V28" s="25">
        <f t="shared" si="124"/>
        <v>2866.6085440278994</v>
      </c>
      <c r="W28" s="25">
        <f t="shared" si="124"/>
        <v>2866.6085440278994</v>
      </c>
      <c r="X28" s="47"/>
      <c r="Y28" s="25">
        <f t="shared" si="124"/>
        <v>2866.6085440278994</v>
      </c>
      <c r="Z28" s="25">
        <f t="shared" si="124"/>
        <v>2866.6085440278994</v>
      </c>
      <c r="AA28" s="25">
        <f t="shared" si="124"/>
        <v>2866.6085440278994</v>
      </c>
      <c r="AB28" s="25">
        <f t="shared" si="124"/>
        <v>2866.6085440278994</v>
      </c>
      <c r="AC28" s="25">
        <f t="shared" si="124"/>
        <v>2866.6085440278994</v>
      </c>
      <c r="AD28" s="25">
        <v>0</v>
      </c>
      <c r="AE28" s="47"/>
      <c r="AF28" s="25">
        <v>491</v>
      </c>
      <c r="AG28" s="25">
        <f t="shared" ref="AG28:AJ28" si="125">600*AG29/33.52*1</f>
        <v>1342.4821002386634</v>
      </c>
      <c r="AH28" s="25">
        <f t="shared" si="125"/>
        <v>1342.4821002386634</v>
      </c>
      <c r="AI28" s="25">
        <f t="shared" si="125"/>
        <v>1342.4821002386634</v>
      </c>
      <c r="AJ28" s="25">
        <f t="shared" si="125"/>
        <v>1342.4821002386634</v>
      </c>
      <c r="AK28" s="25">
        <v>0</v>
      </c>
      <c r="AL28" s="47"/>
      <c r="AM28" s="25">
        <f t="shared" ref="AM28:AO28" si="126">600*AM29/34.22*1</f>
        <v>1315.020455873758</v>
      </c>
      <c r="AN28" s="25">
        <f t="shared" si="126"/>
        <v>1315.020455873758</v>
      </c>
      <c r="AO28" s="25">
        <f t="shared" si="126"/>
        <v>1315.020455873758</v>
      </c>
      <c r="AP28" s="25">
        <v>0</v>
      </c>
      <c r="AQ28" s="25">
        <f>600*AQ29/34.67*0.9</f>
        <v>1168.1569079896162</v>
      </c>
      <c r="AR28" s="25">
        <f>600*AR29/34.67*0.9</f>
        <v>1168.1569079896162</v>
      </c>
      <c r="AS28" s="47"/>
      <c r="AT28" s="25">
        <f t="shared" ref="AT28:AY28" si="127">600*AT29/30.58*0.9</f>
        <v>1324.3950294310007</v>
      </c>
      <c r="AU28" s="25">
        <f t="shared" si="127"/>
        <v>1324.3950294310007</v>
      </c>
      <c r="AV28" s="25">
        <f t="shared" si="127"/>
        <v>1324.3950294310007</v>
      </c>
      <c r="AW28" s="25">
        <f t="shared" si="127"/>
        <v>1324.3950294310007</v>
      </c>
      <c r="AX28" s="25">
        <f t="shared" si="127"/>
        <v>1324.3950294310007</v>
      </c>
      <c r="AY28" s="25">
        <f t="shared" si="127"/>
        <v>1324.3950294310007</v>
      </c>
      <c r="AZ28" s="47"/>
      <c r="BA28" s="25">
        <f t="shared" ref="BA28" si="128">600*BA29/30.58*0.9</f>
        <v>1324.3950294310007</v>
      </c>
      <c r="BB28" s="25">
        <f t="shared" ref="BB28" si="129">600*BB29/30.58*0.9</f>
        <v>1324.3950294310007</v>
      </c>
      <c r="BC28" s="25">
        <f t="shared" ref="BC28" si="130">600*BC29/30.58*0.9</f>
        <v>1324.3950294310007</v>
      </c>
      <c r="BD28" s="25">
        <f t="shared" ref="BD28" si="131">600*BD29/30.58*0.9</f>
        <v>1324.3950294310007</v>
      </c>
      <c r="BE28" s="25">
        <f t="shared" ref="BE28:BF28" si="132">600*BE29/30.58*0.9</f>
        <v>1324.3950294310007</v>
      </c>
      <c r="BF28" s="25">
        <f t="shared" si="132"/>
        <v>1324.3950294310007</v>
      </c>
      <c r="BG28" s="47"/>
      <c r="BH28" s="25">
        <f t="shared" ref="BH28" si="133">600*BH29/30.58*0.9</f>
        <v>1271.4192282537606</v>
      </c>
      <c r="BI28" s="25">
        <f t="shared" ref="BI28" si="134">600*BI29/30.58*0.9</f>
        <v>1271.4192282537606</v>
      </c>
      <c r="BJ28" s="25">
        <f t="shared" ref="BJ28" si="135">600*BJ29/30.58*0.9</f>
        <v>1271.4192282537606</v>
      </c>
    </row>
    <row r="29" spans="1:62" s="14" customFormat="1" ht="15.75" x14ac:dyDescent="0.25">
      <c r="A29" s="99"/>
      <c r="B29" s="26"/>
      <c r="C29" s="23" t="s">
        <v>8</v>
      </c>
      <c r="D29" s="25">
        <v>72</v>
      </c>
      <c r="E29" s="25">
        <f>75+62</f>
        <v>137</v>
      </c>
      <c r="F29" s="25">
        <f t="shared" ref="F29:I29" si="136">75+62</f>
        <v>137</v>
      </c>
      <c r="G29" s="25">
        <f t="shared" si="136"/>
        <v>137</v>
      </c>
      <c r="H29" s="25">
        <f t="shared" si="136"/>
        <v>137</v>
      </c>
      <c r="I29" s="25">
        <f t="shared" si="136"/>
        <v>137</v>
      </c>
      <c r="J29" s="48"/>
      <c r="K29" s="25">
        <f t="shared" ref="K29:P29" si="137">75+62</f>
        <v>137</v>
      </c>
      <c r="L29" s="25">
        <f t="shared" si="137"/>
        <v>137</v>
      </c>
      <c r="M29" s="25">
        <f t="shared" si="137"/>
        <v>137</v>
      </c>
      <c r="N29" s="25">
        <f t="shared" si="137"/>
        <v>137</v>
      </c>
      <c r="O29" s="25">
        <f t="shared" si="137"/>
        <v>137</v>
      </c>
      <c r="P29" s="25">
        <f t="shared" si="137"/>
        <v>137</v>
      </c>
      <c r="Q29" s="48"/>
      <c r="R29" s="25">
        <f t="shared" ref="R29:W29" si="138">75+62</f>
        <v>137</v>
      </c>
      <c r="S29" s="25">
        <f t="shared" si="138"/>
        <v>137</v>
      </c>
      <c r="T29" s="25">
        <f t="shared" si="138"/>
        <v>137</v>
      </c>
      <c r="U29" s="25">
        <f t="shared" si="138"/>
        <v>137</v>
      </c>
      <c r="V29" s="25">
        <f t="shared" si="138"/>
        <v>137</v>
      </c>
      <c r="W29" s="25">
        <f t="shared" si="138"/>
        <v>137</v>
      </c>
      <c r="X29" s="48"/>
      <c r="Y29" s="25">
        <f t="shared" ref="Y29:AC29" si="139">75+62</f>
        <v>137</v>
      </c>
      <c r="Z29" s="25">
        <f t="shared" si="139"/>
        <v>137</v>
      </c>
      <c r="AA29" s="25">
        <f t="shared" si="139"/>
        <v>137</v>
      </c>
      <c r="AB29" s="25">
        <f t="shared" si="139"/>
        <v>137</v>
      </c>
      <c r="AC29" s="25">
        <f t="shared" si="139"/>
        <v>137</v>
      </c>
      <c r="AD29" s="25">
        <v>75</v>
      </c>
      <c r="AE29" s="48"/>
      <c r="AF29" s="25">
        <v>75</v>
      </c>
      <c r="AG29" s="25">
        <v>75</v>
      </c>
      <c r="AH29" s="25">
        <v>75</v>
      </c>
      <c r="AI29" s="25">
        <v>75</v>
      </c>
      <c r="AJ29" s="25">
        <v>75</v>
      </c>
      <c r="AK29" s="25">
        <v>75</v>
      </c>
      <c r="AL29" s="48"/>
      <c r="AM29" s="25">
        <v>75</v>
      </c>
      <c r="AN29" s="25">
        <v>75</v>
      </c>
      <c r="AO29" s="25">
        <v>75</v>
      </c>
      <c r="AP29" s="25">
        <v>75</v>
      </c>
      <c r="AQ29" s="25">
        <v>75</v>
      </c>
      <c r="AR29" s="25">
        <v>75</v>
      </c>
      <c r="AS29" s="48"/>
      <c r="AT29" s="25">
        <v>75</v>
      </c>
      <c r="AU29" s="25">
        <v>75</v>
      </c>
      <c r="AV29" s="25">
        <v>75</v>
      </c>
      <c r="AW29" s="25">
        <v>75</v>
      </c>
      <c r="AX29" s="25">
        <v>75</v>
      </c>
      <c r="AY29" s="25">
        <v>75</v>
      </c>
      <c r="AZ29" s="48"/>
      <c r="BA29" s="25">
        <v>75</v>
      </c>
      <c r="BB29" s="25">
        <v>75</v>
      </c>
      <c r="BC29" s="25">
        <v>75</v>
      </c>
      <c r="BD29" s="25">
        <v>75</v>
      </c>
      <c r="BE29" s="25">
        <v>75</v>
      </c>
      <c r="BF29" s="25">
        <v>75</v>
      </c>
      <c r="BG29" s="48"/>
      <c r="BH29" s="25">
        <v>72</v>
      </c>
      <c r="BI29" s="25">
        <v>72</v>
      </c>
      <c r="BJ29" s="25">
        <v>72</v>
      </c>
    </row>
    <row r="30" spans="1:62" ht="31.5" customHeight="1" x14ac:dyDescent="0.25">
      <c r="A30" s="57" t="s">
        <v>40</v>
      </c>
      <c r="B30" s="68" t="s">
        <v>92</v>
      </c>
      <c r="C30" s="18" t="s">
        <v>9</v>
      </c>
      <c r="D30" s="68" t="s">
        <v>91</v>
      </c>
      <c r="E30" s="21" t="s">
        <v>129</v>
      </c>
      <c r="F30" s="21"/>
      <c r="G30" s="68" t="s">
        <v>88</v>
      </c>
      <c r="H30" s="21" t="s">
        <v>128</v>
      </c>
      <c r="I30" s="21"/>
      <c r="J30" s="50"/>
      <c r="K30" s="68" t="s">
        <v>70</v>
      </c>
      <c r="L30" s="21" t="s">
        <v>103</v>
      </c>
      <c r="M30" s="21"/>
      <c r="N30" s="21"/>
      <c r="O30" s="21"/>
      <c r="P30" s="21"/>
      <c r="Q30" s="50"/>
      <c r="R30" s="68" t="s">
        <v>89</v>
      </c>
      <c r="S30" s="21" t="s">
        <v>152</v>
      </c>
      <c r="T30" s="21"/>
      <c r="U30" s="68" t="s">
        <v>91</v>
      </c>
      <c r="V30" s="21" t="s">
        <v>153</v>
      </c>
      <c r="W30" s="21"/>
      <c r="X30" s="50"/>
      <c r="Y30" s="21"/>
      <c r="Z30" s="21"/>
      <c r="AA30" s="21"/>
      <c r="AB30" s="21"/>
      <c r="AC30" s="21"/>
      <c r="AD30" s="21"/>
      <c r="AE30" s="50"/>
      <c r="AF30" s="21"/>
      <c r="AG30" s="68" t="s">
        <v>132</v>
      </c>
      <c r="AH30" s="21" t="s">
        <v>154</v>
      </c>
      <c r="AI30" s="21"/>
      <c r="AJ30" s="21"/>
      <c r="AK30" s="21"/>
      <c r="AL30" s="50"/>
      <c r="AM30" s="21"/>
      <c r="AN30" s="21"/>
      <c r="AO30" s="21"/>
      <c r="AP30" s="21"/>
      <c r="AQ30" s="21"/>
      <c r="AR30" s="21"/>
      <c r="AS30" s="50"/>
      <c r="AT30" s="21"/>
      <c r="AU30" s="21"/>
      <c r="AV30" s="21"/>
      <c r="AW30" s="68" t="s">
        <v>155</v>
      </c>
      <c r="AX30" s="21" t="s">
        <v>156</v>
      </c>
      <c r="AY30" s="21"/>
      <c r="AZ30" s="50"/>
      <c r="BA30" s="21"/>
      <c r="BB30" s="21"/>
      <c r="BC30" s="21"/>
      <c r="BD30" s="68" t="s">
        <v>91</v>
      </c>
      <c r="BE30" s="21" t="s">
        <v>157</v>
      </c>
      <c r="BF30" s="21"/>
      <c r="BG30" s="50"/>
      <c r="BH30" s="21"/>
      <c r="BI30" s="21"/>
      <c r="BJ30" s="21"/>
    </row>
    <row r="31" spans="1:62" s="14" customFormat="1" ht="15.75" x14ac:dyDescent="0.25">
      <c r="A31" s="98"/>
      <c r="B31" s="22"/>
      <c r="C31" s="23" t="s">
        <v>2</v>
      </c>
      <c r="D31" s="25">
        <v>0</v>
      </c>
      <c r="E31" s="25">
        <v>600</v>
      </c>
      <c r="F31" s="25">
        <v>800</v>
      </c>
      <c r="G31" s="25">
        <v>0</v>
      </c>
      <c r="H31" s="25">
        <v>348.36864406779659</v>
      </c>
      <c r="I31" s="25">
        <v>627.06355932203394</v>
      </c>
      <c r="J31" s="47"/>
      <c r="K31" s="25">
        <v>0</v>
      </c>
      <c r="L31" s="25">
        <v>198.10843373493975</v>
      </c>
      <c r="M31" s="25">
        <v>396.2168674698795</v>
      </c>
      <c r="N31" s="25">
        <v>594.3253012048192</v>
      </c>
      <c r="O31" s="25">
        <v>633.94698795180727</v>
      </c>
      <c r="P31" s="25">
        <v>633.94698795180727</v>
      </c>
      <c r="Q31" s="47"/>
      <c r="R31" s="25">
        <v>0</v>
      </c>
      <c r="S31" s="25">
        <v>378.34033613445376</v>
      </c>
      <c r="T31" s="25">
        <v>756.68067226890753</v>
      </c>
      <c r="U31" s="25">
        <v>0</v>
      </c>
      <c r="V31" s="25">
        <v>328.6313868613139</v>
      </c>
      <c r="W31" s="25">
        <v>657.2627737226278</v>
      </c>
      <c r="X31" s="47"/>
      <c r="Y31" s="25">
        <v>920.16788321167883</v>
      </c>
      <c r="Z31" s="25">
        <v>1051.6204379562046</v>
      </c>
      <c r="AA31" s="25">
        <v>1183.0729927007301</v>
      </c>
      <c r="AB31" s="25">
        <v>1183.0729927007301</v>
      </c>
      <c r="AC31" s="25">
        <v>1183.0729927007301</v>
      </c>
      <c r="AD31" s="25">
        <v>1183.0729927007301</v>
      </c>
      <c r="AE31" s="48"/>
      <c r="AF31" s="25">
        <v>1183.0729927007301</v>
      </c>
      <c r="AG31" s="25">
        <v>0</v>
      </c>
      <c r="AH31" s="25">
        <v>255.08498583569408</v>
      </c>
      <c r="AI31" s="25">
        <v>510.16997167138817</v>
      </c>
      <c r="AJ31" s="25">
        <v>714.23796033994336</v>
      </c>
      <c r="AK31" s="25">
        <v>714.23796033994336</v>
      </c>
      <c r="AL31" s="47"/>
      <c r="AM31" s="25">
        <v>714.23796033994336</v>
      </c>
      <c r="AN31" s="25">
        <v>816.27195467422109</v>
      </c>
      <c r="AO31" s="25">
        <v>816.27195467422109</v>
      </c>
      <c r="AP31" s="25">
        <v>816.27195467422109</v>
      </c>
      <c r="AQ31" s="25">
        <v>867.2889518413599</v>
      </c>
      <c r="AR31" s="25">
        <v>867.2889518413599</v>
      </c>
      <c r="AS31" s="47"/>
      <c r="AT31" s="25">
        <v>867.2889518413599</v>
      </c>
      <c r="AU31" s="25">
        <v>867.2889518413599</v>
      </c>
      <c r="AV31" s="25">
        <v>867.2889518413599</v>
      </c>
      <c r="AW31" s="25">
        <v>0</v>
      </c>
      <c r="AX31" s="25">
        <v>321.95723684210526</v>
      </c>
      <c r="AY31" s="25">
        <v>643.91447368421052</v>
      </c>
      <c r="AZ31" s="47"/>
      <c r="BA31" s="25">
        <v>772.6973684210526</v>
      </c>
      <c r="BB31" s="25">
        <v>772.6973684210526</v>
      </c>
      <c r="BC31" s="25">
        <v>772.6973684210526</v>
      </c>
      <c r="BD31" s="25">
        <v>333.39416058394164</v>
      </c>
      <c r="BE31" s="25">
        <v>666.78832116788328</v>
      </c>
      <c r="BF31" s="25">
        <v>800.14598540145994</v>
      </c>
      <c r="BG31" s="47"/>
      <c r="BH31" s="25">
        <v>800.14598540145994</v>
      </c>
      <c r="BI31" s="25">
        <v>800.14598540145994</v>
      </c>
      <c r="BJ31" s="25">
        <v>800.14598540145994</v>
      </c>
    </row>
    <row r="32" spans="1:62" s="14" customFormat="1" ht="15.75" x14ac:dyDescent="0.25">
      <c r="A32" s="99"/>
      <c r="B32" s="26"/>
      <c r="C32" s="23" t="s">
        <v>8</v>
      </c>
      <c r="D32" s="25">
        <v>62</v>
      </c>
      <c r="E32" s="25">
        <v>62</v>
      </c>
      <c r="F32" s="25">
        <v>62</v>
      </c>
      <c r="G32" s="25">
        <v>62</v>
      </c>
      <c r="H32" s="25">
        <v>62</v>
      </c>
      <c r="I32" s="25">
        <v>62</v>
      </c>
      <c r="J32" s="48"/>
      <c r="K32" s="25">
        <v>62</v>
      </c>
      <c r="L32" s="25">
        <v>62</v>
      </c>
      <c r="M32" s="25">
        <v>62</v>
      </c>
      <c r="N32" s="25">
        <v>62</v>
      </c>
      <c r="O32" s="25">
        <v>62</v>
      </c>
      <c r="P32" s="25">
        <v>62</v>
      </c>
      <c r="Q32" s="48"/>
      <c r="R32" s="25">
        <v>62</v>
      </c>
      <c r="S32" s="25">
        <v>62</v>
      </c>
      <c r="T32" s="25">
        <v>62</v>
      </c>
      <c r="U32" s="25">
        <v>62</v>
      </c>
      <c r="V32" s="25">
        <v>62</v>
      </c>
      <c r="W32" s="25">
        <v>62</v>
      </c>
      <c r="X32" s="48"/>
      <c r="Y32" s="25">
        <v>63</v>
      </c>
      <c r="Z32" s="25">
        <v>63</v>
      </c>
      <c r="AA32" s="25">
        <v>63</v>
      </c>
      <c r="AB32" s="25">
        <v>63</v>
      </c>
      <c r="AC32" s="25">
        <v>63</v>
      </c>
      <c r="AD32" s="25">
        <v>63</v>
      </c>
      <c r="AE32" s="48"/>
      <c r="AF32" s="25">
        <v>63</v>
      </c>
      <c r="AG32" s="25">
        <v>63</v>
      </c>
      <c r="AH32" s="25">
        <v>63</v>
      </c>
      <c r="AI32" s="25">
        <v>63</v>
      </c>
      <c r="AJ32" s="25">
        <v>63</v>
      </c>
      <c r="AK32" s="25">
        <v>63</v>
      </c>
      <c r="AL32" s="48"/>
      <c r="AM32" s="25">
        <v>63</v>
      </c>
      <c r="AN32" s="25">
        <v>63</v>
      </c>
      <c r="AO32" s="25">
        <v>63</v>
      </c>
      <c r="AP32" s="25">
        <v>63</v>
      </c>
      <c r="AQ32" s="25">
        <v>63</v>
      </c>
      <c r="AR32" s="25">
        <v>63</v>
      </c>
      <c r="AS32" s="48"/>
      <c r="AT32" s="25">
        <v>63</v>
      </c>
      <c r="AU32" s="25">
        <v>63</v>
      </c>
      <c r="AV32" s="25">
        <v>63</v>
      </c>
      <c r="AW32" s="25">
        <v>63</v>
      </c>
      <c r="AX32" s="25">
        <v>63</v>
      </c>
      <c r="AY32" s="25">
        <v>63</v>
      </c>
      <c r="AZ32" s="48"/>
      <c r="BA32" s="25">
        <v>63</v>
      </c>
      <c r="BB32" s="25">
        <v>63</v>
      </c>
      <c r="BC32" s="25">
        <v>63</v>
      </c>
      <c r="BD32" s="25">
        <v>63</v>
      </c>
      <c r="BE32" s="25">
        <v>63</v>
      </c>
      <c r="BF32" s="25">
        <v>63</v>
      </c>
      <c r="BG32" s="48"/>
      <c r="BH32" s="25">
        <v>63</v>
      </c>
      <c r="BI32" s="25">
        <v>63</v>
      </c>
      <c r="BJ32" s="25">
        <v>63</v>
      </c>
    </row>
    <row r="33" spans="1:62" ht="31.5" customHeight="1" x14ac:dyDescent="0.25">
      <c r="A33" s="57" t="s">
        <v>58</v>
      </c>
      <c r="B33" s="77" t="s">
        <v>79</v>
      </c>
      <c r="C33" s="18" t="s">
        <v>9</v>
      </c>
      <c r="D33" s="20"/>
      <c r="E33" s="77" t="s">
        <v>79</v>
      </c>
      <c r="F33" s="16"/>
      <c r="G33" s="16"/>
      <c r="H33" s="16"/>
      <c r="I33" s="16"/>
      <c r="J33" s="49"/>
      <c r="K33" s="84" t="s">
        <v>123</v>
      </c>
      <c r="L33" s="16"/>
      <c r="M33" s="16"/>
      <c r="N33" s="16"/>
      <c r="O33" s="16"/>
      <c r="P33" s="16"/>
      <c r="Q33" s="49"/>
      <c r="R33" s="16"/>
      <c r="S33" s="16"/>
      <c r="T33" s="16"/>
      <c r="U33" s="16" t="s">
        <v>121</v>
      </c>
      <c r="V33" s="16"/>
      <c r="W33" s="16"/>
      <c r="X33" s="49"/>
      <c r="Y33" s="16"/>
      <c r="Z33" s="16"/>
      <c r="AA33" s="16"/>
      <c r="AB33" s="16"/>
      <c r="AC33" s="16"/>
      <c r="AD33" s="20"/>
      <c r="AE33" s="51"/>
      <c r="AF33" s="56" t="s">
        <v>150</v>
      </c>
      <c r="AG33" s="93" t="s">
        <v>189</v>
      </c>
      <c r="AH33" s="20"/>
      <c r="AI33" s="56" t="s">
        <v>142</v>
      </c>
      <c r="AJ33" s="93" t="s">
        <v>190</v>
      </c>
      <c r="AK33" s="56" t="s">
        <v>139</v>
      </c>
      <c r="AL33" s="51"/>
      <c r="AM33" s="56" t="s">
        <v>139</v>
      </c>
      <c r="AN33" s="19" t="s">
        <v>190</v>
      </c>
      <c r="AO33" s="19"/>
      <c r="AP33" s="20"/>
      <c r="AQ33" s="20"/>
      <c r="AR33" s="20"/>
      <c r="AS33" s="51"/>
      <c r="AT33" s="20"/>
      <c r="AU33" s="20"/>
      <c r="AV33" s="20"/>
      <c r="AW33" s="20"/>
      <c r="AX33" s="20"/>
      <c r="AY33" s="20"/>
      <c r="AZ33" s="51"/>
      <c r="BA33" s="20"/>
      <c r="BB33" s="20"/>
      <c r="BC33" s="20"/>
      <c r="BD33" s="20"/>
      <c r="BE33" s="20"/>
      <c r="BF33" s="20"/>
      <c r="BG33" s="51"/>
      <c r="BH33" s="20"/>
      <c r="BI33" s="20"/>
      <c r="BJ33" s="20"/>
    </row>
    <row r="34" spans="1:62" s="14" customFormat="1" ht="15.75" x14ac:dyDescent="0.25">
      <c r="A34" s="98"/>
      <c r="B34" s="22"/>
      <c r="C34" s="23" t="s">
        <v>2</v>
      </c>
      <c r="D34" s="83">
        <f t="shared" ref="D34" si="140">600*D35/27.06*0.95</f>
        <v>1053.2150776053215</v>
      </c>
      <c r="E34" s="25">
        <v>0</v>
      </c>
      <c r="F34" s="25">
        <f t="shared" ref="F34:AD34" si="141">600*F35/21.62*0.87</f>
        <v>1207.2155411655874</v>
      </c>
      <c r="G34" s="25">
        <f t="shared" si="141"/>
        <v>1207.2155411655874</v>
      </c>
      <c r="H34" s="25">
        <f t="shared" si="141"/>
        <v>1207.2155411655874</v>
      </c>
      <c r="I34" s="25">
        <f t="shared" si="141"/>
        <v>1207.2155411655874</v>
      </c>
      <c r="J34" s="47"/>
      <c r="K34" s="89">
        <f t="shared" si="141"/>
        <v>1207.2155411655874</v>
      </c>
      <c r="L34" s="89">
        <f t="shared" si="141"/>
        <v>1207.2155411655874</v>
      </c>
      <c r="M34" s="90">
        <f t="shared" si="141"/>
        <v>1207.2155411655874</v>
      </c>
      <c r="N34" s="90">
        <f t="shared" si="141"/>
        <v>1207.2155411655874</v>
      </c>
      <c r="O34" s="90">
        <f t="shared" si="141"/>
        <v>1207.2155411655874</v>
      </c>
      <c r="P34" s="25">
        <f t="shared" si="141"/>
        <v>1207.2155411655874</v>
      </c>
      <c r="Q34" s="47"/>
      <c r="R34" s="25">
        <f t="shared" si="141"/>
        <v>1207.2155411655874</v>
      </c>
      <c r="S34" s="25">
        <f t="shared" si="141"/>
        <v>1207.2155411655874</v>
      </c>
      <c r="T34" s="25">
        <f t="shared" si="141"/>
        <v>1207.2155411655874</v>
      </c>
      <c r="U34" s="25">
        <f t="shared" si="141"/>
        <v>1207.2155411655874</v>
      </c>
      <c r="V34" s="25">
        <f t="shared" si="141"/>
        <v>1207.2155411655874</v>
      </c>
      <c r="W34" s="25">
        <f t="shared" si="141"/>
        <v>1207.2155411655874</v>
      </c>
      <c r="X34" s="78"/>
      <c r="Y34" s="62">
        <f t="shared" si="141"/>
        <v>1207.2155411655874</v>
      </c>
      <c r="Z34" s="62">
        <f t="shared" si="141"/>
        <v>1207.2155411655874</v>
      </c>
      <c r="AA34" s="62">
        <f t="shared" si="141"/>
        <v>1207.2155411655874</v>
      </c>
      <c r="AB34" s="62">
        <f t="shared" si="141"/>
        <v>1207.2155411655874</v>
      </c>
      <c r="AC34" s="62">
        <f t="shared" si="141"/>
        <v>1207.2155411655874</v>
      </c>
      <c r="AD34" s="62">
        <f t="shared" si="141"/>
        <v>1207.2155411655874</v>
      </c>
      <c r="AE34" s="47"/>
      <c r="AF34" s="86">
        <v>0</v>
      </c>
      <c r="AG34" s="86">
        <f>600*AG35/23.72*0.87</f>
        <v>1100.3372681281619</v>
      </c>
      <c r="AH34" s="86">
        <f>600*AH35/23.72*0.87</f>
        <v>1100.3372681281619</v>
      </c>
      <c r="AI34" s="25">
        <v>0</v>
      </c>
      <c r="AJ34" s="25">
        <f>600*AJ35/38.1*0.9</f>
        <v>708.66141732283472</v>
      </c>
      <c r="AK34" s="25">
        <v>239</v>
      </c>
      <c r="AL34" s="47"/>
      <c r="AM34" s="25">
        <f t="shared" ref="AM34" si="142">600*AM35/30.58*0.9</f>
        <v>882.93001962066717</v>
      </c>
      <c r="AN34" s="25">
        <v>0</v>
      </c>
      <c r="AO34" s="25">
        <f>600*AO35/38.1*0.9</f>
        <v>708.66141732283472</v>
      </c>
      <c r="AP34" s="25">
        <f t="shared" ref="AP34" si="143">600*AP35/30.58*0.9</f>
        <v>882.93001962066717</v>
      </c>
      <c r="AQ34" s="25">
        <f t="shared" ref="AQ34" si="144">600*AQ35/30.58*0.9</f>
        <v>882.93001962066717</v>
      </c>
      <c r="AR34" s="25">
        <f t="shared" ref="AR34" si="145">600*AR35/30.58*0.9</f>
        <v>882.93001962066717</v>
      </c>
      <c r="AS34" s="47"/>
      <c r="AT34" s="25">
        <f t="shared" ref="AT34" si="146">600*AT35/30.58*0.9</f>
        <v>882.93001962066717</v>
      </c>
      <c r="AU34" s="25">
        <f t="shared" ref="AU34" si="147">600*AU35/30.58*0.9</f>
        <v>882.93001962066717</v>
      </c>
      <c r="AV34" s="25">
        <f t="shared" ref="AV34" si="148">600*AV35/30.58*0.9</f>
        <v>882.93001962066717</v>
      </c>
      <c r="AW34" s="25">
        <f t="shared" ref="AW34" si="149">600*AW35/30.58*0.9</f>
        <v>882.93001962066717</v>
      </c>
      <c r="AX34" s="25">
        <f t="shared" ref="AX34" si="150">600*AX35/30.58*0.9</f>
        <v>882.93001962066717</v>
      </c>
      <c r="AY34" s="25">
        <f t="shared" ref="AY34" si="151">600*AY35/30.58*0.9</f>
        <v>882.93001962066717</v>
      </c>
      <c r="AZ34" s="47"/>
      <c r="BA34" s="25">
        <f t="shared" ref="BA34" si="152">600*BA35/30.58*0.9</f>
        <v>882.93001962066717</v>
      </c>
      <c r="BB34" s="25">
        <f t="shared" ref="BB34" si="153">600*BB35/30.58*0.9</f>
        <v>882.93001962066717</v>
      </c>
      <c r="BC34" s="25">
        <f t="shared" ref="BC34" si="154">600*BC35/30.58*0.9</f>
        <v>882.93001962066717</v>
      </c>
      <c r="BD34" s="25">
        <f t="shared" ref="BD34" si="155">600*BD35/30.58*0.9</f>
        <v>882.93001962066717</v>
      </c>
      <c r="BE34" s="25">
        <f t="shared" ref="BE34" si="156">600*BE35/30.58*0.9</f>
        <v>882.93001962066717</v>
      </c>
      <c r="BF34" s="25">
        <f t="shared" ref="BF34:BJ34" si="157">600*BF35/30.58*0.9</f>
        <v>882.93001962066717</v>
      </c>
      <c r="BG34" s="47"/>
      <c r="BH34" s="25">
        <f t="shared" si="157"/>
        <v>882.93001962066717</v>
      </c>
      <c r="BI34" s="25">
        <f t="shared" si="157"/>
        <v>882.93001962066717</v>
      </c>
      <c r="BJ34" s="25">
        <f t="shared" si="157"/>
        <v>882.93001962066717</v>
      </c>
    </row>
    <row r="35" spans="1:62" s="14" customFormat="1" ht="15.75" x14ac:dyDescent="0.25">
      <c r="A35" s="99"/>
      <c r="B35" s="26"/>
      <c r="C35" s="23" t="s">
        <v>8</v>
      </c>
      <c r="D35" s="24">
        <v>50</v>
      </c>
      <c r="E35" s="24">
        <v>50</v>
      </c>
      <c r="F35" s="24">
        <v>50</v>
      </c>
      <c r="G35" s="24">
        <v>50</v>
      </c>
      <c r="H35" s="24">
        <v>50</v>
      </c>
      <c r="I35" s="24">
        <v>50</v>
      </c>
      <c r="J35" s="48"/>
      <c r="K35" s="24">
        <v>50</v>
      </c>
      <c r="L35" s="24">
        <v>50</v>
      </c>
      <c r="M35" s="24">
        <v>50</v>
      </c>
      <c r="N35" s="24">
        <v>50</v>
      </c>
      <c r="O35" s="60">
        <v>50</v>
      </c>
      <c r="P35" s="60">
        <v>50</v>
      </c>
      <c r="Q35" s="48"/>
      <c r="R35" s="60">
        <v>50</v>
      </c>
      <c r="S35" s="60">
        <v>50</v>
      </c>
      <c r="T35" s="60">
        <v>50</v>
      </c>
      <c r="U35" s="60">
        <v>50</v>
      </c>
      <c r="V35" s="60">
        <v>50</v>
      </c>
      <c r="W35" s="60">
        <v>50</v>
      </c>
      <c r="X35" s="48"/>
      <c r="Y35" s="60">
        <v>50</v>
      </c>
      <c r="Z35" s="60">
        <v>50</v>
      </c>
      <c r="AA35" s="60">
        <v>50</v>
      </c>
      <c r="AB35" s="60">
        <v>50</v>
      </c>
      <c r="AC35" s="60">
        <v>50</v>
      </c>
      <c r="AD35" s="60">
        <v>50</v>
      </c>
      <c r="AE35" s="48"/>
      <c r="AF35" s="60">
        <v>50</v>
      </c>
      <c r="AG35" s="60">
        <v>50</v>
      </c>
      <c r="AH35" s="60">
        <v>50</v>
      </c>
      <c r="AI35" s="60">
        <v>50</v>
      </c>
      <c r="AJ35" s="60">
        <v>50</v>
      </c>
      <c r="AK35" s="60">
        <v>50</v>
      </c>
      <c r="AL35" s="48"/>
      <c r="AM35" s="60">
        <v>50</v>
      </c>
      <c r="AN35" s="60">
        <v>50</v>
      </c>
      <c r="AO35" s="60">
        <v>50</v>
      </c>
      <c r="AP35" s="60">
        <v>50</v>
      </c>
      <c r="AQ35" s="60">
        <v>50</v>
      </c>
      <c r="AR35" s="60">
        <v>50</v>
      </c>
      <c r="AS35" s="48"/>
      <c r="AT35" s="60">
        <v>50</v>
      </c>
      <c r="AU35" s="60">
        <v>50</v>
      </c>
      <c r="AV35" s="60">
        <v>50</v>
      </c>
      <c r="AW35" s="60">
        <v>50</v>
      </c>
      <c r="AX35" s="60">
        <v>50</v>
      </c>
      <c r="AY35" s="60">
        <v>50</v>
      </c>
      <c r="AZ35" s="48"/>
      <c r="BA35" s="60">
        <v>50</v>
      </c>
      <c r="BB35" s="60">
        <v>50</v>
      </c>
      <c r="BC35" s="60">
        <v>50</v>
      </c>
      <c r="BD35" s="60">
        <v>50</v>
      </c>
      <c r="BE35" s="60">
        <v>50</v>
      </c>
      <c r="BF35" s="60">
        <v>50</v>
      </c>
      <c r="BG35" s="48"/>
      <c r="BH35" s="60">
        <v>50</v>
      </c>
      <c r="BI35" s="60">
        <v>50</v>
      </c>
      <c r="BJ35" s="60">
        <v>50</v>
      </c>
    </row>
    <row r="36" spans="1:62" ht="31.5" customHeight="1" x14ac:dyDescent="0.25">
      <c r="A36" s="57" t="s">
        <v>66</v>
      </c>
      <c r="B36" s="79" t="s">
        <v>56</v>
      </c>
      <c r="C36" s="18" t="s">
        <v>9</v>
      </c>
      <c r="I36" s="79" t="s">
        <v>56</v>
      </c>
      <c r="J36" s="51"/>
      <c r="K36" s="16"/>
      <c r="L36" s="16" t="s">
        <v>134</v>
      </c>
      <c r="M36" s="16"/>
      <c r="N36" s="61" t="s">
        <v>84</v>
      </c>
      <c r="O36" s="19"/>
      <c r="P36" s="19"/>
      <c r="Q36" s="51"/>
      <c r="R36" s="19"/>
      <c r="S36" s="19"/>
      <c r="T36" s="19"/>
      <c r="U36" s="19"/>
      <c r="V36" s="19"/>
      <c r="W36" s="59" t="s">
        <v>48</v>
      </c>
      <c r="X36" s="51"/>
      <c r="AB36" s="79" t="s">
        <v>28</v>
      </c>
      <c r="AC36" s="3" t="s">
        <v>125</v>
      </c>
      <c r="AD36" s="63" t="s">
        <v>63</v>
      </c>
      <c r="AE36" s="51"/>
      <c r="AL36" s="51"/>
      <c r="AO36" s="59" t="s">
        <v>118</v>
      </c>
      <c r="AQ36" s="59" t="s">
        <v>135</v>
      </c>
      <c r="AS36" s="51"/>
      <c r="AZ36" s="51"/>
      <c r="BG36" s="51"/>
    </row>
    <row r="37" spans="1:62" s="14" customFormat="1" ht="15.75" x14ac:dyDescent="0.25">
      <c r="A37" s="98"/>
      <c r="B37" s="96"/>
      <c r="C37" s="23" t="s">
        <v>2</v>
      </c>
      <c r="D37" s="25">
        <f t="shared" ref="D37:H37" si="158">600*D38/33.29*0.95</f>
        <v>958.84650045058572</v>
      </c>
      <c r="E37" s="25">
        <f t="shared" si="158"/>
        <v>958.84650045058572</v>
      </c>
      <c r="F37" s="25">
        <f t="shared" si="158"/>
        <v>958.84650045058572</v>
      </c>
      <c r="G37" s="25">
        <f t="shared" si="158"/>
        <v>958.84650045058572</v>
      </c>
      <c r="H37" s="25">
        <f t="shared" si="158"/>
        <v>958.84650045058572</v>
      </c>
      <c r="I37" s="25"/>
      <c r="J37" s="47"/>
      <c r="K37" s="25">
        <f t="shared" ref="K37:M37" si="159">(K38)*600/20.27*0.87</f>
        <v>1442.1312284163789</v>
      </c>
      <c r="L37" s="25">
        <f t="shared" si="159"/>
        <v>1442.1312284163789</v>
      </c>
      <c r="M37" s="25">
        <f t="shared" si="159"/>
        <v>1442.1312284163789</v>
      </c>
      <c r="N37" s="25"/>
      <c r="O37" s="25">
        <f>600*O38/22.2*0.9</f>
        <v>1362.1621621621623</v>
      </c>
      <c r="P37" s="25">
        <f>600*P38/22.2*0.9</f>
        <v>1362.1621621621623</v>
      </c>
      <c r="Q37" s="47"/>
      <c r="R37" s="25">
        <f t="shared" ref="R37:S37" si="160">600*R38/22.2*0.9</f>
        <v>1362.1621621621623</v>
      </c>
      <c r="S37" s="25">
        <f t="shared" si="160"/>
        <v>1362.1621621621623</v>
      </c>
      <c r="T37" s="25">
        <f t="shared" ref="T37" si="161">600*T38/22.2*0.9</f>
        <v>1362.1621621621623</v>
      </c>
      <c r="U37" s="25">
        <f t="shared" ref="U37:V37" si="162">600*U38/22.2*0.9</f>
        <v>1362.1621621621623</v>
      </c>
      <c r="V37" s="25">
        <f t="shared" si="162"/>
        <v>1362.1621621621623</v>
      </c>
      <c r="W37" s="25">
        <v>0</v>
      </c>
      <c r="X37" s="78"/>
      <c r="Y37" s="25">
        <f t="shared" ref="Y37:AC37" si="163">600*Y38/25.8*0.87</f>
        <v>1133.0232558139535</v>
      </c>
      <c r="Z37" s="25">
        <f t="shared" si="163"/>
        <v>1133.0232558139535</v>
      </c>
      <c r="AA37" s="25">
        <f t="shared" si="163"/>
        <v>1133.0232558139535</v>
      </c>
      <c r="AB37" s="25">
        <v>0</v>
      </c>
      <c r="AC37" s="25">
        <f t="shared" si="163"/>
        <v>1133.0232558139535</v>
      </c>
      <c r="AD37" s="25">
        <v>0</v>
      </c>
      <c r="AE37" s="47"/>
      <c r="AF37" s="25">
        <f t="shared" ref="AF37:AI37" si="164">600*AF68/33.36*0.87</f>
        <v>782.37410071942452</v>
      </c>
      <c r="AG37" s="25">
        <f t="shared" si="164"/>
        <v>782.37410071942452</v>
      </c>
      <c r="AH37" s="25">
        <f t="shared" si="164"/>
        <v>782.37410071942452</v>
      </c>
      <c r="AI37" s="25">
        <f t="shared" si="164"/>
        <v>782.37410071942452</v>
      </c>
      <c r="AJ37" s="25">
        <f t="shared" ref="AJ37:AK37" si="165">600*AJ68/33.36*0.87</f>
        <v>782.37410071942452</v>
      </c>
      <c r="AK37" s="25">
        <f t="shared" si="165"/>
        <v>782.37410071942452</v>
      </c>
      <c r="AL37" s="47"/>
      <c r="AM37" s="25">
        <f t="shared" ref="AM37:AN37" si="166">600*AM68/33.36*0.87</f>
        <v>782.37410071942452</v>
      </c>
      <c r="AN37" s="25">
        <f t="shared" si="166"/>
        <v>782.37410071942452</v>
      </c>
      <c r="AO37" s="25">
        <v>0</v>
      </c>
      <c r="AP37" s="25"/>
      <c r="AQ37" s="25"/>
      <c r="AR37" s="25">
        <f>600*AR38/25.29*0.87</f>
        <v>1155.8718861209966</v>
      </c>
      <c r="AS37" s="47"/>
      <c r="AT37" s="25">
        <f t="shared" ref="AT37:AY37" si="167">600*AT38/25.29*0.87</f>
        <v>1155.8718861209966</v>
      </c>
      <c r="AU37" s="25">
        <f t="shared" si="167"/>
        <v>1155.8718861209966</v>
      </c>
      <c r="AV37" s="25">
        <f t="shared" si="167"/>
        <v>1155.8718861209966</v>
      </c>
      <c r="AW37" s="25">
        <f t="shared" si="167"/>
        <v>1155.8718861209966</v>
      </c>
      <c r="AX37" s="25">
        <f t="shared" si="167"/>
        <v>1155.8718861209966</v>
      </c>
      <c r="AY37" s="25">
        <f t="shared" si="167"/>
        <v>1155.8718861209966</v>
      </c>
      <c r="AZ37" s="47"/>
      <c r="BA37" s="25">
        <f t="shared" ref="BA37" si="168">600*BA38/25.29*0.87</f>
        <v>1114.5907473309608</v>
      </c>
      <c r="BB37" s="25">
        <f t="shared" ref="BB37" si="169">600*BB38/25.29*0.87</f>
        <v>1114.5907473309608</v>
      </c>
      <c r="BC37" s="25">
        <f t="shared" ref="BC37" si="170">600*BC38/25.29*0.87</f>
        <v>1114.5907473309608</v>
      </c>
      <c r="BD37" s="25">
        <f t="shared" ref="BD37" si="171">600*BD38/25.29*0.87</f>
        <v>1114.5907473309608</v>
      </c>
      <c r="BE37" s="25">
        <f t="shared" ref="BE37" si="172">600*BE38/25.29*0.87</f>
        <v>1114.5907473309608</v>
      </c>
      <c r="BF37" s="25">
        <f t="shared" ref="BF37" si="173">600*BF38/25.29*0.87</f>
        <v>1114.5907473309608</v>
      </c>
      <c r="BG37" s="47"/>
      <c r="BH37" s="25">
        <f t="shared" ref="BH37" si="174">600*BH38/25.29*0.87</f>
        <v>1114.5907473309608</v>
      </c>
      <c r="BI37" s="25">
        <f t="shared" ref="BI37" si="175">600*BI38/25.29*0.87</f>
        <v>1114.5907473309608</v>
      </c>
      <c r="BJ37" s="25">
        <f t="shared" ref="BJ37" si="176">600*BJ38/25.29*0.87</f>
        <v>1114.5907473309608</v>
      </c>
    </row>
    <row r="38" spans="1:62" s="14" customFormat="1" ht="15.75" x14ac:dyDescent="0.25">
      <c r="A38" s="99"/>
      <c r="B38" s="97"/>
      <c r="C38" s="23" t="s">
        <v>8</v>
      </c>
      <c r="D38" s="24">
        <v>56</v>
      </c>
      <c r="E38" s="24">
        <v>56</v>
      </c>
      <c r="F38" s="24">
        <v>56</v>
      </c>
      <c r="G38" s="24">
        <v>56</v>
      </c>
      <c r="H38" s="24">
        <v>56</v>
      </c>
      <c r="I38" s="24">
        <v>56</v>
      </c>
      <c r="J38" s="48"/>
      <c r="K38" s="24">
        <v>56</v>
      </c>
      <c r="L38" s="24">
        <v>56</v>
      </c>
      <c r="M38" s="24">
        <v>56</v>
      </c>
      <c r="N38" s="24">
        <v>56</v>
      </c>
      <c r="O38" s="24">
        <v>56</v>
      </c>
      <c r="P38" s="24">
        <v>56</v>
      </c>
      <c r="Q38" s="48"/>
      <c r="R38" s="24">
        <v>56</v>
      </c>
      <c r="S38" s="24">
        <v>56</v>
      </c>
      <c r="T38" s="24">
        <v>56</v>
      </c>
      <c r="U38" s="24">
        <v>56</v>
      </c>
      <c r="V38" s="24">
        <v>56</v>
      </c>
      <c r="W38" s="24">
        <v>56</v>
      </c>
      <c r="X38" s="48"/>
      <c r="Y38" s="24">
        <v>56</v>
      </c>
      <c r="Z38" s="24">
        <v>56</v>
      </c>
      <c r="AA38" s="24">
        <v>56</v>
      </c>
      <c r="AB38" s="24">
        <v>56</v>
      </c>
      <c r="AC38" s="24">
        <v>56</v>
      </c>
      <c r="AD38" s="24">
        <v>56</v>
      </c>
      <c r="AE38" s="48"/>
      <c r="AF38" s="24">
        <v>56</v>
      </c>
      <c r="AG38" s="24">
        <v>56</v>
      </c>
      <c r="AH38" s="24">
        <v>56</v>
      </c>
      <c r="AI38" s="24">
        <v>56</v>
      </c>
      <c r="AJ38" s="24">
        <v>56</v>
      </c>
      <c r="AK38" s="24">
        <v>56</v>
      </c>
      <c r="AL38" s="48"/>
      <c r="AM38" s="24">
        <v>56</v>
      </c>
      <c r="AN38" s="24">
        <v>56</v>
      </c>
      <c r="AO38" s="24">
        <v>56</v>
      </c>
      <c r="AP38" s="24">
        <v>56</v>
      </c>
      <c r="AQ38" s="24">
        <v>56</v>
      </c>
      <c r="AR38" s="24">
        <v>56</v>
      </c>
      <c r="AS38" s="48"/>
      <c r="AT38" s="24">
        <v>56</v>
      </c>
      <c r="AU38" s="24">
        <v>56</v>
      </c>
      <c r="AV38" s="24">
        <v>56</v>
      </c>
      <c r="AW38" s="24">
        <v>56</v>
      </c>
      <c r="AX38" s="24">
        <v>56</v>
      </c>
      <c r="AY38" s="24">
        <v>56</v>
      </c>
      <c r="AZ38" s="48"/>
      <c r="BA38" s="24">
        <v>54</v>
      </c>
      <c r="BB38" s="24">
        <v>54</v>
      </c>
      <c r="BC38" s="24">
        <v>54</v>
      </c>
      <c r="BD38" s="24">
        <v>54</v>
      </c>
      <c r="BE38" s="24">
        <v>54</v>
      </c>
      <c r="BF38" s="24">
        <v>54</v>
      </c>
      <c r="BG38" s="48"/>
      <c r="BH38" s="24">
        <v>54</v>
      </c>
      <c r="BI38" s="24">
        <v>54</v>
      </c>
      <c r="BJ38" s="24">
        <v>54</v>
      </c>
    </row>
    <row r="39" spans="1:62" ht="31.5" customHeight="1" x14ac:dyDescent="0.25">
      <c r="A39" s="57" t="s">
        <v>41</v>
      </c>
      <c r="B39" s="56" t="s">
        <v>15</v>
      </c>
      <c r="C39" s="18" t="s">
        <v>9</v>
      </c>
      <c r="D39" s="19"/>
      <c r="E39" s="19"/>
      <c r="F39" s="19"/>
      <c r="G39" s="19"/>
      <c r="H39" s="19"/>
      <c r="I39" s="56" t="s">
        <v>15</v>
      </c>
      <c r="J39" s="46"/>
      <c r="K39" s="56" t="s">
        <v>15</v>
      </c>
      <c r="L39" s="19"/>
      <c r="M39" s="19"/>
      <c r="N39" s="19"/>
      <c r="O39" s="19"/>
      <c r="P39" s="19"/>
      <c r="Q39" s="46"/>
      <c r="R39" s="19"/>
      <c r="S39" s="19"/>
      <c r="T39" s="19"/>
      <c r="U39" s="19"/>
      <c r="V39" s="19"/>
      <c r="W39" s="19"/>
      <c r="X39" s="46"/>
      <c r="Y39" s="59" t="s">
        <v>83</v>
      </c>
      <c r="Z39" s="92" t="s">
        <v>186</v>
      </c>
      <c r="AA39" s="3" t="s">
        <v>151</v>
      </c>
      <c r="AC39" s="61" t="s">
        <v>119</v>
      </c>
      <c r="AD39" s="3" t="s">
        <v>151</v>
      </c>
      <c r="AE39" s="46"/>
      <c r="AF39" s="3" t="s">
        <v>151</v>
      </c>
      <c r="AI39" s="63" t="s">
        <v>30</v>
      </c>
      <c r="AJ39" s="19" t="s">
        <v>177</v>
      </c>
      <c r="AK39" s="19"/>
      <c r="AL39" s="46"/>
      <c r="AM39" s="19"/>
      <c r="AN39" s="19"/>
      <c r="AO39" s="19"/>
      <c r="AP39" s="19"/>
      <c r="AQ39" s="19"/>
      <c r="AR39" s="76"/>
      <c r="AS39" s="46"/>
      <c r="AT39" s="19"/>
      <c r="AU39" s="19"/>
      <c r="AV39" s="19"/>
      <c r="AW39" s="19"/>
      <c r="AX39" s="19"/>
      <c r="AY39" s="19"/>
      <c r="AZ39" s="46"/>
      <c r="BA39" s="19"/>
      <c r="BB39" s="19"/>
      <c r="BC39" s="19"/>
      <c r="BD39" s="19"/>
      <c r="BE39" s="19"/>
      <c r="BF39" s="19"/>
      <c r="BG39" s="46"/>
      <c r="BH39" s="19"/>
      <c r="BI39" s="19"/>
      <c r="BJ39" s="19"/>
    </row>
    <row r="40" spans="1:62" s="14" customFormat="1" ht="15.75" x14ac:dyDescent="0.25">
      <c r="A40" s="98"/>
      <c r="B40" s="22"/>
      <c r="C40" s="23" t="s">
        <v>2</v>
      </c>
      <c r="D40" s="83">
        <f t="shared" ref="D40:G40" si="177">600*D41/27.06*0.9</f>
        <v>2095.3436807095345</v>
      </c>
      <c r="E40" s="83">
        <f t="shared" si="177"/>
        <v>2095.3436807095345</v>
      </c>
      <c r="F40" s="83">
        <f t="shared" si="177"/>
        <v>2095.3436807095345</v>
      </c>
      <c r="G40" s="83">
        <f t="shared" si="177"/>
        <v>2095.3436807095345</v>
      </c>
      <c r="H40" s="83">
        <f>600*H41/27.06*0.9</f>
        <v>2095.3436807095345</v>
      </c>
      <c r="I40" s="25">
        <v>0</v>
      </c>
      <c r="J40" s="47"/>
      <c r="K40" s="25">
        <f t="shared" ref="K40" si="178">600*K41/30.09*0.9</f>
        <v>1884.3469591226321</v>
      </c>
      <c r="L40" s="25">
        <f t="shared" ref="L40" si="179">600*L41/30.09*0.9</f>
        <v>1884.3469591226321</v>
      </c>
      <c r="M40" s="25">
        <f>600*M41/30.09*0.87</f>
        <v>1821.5353938185444</v>
      </c>
      <c r="N40" s="25">
        <f t="shared" ref="N40:P40" si="180">600*N41/30.09*0.87</f>
        <v>1821.5353938185444</v>
      </c>
      <c r="O40" s="25">
        <f t="shared" si="180"/>
        <v>1821.5353938185444</v>
      </c>
      <c r="P40" s="25">
        <f t="shared" si="180"/>
        <v>1821.5353938185444</v>
      </c>
      <c r="Q40" s="47"/>
      <c r="R40" s="25">
        <f t="shared" ref="R40:W40" si="181">600*R41/30.09*0.87</f>
        <v>1821.5353938185444</v>
      </c>
      <c r="S40" s="25">
        <f t="shared" si="181"/>
        <v>1821.5353938185444</v>
      </c>
      <c r="T40" s="25">
        <f t="shared" si="181"/>
        <v>1821.5353938185444</v>
      </c>
      <c r="U40" s="25">
        <f t="shared" si="181"/>
        <v>1821.5353938185444</v>
      </c>
      <c r="V40" s="25">
        <f t="shared" si="181"/>
        <v>1821.5353938185444</v>
      </c>
      <c r="W40" s="25">
        <f t="shared" si="181"/>
        <v>1821.5353938185444</v>
      </c>
      <c r="X40" s="47"/>
      <c r="Y40" s="25">
        <v>0</v>
      </c>
      <c r="Z40" s="25">
        <f t="shared" ref="Z40:AB40" si="182">600*Z41/30.58*0.87</f>
        <v>1792.3479398299544</v>
      </c>
      <c r="AA40" s="25">
        <f t="shared" si="182"/>
        <v>1792.3479398299544</v>
      </c>
      <c r="AB40" s="25">
        <f t="shared" si="182"/>
        <v>1792.3479398299544</v>
      </c>
      <c r="AC40" s="25"/>
      <c r="AD40" s="25">
        <f>600*AD41/67.25*0.75</f>
        <v>702.60223048327134</v>
      </c>
      <c r="AE40" s="47"/>
      <c r="AF40" s="25">
        <f t="shared" ref="AF40:AH40" si="183">600*AF41/67.25*0.75</f>
        <v>702.60223048327134</v>
      </c>
      <c r="AG40" s="25">
        <f t="shared" si="183"/>
        <v>702.60223048327134</v>
      </c>
      <c r="AH40" s="25">
        <f t="shared" si="183"/>
        <v>702.60223048327134</v>
      </c>
      <c r="AI40" s="25">
        <f>600*AI41/33.29*0.87</f>
        <v>1646.4403724842296</v>
      </c>
      <c r="AJ40" s="25">
        <f t="shared" ref="AJ40:AK40" si="184">600*AJ41/33.29*0.87</f>
        <v>1646.4403724842296</v>
      </c>
      <c r="AK40" s="25">
        <f t="shared" si="184"/>
        <v>1646.4403724842296</v>
      </c>
      <c r="AL40" s="47"/>
      <c r="AM40" s="25">
        <f>600*AM41/33.29*0.87</f>
        <v>1646.4403724842296</v>
      </c>
      <c r="AN40" s="25">
        <f t="shared" ref="AN40" si="185">600*AN41/33.29*0.87</f>
        <v>1646.4403724842296</v>
      </c>
      <c r="AO40" s="25">
        <f t="shared" ref="AO40" si="186">600*AO41/33.29*0.87</f>
        <v>1646.4403724842296</v>
      </c>
      <c r="AP40" s="25">
        <f t="shared" ref="AP40" si="187">600*AP41/33.29*0.87</f>
        <v>1646.4403724842296</v>
      </c>
      <c r="AQ40" s="25">
        <f t="shared" ref="AQ40" si="188">600*AQ41/33.29*0.87</f>
        <v>1646.4403724842296</v>
      </c>
      <c r="AR40" s="25"/>
      <c r="AS40" s="47"/>
      <c r="AT40" s="25">
        <f t="shared" ref="AT40" si="189">600*AT71/25.29*0.87</f>
        <v>763.70106761565842</v>
      </c>
      <c r="AU40" s="25">
        <f t="shared" ref="AU40:AX40" si="190">600*AU71/25.29*0.87</f>
        <v>763.70106761565842</v>
      </c>
      <c r="AV40" s="25">
        <f t="shared" si="190"/>
        <v>763.70106761565842</v>
      </c>
      <c r="AW40" s="25">
        <f t="shared" si="190"/>
        <v>763.70106761565842</v>
      </c>
      <c r="AX40" s="25">
        <f t="shared" si="190"/>
        <v>763.70106761565842</v>
      </c>
      <c r="AY40" s="25"/>
      <c r="AZ40" s="47"/>
      <c r="BA40" s="25"/>
      <c r="BB40" s="25"/>
      <c r="BC40" s="25"/>
      <c r="BD40" s="25"/>
      <c r="BE40" s="25"/>
      <c r="BF40" s="25"/>
      <c r="BG40" s="47"/>
      <c r="BH40" s="25"/>
      <c r="BI40" s="25"/>
      <c r="BJ40" s="25"/>
    </row>
    <row r="41" spans="1:62" s="14" customFormat="1" ht="15.75" x14ac:dyDescent="0.25">
      <c r="A41" s="99"/>
      <c r="B41" s="26"/>
      <c r="C41" s="23" t="s">
        <v>8</v>
      </c>
      <c r="D41" s="24">
        <v>105</v>
      </c>
      <c r="E41" s="24">
        <v>105</v>
      </c>
      <c r="F41" s="24">
        <v>105</v>
      </c>
      <c r="G41" s="24">
        <v>105</v>
      </c>
      <c r="H41" s="24">
        <v>105</v>
      </c>
      <c r="I41" s="24">
        <v>105</v>
      </c>
      <c r="J41" s="48"/>
      <c r="K41" s="24">
        <v>105</v>
      </c>
      <c r="L41" s="24">
        <v>105</v>
      </c>
      <c r="M41" s="24">
        <v>105</v>
      </c>
      <c r="N41" s="24">
        <v>105</v>
      </c>
      <c r="O41" s="24">
        <v>105</v>
      </c>
      <c r="P41" s="24">
        <v>105</v>
      </c>
      <c r="Q41" s="48"/>
      <c r="R41" s="24">
        <v>105</v>
      </c>
      <c r="S41" s="24">
        <v>105</v>
      </c>
      <c r="T41" s="24">
        <v>105</v>
      </c>
      <c r="U41" s="24">
        <v>105</v>
      </c>
      <c r="V41" s="24">
        <v>105</v>
      </c>
      <c r="W41" s="24">
        <v>105</v>
      </c>
      <c r="X41" s="48"/>
      <c r="Y41" s="24">
        <v>105</v>
      </c>
      <c r="Z41" s="24">
        <v>105</v>
      </c>
      <c r="AA41" s="24">
        <v>105</v>
      </c>
      <c r="AB41" s="24">
        <v>105</v>
      </c>
      <c r="AC41" s="24">
        <v>105</v>
      </c>
      <c r="AD41" s="24">
        <v>105</v>
      </c>
      <c r="AE41" s="48"/>
      <c r="AF41" s="24">
        <v>105</v>
      </c>
      <c r="AG41" s="24">
        <v>105</v>
      </c>
      <c r="AH41" s="24">
        <v>105</v>
      </c>
      <c r="AI41" s="24">
        <v>105</v>
      </c>
      <c r="AJ41" s="24">
        <v>105</v>
      </c>
      <c r="AK41" s="24">
        <v>105</v>
      </c>
      <c r="AL41" s="48"/>
      <c r="AM41" s="24">
        <v>105</v>
      </c>
      <c r="AN41" s="24">
        <v>105</v>
      </c>
      <c r="AO41" s="24">
        <v>105</v>
      </c>
      <c r="AP41" s="24">
        <v>105</v>
      </c>
      <c r="AQ41" s="24">
        <v>105</v>
      </c>
      <c r="AR41" s="24">
        <v>105</v>
      </c>
      <c r="AS41" s="48"/>
      <c r="AT41" s="24">
        <v>106</v>
      </c>
      <c r="AU41" s="24">
        <v>106</v>
      </c>
      <c r="AV41" s="24">
        <v>106</v>
      </c>
      <c r="AW41" s="24">
        <v>106</v>
      </c>
      <c r="AX41" s="24">
        <v>106</v>
      </c>
      <c r="AY41" s="24"/>
      <c r="AZ41" s="48"/>
      <c r="BA41" s="24"/>
      <c r="BB41" s="24"/>
      <c r="BC41" s="24"/>
      <c r="BD41" s="24"/>
      <c r="BE41" s="24"/>
      <c r="BF41" s="24"/>
      <c r="BG41" s="48"/>
      <c r="BH41" s="24"/>
      <c r="BI41" s="24"/>
      <c r="BJ41" s="24"/>
    </row>
    <row r="42" spans="1:62" ht="31.5" customHeight="1" x14ac:dyDescent="0.25">
      <c r="A42" s="57" t="s">
        <v>42</v>
      </c>
      <c r="B42" s="61" t="s">
        <v>72</v>
      </c>
      <c r="C42" s="18" t="s">
        <v>9</v>
      </c>
      <c r="D42" s="19"/>
      <c r="E42" s="19"/>
      <c r="F42" s="19"/>
      <c r="G42" s="19"/>
      <c r="H42" s="19"/>
      <c r="I42" s="19"/>
      <c r="J42" s="46"/>
      <c r="K42" s="19"/>
      <c r="L42" s="19"/>
      <c r="M42" s="19"/>
      <c r="N42" s="19"/>
      <c r="O42" s="19"/>
      <c r="P42" s="19"/>
      <c r="Q42" s="46"/>
      <c r="R42" s="19"/>
      <c r="S42" s="19"/>
      <c r="T42" s="19"/>
      <c r="U42" s="19"/>
      <c r="V42" s="19"/>
      <c r="W42" s="19"/>
      <c r="X42" s="46"/>
      <c r="Y42" s="19"/>
      <c r="Z42" s="19"/>
      <c r="AA42" s="19"/>
      <c r="AB42" s="19"/>
      <c r="AC42" s="19"/>
      <c r="AD42" s="19"/>
      <c r="AE42" s="46"/>
      <c r="AF42" s="19"/>
      <c r="AG42" s="19"/>
      <c r="AH42" s="19"/>
      <c r="AI42" s="19"/>
      <c r="AJ42" s="19"/>
      <c r="AK42" s="19"/>
      <c r="AL42" s="46"/>
      <c r="AM42" s="19"/>
      <c r="AN42" s="19"/>
      <c r="AO42" s="19"/>
      <c r="AP42" s="19"/>
      <c r="AQ42" s="19"/>
      <c r="AR42" s="19"/>
      <c r="AS42" s="46"/>
      <c r="AT42" s="19"/>
      <c r="AU42" s="19"/>
      <c r="AV42" s="19"/>
      <c r="AW42" s="19"/>
      <c r="AX42" s="19"/>
      <c r="AY42" s="19"/>
      <c r="AZ42" s="46"/>
      <c r="BA42" s="19"/>
      <c r="BB42" s="19"/>
      <c r="BC42" s="19"/>
      <c r="BD42" s="19"/>
      <c r="BE42" s="19"/>
      <c r="BF42" s="19"/>
      <c r="BG42" s="46"/>
      <c r="BH42" s="19"/>
      <c r="BI42" s="19"/>
      <c r="BJ42" s="19"/>
    </row>
    <row r="43" spans="1:62" s="14" customFormat="1" ht="15.75" x14ac:dyDescent="0.25">
      <c r="A43" s="98"/>
      <c r="B43" s="96"/>
      <c r="C43" s="23" t="s">
        <v>2</v>
      </c>
      <c r="D43" s="25">
        <f t="shared" ref="D43:I43" si="191">600*D44/58.13*0.95</f>
        <v>823.67108205745728</v>
      </c>
      <c r="E43" s="25">
        <f t="shared" si="191"/>
        <v>823.67108205745728</v>
      </c>
      <c r="F43" s="25">
        <f t="shared" si="191"/>
        <v>823.67108205745728</v>
      </c>
      <c r="G43" s="25">
        <f t="shared" si="191"/>
        <v>823.67108205745728</v>
      </c>
      <c r="H43" s="25">
        <f t="shared" si="191"/>
        <v>823.67108205745728</v>
      </c>
      <c r="I43" s="25">
        <f t="shared" si="191"/>
        <v>823.67108205745728</v>
      </c>
      <c r="J43" s="47"/>
      <c r="K43" s="25">
        <f t="shared" ref="K43:P43" si="192">600*K44/58.13*0.95</f>
        <v>823.67108205745728</v>
      </c>
      <c r="L43" s="25">
        <f t="shared" si="192"/>
        <v>823.67108205745728</v>
      </c>
      <c r="M43" s="25">
        <f t="shared" si="192"/>
        <v>823.67108205745728</v>
      </c>
      <c r="N43" s="25">
        <f t="shared" si="192"/>
        <v>823.67108205745728</v>
      </c>
      <c r="O43" s="25">
        <f t="shared" si="192"/>
        <v>823.67108205745728</v>
      </c>
      <c r="P43" s="25">
        <f t="shared" si="192"/>
        <v>823.67108205745728</v>
      </c>
      <c r="Q43" s="47"/>
      <c r="R43" s="25">
        <f t="shared" ref="R43:AK43" si="193">600*R44/58.13*0.95</f>
        <v>1637.5365559951831</v>
      </c>
      <c r="S43" s="25">
        <f t="shared" si="193"/>
        <v>1637.5365559951831</v>
      </c>
      <c r="T43" s="25">
        <f t="shared" si="193"/>
        <v>1637.5365559951831</v>
      </c>
      <c r="U43" s="25">
        <f t="shared" si="193"/>
        <v>1637.5365559951831</v>
      </c>
      <c r="V43" s="25">
        <f t="shared" si="193"/>
        <v>1637.5365559951831</v>
      </c>
      <c r="W43" s="25">
        <f t="shared" si="193"/>
        <v>1637.5365559951831</v>
      </c>
      <c r="X43" s="47"/>
      <c r="Y43" s="25">
        <f t="shared" si="193"/>
        <v>1637.5365559951831</v>
      </c>
      <c r="Z43" s="25">
        <f t="shared" si="193"/>
        <v>1637.5365559951831</v>
      </c>
      <c r="AA43" s="25">
        <f t="shared" si="193"/>
        <v>1637.5365559951831</v>
      </c>
      <c r="AB43" s="25">
        <f t="shared" si="193"/>
        <v>1637.5365559951831</v>
      </c>
      <c r="AC43" s="25">
        <f t="shared" si="193"/>
        <v>1637.5365559951831</v>
      </c>
      <c r="AD43" s="25">
        <f t="shared" si="193"/>
        <v>1637.5365559951831</v>
      </c>
      <c r="AE43" s="47"/>
      <c r="AF43" s="25">
        <f t="shared" si="193"/>
        <v>1637.5365559951831</v>
      </c>
      <c r="AG43" s="25">
        <f t="shared" si="193"/>
        <v>1637.5365559951831</v>
      </c>
      <c r="AH43" s="25">
        <f t="shared" si="193"/>
        <v>1637.5365559951831</v>
      </c>
      <c r="AI43" s="25">
        <f t="shared" si="193"/>
        <v>1637.5365559951831</v>
      </c>
      <c r="AJ43" s="25">
        <f t="shared" si="193"/>
        <v>1637.5365559951831</v>
      </c>
      <c r="AK43" s="25">
        <f t="shared" si="193"/>
        <v>1637.5365559951831</v>
      </c>
      <c r="AL43" s="47"/>
      <c r="AM43" s="25">
        <f t="shared" ref="AM43:AR43" si="194">600*AM44/58.13*0.95</f>
        <v>1637.5365559951831</v>
      </c>
      <c r="AN43" s="25">
        <f t="shared" si="194"/>
        <v>1637.5365559951831</v>
      </c>
      <c r="AO43" s="25">
        <f t="shared" si="194"/>
        <v>1637.5365559951831</v>
      </c>
      <c r="AP43" s="25">
        <f t="shared" si="194"/>
        <v>1637.5365559951831</v>
      </c>
      <c r="AQ43" s="25">
        <f t="shared" si="194"/>
        <v>1637.5365559951831</v>
      </c>
      <c r="AR43" s="25">
        <f t="shared" si="194"/>
        <v>1637.5365559951831</v>
      </c>
      <c r="AS43" s="47"/>
      <c r="AT43" s="25">
        <f t="shared" ref="AT43:AY43" si="195">600*AT44/58.13*0.95</f>
        <v>1637.5365559951831</v>
      </c>
      <c r="AU43" s="25">
        <f t="shared" si="195"/>
        <v>1637.5365559951831</v>
      </c>
      <c r="AV43" s="25">
        <f t="shared" si="195"/>
        <v>1637.5365559951831</v>
      </c>
      <c r="AW43" s="25">
        <f t="shared" si="195"/>
        <v>1637.5365559951831</v>
      </c>
      <c r="AX43" s="25">
        <f t="shared" si="195"/>
        <v>1637.5365559951831</v>
      </c>
      <c r="AY43" s="25">
        <f t="shared" si="195"/>
        <v>1637.5365559951831</v>
      </c>
      <c r="AZ43" s="47"/>
      <c r="BA43" s="25"/>
      <c r="BB43" s="25"/>
      <c r="BC43" s="25"/>
      <c r="BD43" s="25"/>
      <c r="BE43" s="25"/>
      <c r="BF43" s="25"/>
      <c r="BG43" s="47"/>
      <c r="BH43" s="25"/>
      <c r="BI43" s="25"/>
      <c r="BJ43" s="25"/>
    </row>
    <row r="44" spans="1:62" s="14" customFormat="1" ht="15.75" x14ac:dyDescent="0.25">
      <c r="A44" s="99"/>
      <c r="B44" s="97"/>
      <c r="C44" s="23" t="s">
        <v>8</v>
      </c>
      <c r="D44" s="24">
        <v>84</v>
      </c>
      <c r="E44" s="24">
        <v>84</v>
      </c>
      <c r="F44" s="24">
        <v>84</v>
      </c>
      <c r="G44" s="24">
        <v>84</v>
      </c>
      <c r="H44" s="24">
        <v>84</v>
      </c>
      <c r="I44" s="24">
        <v>84</v>
      </c>
      <c r="J44" s="48"/>
      <c r="K44" s="24">
        <v>84</v>
      </c>
      <c r="L44" s="24">
        <v>84</v>
      </c>
      <c r="M44" s="24">
        <v>84</v>
      </c>
      <c r="N44" s="24">
        <v>84</v>
      </c>
      <c r="O44" s="24">
        <v>84</v>
      </c>
      <c r="P44" s="24">
        <v>84</v>
      </c>
      <c r="Q44" s="48"/>
      <c r="R44" s="24">
        <f t="shared" ref="R44:AY44" si="196">82+85</f>
        <v>167</v>
      </c>
      <c r="S44" s="24">
        <f t="shared" si="196"/>
        <v>167</v>
      </c>
      <c r="T44" s="24">
        <f t="shared" si="196"/>
        <v>167</v>
      </c>
      <c r="U44" s="24">
        <f t="shared" si="196"/>
        <v>167</v>
      </c>
      <c r="V44" s="24">
        <f t="shared" si="196"/>
        <v>167</v>
      </c>
      <c r="W44" s="24">
        <f t="shared" si="196"/>
        <v>167</v>
      </c>
      <c r="X44" s="48"/>
      <c r="Y44" s="24">
        <f t="shared" si="196"/>
        <v>167</v>
      </c>
      <c r="Z44" s="24">
        <f t="shared" si="196"/>
        <v>167</v>
      </c>
      <c r="AA44" s="24">
        <f t="shared" si="196"/>
        <v>167</v>
      </c>
      <c r="AB44" s="24">
        <f t="shared" si="196"/>
        <v>167</v>
      </c>
      <c r="AC44" s="24">
        <f t="shared" si="196"/>
        <v>167</v>
      </c>
      <c r="AD44" s="24">
        <f t="shared" si="196"/>
        <v>167</v>
      </c>
      <c r="AE44" s="48"/>
      <c r="AF44" s="24">
        <f t="shared" si="196"/>
        <v>167</v>
      </c>
      <c r="AG44" s="24">
        <f t="shared" si="196"/>
        <v>167</v>
      </c>
      <c r="AH44" s="24">
        <f t="shared" si="196"/>
        <v>167</v>
      </c>
      <c r="AI44" s="24">
        <f t="shared" si="196"/>
        <v>167</v>
      </c>
      <c r="AJ44" s="24">
        <f t="shared" si="196"/>
        <v>167</v>
      </c>
      <c r="AK44" s="24">
        <f t="shared" si="196"/>
        <v>167</v>
      </c>
      <c r="AL44" s="48"/>
      <c r="AM44" s="24">
        <f t="shared" si="196"/>
        <v>167</v>
      </c>
      <c r="AN44" s="24">
        <f t="shared" si="196"/>
        <v>167</v>
      </c>
      <c r="AO44" s="24">
        <f t="shared" si="196"/>
        <v>167</v>
      </c>
      <c r="AP44" s="24">
        <f t="shared" si="196"/>
        <v>167</v>
      </c>
      <c r="AQ44" s="24">
        <f t="shared" si="196"/>
        <v>167</v>
      </c>
      <c r="AR44" s="24">
        <f t="shared" si="196"/>
        <v>167</v>
      </c>
      <c r="AS44" s="48"/>
      <c r="AT44" s="24">
        <f t="shared" si="196"/>
        <v>167</v>
      </c>
      <c r="AU44" s="24">
        <f t="shared" si="196"/>
        <v>167</v>
      </c>
      <c r="AV44" s="24">
        <f t="shared" si="196"/>
        <v>167</v>
      </c>
      <c r="AW44" s="24">
        <f t="shared" si="196"/>
        <v>167</v>
      </c>
      <c r="AX44" s="24">
        <f t="shared" si="196"/>
        <v>167</v>
      </c>
      <c r="AY44" s="24">
        <f t="shared" si="196"/>
        <v>167</v>
      </c>
      <c r="AZ44" s="48"/>
      <c r="BA44" s="24"/>
      <c r="BB44" s="24"/>
      <c r="BC44" s="24"/>
      <c r="BD44" s="24"/>
      <c r="BE44" s="24"/>
      <c r="BF44" s="24"/>
      <c r="BG44" s="48"/>
      <c r="BH44" s="24"/>
      <c r="BI44" s="24"/>
      <c r="BJ44" s="24"/>
    </row>
    <row r="45" spans="1:62" ht="31.5" customHeight="1" x14ac:dyDescent="0.25">
      <c r="A45" s="57" t="s">
        <v>43</v>
      </c>
      <c r="B45" s="61" t="s">
        <v>68</v>
      </c>
      <c r="C45" s="18" t="s">
        <v>9</v>
      </c>
      <c r="D45" s="19"/>
      <c r="E45" s="19"/>
      <c r="F45" s="19"/>
      <c r="G45" s="19"/>
      <c r="H45" s="19"/>
      <c r="I45" s="19"/>
      <c r="J45" s="46"/>
      <c r="K45" s="19"/>
      <c r="L45" s="19"/>
      <c r="M45" s="19"/>
      <c r="N45" s="19"/>
      <c r="O45" s="19"/>
      <c r="P45" s="19"/>
      <c r="Q45" s="46"/>
      <c r="R45" s="19"/>
      <c r="S45" s="19"/>
      <c r="T45" s="19"/>
      <c r="U45" s="19"/>
      <c r="V45" s="19"/>
      <c r="W45" s="19"/>
      <c r="X45" s="46"/>
      <c r="Y45" s="19"/>
      <c r="Z45" s="19"/>
      <c r="AA45" s="19"/>
      <c r="AB45" s="19"/>
      <c r="AC45" s="19"/>
      <c r="AD45" s="19"/>
      <c r="AE45" s="46"/>
      <c r="AF45" s="19"/>
      <c r="AG45" s="19"/>
      <c r="AH45" s="19"/>
      <c r="AI45" s="19"/>
      <c r="AJ45" s="19"/>
      <c r="AK45" s="19"/>
      <c r="AL45" s="46"/>
      <c r="AM45" s="19"/>
      <c r="AN45" s="19"/>
      <c r="AO45" s="19"/>
      <c r="AP45" s="19"/>
      <c r="AQ45" s="19"/>
      <c r="AR45" s="19"/>
      <c r="AS45" s="46"/>
      <c r="AT45" s="19"/>
      <c r="AU45" s="19"/>
      <c r="AV45" s="19"/>
      <c r="AW45" s="19"/>
      <c r="AX45" s="19"/>
      <c r="AY45" s="19"/>
      <c r="AZ45" s="46"/>
      <c r="BA45" s="19"/>
      <c r="BB45" s="19"/>
      <c r="BC45" s="19"/>
      <c r="BD45" s="19"/>
      <c r="BE45" s="19"/>
      <c r="BF45" s="19"/>
      <c r="BG45" s="46"/>
      <c r="BH45" s="19"/>
      <c r="BI45" s="19"/>
      <c r="BJ45" s="19"/>
    </row>
    <row r="46" spans="1:62" s="14" customFormat="1" ht="15.75" x14ac:dyDescent="0.25">
      <c r="A46" s="98"/>
      <c r="B46" s="100"/>
      <c r="C46" s="23" t="s">
        <v>2</v>
      </c>
      <c r="D46" s="25">
        <f t="shared" ref="D46:E46" si="197">600*D47/34.41*0.87</f>
        <v>986.05056669572809</v>
      </c>
      <c r="E46" s="25">
        <f t="shared" si="197"/>
        <v>986.05056669572809</v>
      </c>
      <c r="F46" s="25">
        <f>600*F47/34.41</f>
        <v>1569.3112467306016</v>
      </c>
      <c r="G46" s="25">
        <f t="shared" ref="G46:I46" si="198">600*G47/34.41</f>
        <v>1569.3112467306016</v>
      </c>
      <c r="H46" s="25">
        <f t="shared" si="198"/>
        <v>1569.3112467306016</v>
      </c>
      <c r="I46" s="25">
        <f t="shared" si="198"/>
        <v>1569.3112467306016</v>
      </c>
      <c r="J46" s="47"/>
      <c r="K46" s="25">
        <f t="shared" ref="K46:P46" si="199">600*K47/34.41</f>
        <v>1569.3112467306016</v>
      </c>
      <c r="L46" s="25">
        <f t="shared" si="199"/>
        <v>1569.3112467306016</v>
      </c>
      <c r="M46" s="25">
        <f t="shared" si="199"/>
        <v>1569.3112467306016</v>
      </c>
      <c r="N46" s="25">
        <f t="shared" si="199"/>
        <v>1569.3112467306016</v>
      </c>
      <c r="O46" s="25">
        <f t="shared" si="199"/>
        <v>1569.3112467306016</v>
      </c>
      <c r="P46" s="25">
        <f t="shared" si="199"/>
        <v>1569.3112467306016</v>
      </c>
      <c r="Q46" s="47"/>
      <c r="R46" s="25">
        <f t="shared" ref="R46:W46" si="200">600*R47/34.41</f>
        <v>1569.3112467306016</v>
      </c>
      <c r="S46" s="25">
        <f t="shared" si="200"/>
        <v>1569.3112467306016</v>
      </c>
      <c r="T46" s="25">
        <f t="shared" si="200"/>
        <v>1569.3112467306016</v>
      </c>
      <c r="U46" s="25">
        <f t="shared" si="200"/>
        <v>1569.3112467306016</v>
      </c>
      <c r="V46" s="25">
        <f t="shared" si="200"/>
        <v>1569.3112467306016</v>
      </c>
      <c r="W46" s="25">
        <f t="shared" si="200"/>
        <v>1569.3112467306016</v>
      </c>
      <c r="X46" s="47"/>
      <c r="Y46" s="25">
        <f t="shared" ref="Y46:AD46" si="201">600*Y47/34.41</f>
        <v>1569.3112467306016</v>
      </c>
      <c r="Z46" s="25">
        <f t="shared" si="201"/>
        <v>1569.3112467306016</v>
      </c>
      <c r="AA46" s="25">
        <f t="shared" si="201"/>
        <v>1569.3112467306016</v>
      </c>
      <c r="AB46" s="25">
        <f t="shared" si="201"/>
        <v>1569.3112467306016</v>
      </c>
      <c r="AC46" s="25">
        <f t="shared" si="201"/>
        <v>1569.3112467306016</v>
      </c>
      <c r="AD46" s="25">
        <f t="shared" si="201"/>
        <v>1569.3112467306016</v>
      </c>
      <c r="AE46" s="47"/>
      <c r="AF46" s="25"/>
      <c r="AG46" s="25"/>
      <c r="AH46" s="25"/>
      <c r="AI46" s="25"/>
      <c r="AJ46" s="25"/>
      <c r="AK46" s="25"/>
      <c r="AL46" s="47"/>
      <c r="AM46" s="25"/>
      <c r="AN46" s="25"/>
      <c r="AO46" s="25"/>
      <c r="AP46" s="25"/>
      <c r="AQ46" s="25"/>
      <c r="AR46" s="25"/>
      <c r="AS46" s="47"/>
      <c r="AT46" s="25"/>
      <c r="AU46" s="25"/>
      <c r="AV46" s="25"/>
      <c r="AW46" s="25"/>
      <c r="AX46" s="25"/>
      <c r="AY46" s="25"/>
      <c r="AZ46" s="47"/>
      <c r="BA46" s="25"/>
      <c r="BB46" s="25"/>
      <c r="BC46" s="25"/>
      <c r="BD46" s="25"/>
      <c r="BE46" s="25"/>
      <c r="BF46" s="25"/>
      <c r="BG46" s="47"/>
      <c r="BH46" s="25"/>
      <c r="BI46" s="25"/>
      <c r="BJ46" s="25"/>
    </row>
    <row r="47" spans="1:62" s="14" customFormat="1" ht="15.75" x14ac:dyDescent="0.25">
      <c r="A47" s="99"/>
      <c r="B47" s="101"/>
      <c r="C47" s="23" t="s">
        <v>8</v>
      </c>
      <c r="D47" s="24">
        <v>65</v>
      </c>
      <c r="E47" s="24">
        <v>65</v>
      </c>
      <c r="F47" s="24">
        <v>90</v>
      </c>
      <c r="G47" s="24">
        <v>90</v>
      </c>
      <c r="H47" s="24">
        <v>90</v>
      </c>
      <c r="I47" s="24">
        <v>90</v>
      </c>
      <c r="J47" s="48"/>
      <c r="K47" s="24">
        <v>90</v>
      </c>
      <c r="L47" s="24">
        <v>90</v>
      </c>
      <c r="M47" s="24">
        <v>90</v>
      </c>
      <c r="N47" s="24">
        <v>90</v>
      </c>
      <c r="O47" s="24">
        <v>90</v>
      </c>
      <c r="P47" s="24">
        <v>90</v>
      </c>
      <c r="Q47" s="48"/>
      <c r="R47" s="24">
        <v>90</v>
      </c>
      <c r="S47" s="24">
        <v>90</v>
      </c>
      <c r="T47" s="24">
        <v>90</v>
      </c>
      <c r="U47" s="24">
        <v>90</v>
      </c>
      <c r="V47" s="24">
        <v>90</v>
      </c>
      <c r="W47" s="24">
        <v>90</v>
      </c>
      <c r="X47" s="48"/>
      <c r="Y47" s="24">
        <v>90</v>
      </c>
      <c r="Z47" s="24">
        <v>90</v>
      </c>
      <c r="AA47" s="24">
        <v>90</v>
      </c>
      <c r="AB47" s="24">
        <v>90</v>
      </c>
      <c r="AC47" s="24">
        <v>90</v>
      </c>
      <c r="AD47" s="24">
        <v>90</v>
      </c>
      <c r="AE47" s="48"/>
      <c r="AF47" s="24"/>
      <c r="AG47" s="24"/>
      <c r="AH47" s="24"/>
      <c r="AI47" s="24"/>
      <c r="AJ47" s="24"/>
      <c r="AK47" s="24"/>
      <c r="AL47" s="48"/>
      <c r="AM47" s="24"/>
      <c r="AN47" s="24"/>
      <c r="AO47" s="24"/>
      <c r="AP47" s="24"/>
      <c r="AQ47" s="24"/>
      <c r="AR47" s="24"/>
      <c r="AS47" s="48"/>
      <c r="AT47" s="24"/>
      <c r="AU47" s="24"/>
      <c r="AV47" s="24"/>
      <c r="AW47" s="24"/>
      <c r="AX47" s="24"/>
      <c r="AY47" s="24"/>
      <c r="AZ47" s="48"/>
      <c r="BA47" s="24"/>
      <c r="BB47" s="24"/>
      <c r="BC47" s="24"/>
      <c r="BD47" s="24"/>
      <c r="BE47" s="24"/>
      <c r="BF47" s="24"/>
      <c r="BG47" s="48"/>
      <c r="BH47" s="24"/>
      <c r="BI47" s="24"/>
      <c r="BJ47" s="24"/>
    </row>
    <row r="48" spans="1:62" ht="31.5" hidden="1" customHeight="1" x14ac:dyDescent="0.25">
      <c r="A48" s="57" t="s">
        <v>61</v>
      </c>
      <c r="B48" s="61" t="s">
        <v>47</v>
      </c>
      <c r="C48" s="18" t="s">
        <v>9</v>
      </c>
      <c r="D48" s="19"/>
      <c r="E48" s="19"/>
      <c r="F48" s="19"/>
      <c r="G48" s="19"/>
      <c r="H48" s="19"/>
      <c r="I48" s="19"/>
      <c r="J48" s="46"/>
      <c r="K48" s="19"/>
      <c r="L48" s="19"/>
      <c r="M48" s="19"/>
      <c r="N48" s="19"/>
      <c r="O48" s="19"/>
      <c r="P48" s="19"/>
      <c r="Q48" s="46"/>
      <c r="R48" s="19"/>
      <c r="S48" s="19"/>
      <c r="T48" s="19"/>
      <c r="U48" s="19"/>
      <c r="V48" s="19"/>
      <c r="W48" s="19"/>
      <c r="X48" s="46"/>
      <c r="Y48" s="19"/>
      <c r="Z48" s="19"/>
      <c r="AA48" s="19"/>
      <c r="AB48" s="19"/>
      <c r="AC48" s="19"/>
      <c r="AD48" s="19"/>
      <c r="AE48" s="46"/>
      <c r="AF48" s="19"/>
      <c r="AG48" s="19"/>
      <c r="AH48" s="19"/>
      <c r="AI48" s="19"/>
      <c r="AJ48" s="19"/>
      <c r="AK48" s="19"/>
      <c r="AL48" s="46"/>
      <c r="AM48" s="19"/>
      <c r="AN48" s="19"/>
      <c r="AO48" s="19"/>
      <c r="AP48" s="19"/>
      <c r="AQ48" s="19"/>
      <c r="AR48" s="19"/>
      <c r="AS48" s="46"/>
      <c r="AT48" s="19"/>
      <c r="AU48" s="19"/>
      <c r="AV48" s="19"/>
      <c r="AW48" s="19"/>
      <c r="AX48" s="19"/>
      <c r="AY48" s="19"/>
      <c r="AZ48" s="46"/>
      <c r="BA48" s="19"/>
      <c r="BB48" s="19"/>
      <c r="BC48" s="19"/>
      <c r="BD48" s="19"/>
      <c r="BE48" s="19"/>
      <c r="BF48" s="19"/>
      <c r="BG48" s="46"/>
      <c r="BH48" s="19"/>
      <c r="BI48" s="19"/>
      <c r="BJ48" s="19"/>
    </row>
    <row r="49" spans="1:62" s="14" customFormat="1" ht="15.75" hidden="1" x14ac:dyDescent="0.25">
      <c r="A49" s="98"/>
      <c r="B49" s="100"/>
      <c r="C49" s="23" t="s">
        <v>2</v>
      </c>
      <c r="D49" s="25"/>
      <c r="E49" s="25"/>
      <c r="F49" s="25"/>
      <c r="G49" s="25"/>
      <c r="H49" s="25"/>
      <c r="I49" s="25"/>
      <c r="J49" s="47"/>
      <c r="K49" s="25"/>
      <c r="L49" s="25"/>
      <c r="M49" s="25"/>
      <c r="N49" s="25"/>
      <c r="O49" s="25"/>
      <c r="P49" s="25"/>
      <c r="Q49" s="47"/>
      <c r="R49" s="25"/>
      <c r="S49" s="25"/>
      <c r="T49" s="25"/>
      <c r="U49" s="25"/>
      <c r="V49" s="25"/>
      <c r="W49" s="25"/>
      <c r="X49" s="47"/>
      <c r="Y49" s="25"/>
      <c r="Z49" s="25"/>
      <c r="AA49" s="25"/>
      <c r="AB49" s="25"/>
      <c r="AC49" s="25"/>
      <c r="AD49" s="25"/>
      <c r="AE49" s="47"/>
      <c r="AF49" s="25"/>
      <c r="AG49" s="25"/>
      <c r="AH49" s="25"/>
      <c r="AI49" s="25"/>
      <c r="AJ49" s="25"/>
      <c r="AK49" s="25"/>
      <c r="AL49" s="47"/>
      <c r="AM49" s="25"/>
      <c r="AN49" s="25"/>
      <c r="AO49" s="25"/>
      <c r="AP49" s="25"/>
      <c r="AQ49" s="25"/>
      <c r="AR49" s="25"/>
      <c r="AS49" s="47"/>
      <c r="AT49" s="25"/>
      <c r="AU49" s="25"/>
      <c r="AV49" s="25"/>
      <c r="AW49" s="25"/>
      <c r="AX49" s="25"/>
      <c r="AY49" s="25"/>
      <c r="AZ49" s="47"/>
      <c r="BA49" s="25"/>
      <c r="BB49" s="25"/>
      <c r="BC49" s="25"/>
      <c r="BD49" s="25"/>
      <c r="BE49" s="25"/>
      <c r="BF49" s="25"/>
      <c r="BG49" s="47"/>
      <c r="BH49" s="25"/>
      <c r="BI49" s="25"/>
      <c r="BJ49" s="25"/>
    </row>
    <row r="50" spans="1:62" s="14" customFormat="1" ht="15.75" hidden="1" x14ac:dyDescent="0.25">
      <c r="A50" s="99"/>
      <c r="B50" s="101"/>
      <c r="C50" s="23" t="s">
        <v>8</v>
      </c>
      <c r="D50" s="24"/>
      <c r="E50" s="24"/>
      <c r="F50" s="24"/>
      <c r="G50" s="24"/>
      <c r="H50" s="24"/>
      <c r="I50" s="24"/>
      <c r="J50" s="48"/>
      <c r="K50" s="24"/>
      <c r="L50" s="24"/>
      <c r="M50" s="24"/>
      <c r="N50" s="24"/>
      <c r="O50" s="24"/>
      <c r="P50" s="24"/>
      <c r="Q50" s="48"/>
      <c r="R50" s="24"/>
      <c r="S50" s="24"/>
      <c r="T50" s="24"/>
      <c r="U50" s="24"/>
      <c r="V50" s="24"/>
      <c r="W50" s="24"/>
      <c r="X50" s="48"/>
      <c r="Y50" s="24"/>
      <c r="Z50" s="24"/>
      <c r="AA50" s="24"/>
      <c r="AB50" s="24"/>
      <c r="AC50" s="24"/>
      <c r="AD50" s="24"/>
      <c r="AE50" s="48"/>
      <c r="AF50" s="24"/>
      <c r="AG50" s="24"/>
      <c r="AH50" s="24"/>
      <c r="AI50" s="24"/>
      <c r="AJ50" s="24"/>
      <c r="AK50" s="24"/>
      <c r="AL50" s="48"/>
      <c r="AM50" s="24"/>
      <c r="AN50" s="24"/>
      <c r="AO50" s="24"/>
      <c r="AP50" s="24"/>
      <c r="AQ50" s="24"/>
      <c r="AR50" s="24"/>
      <c r="AS50" s="48"/>
      <c r="AT50" s="24"/>
      <c r="AU50" s="24"/>
      <c r="AV50" s="24"/>
      <c r="AW50" s="24"/>
      <c r="AX50" s="24"/>
      <c r="AY50" s="24"/>
      <c r="AZ50" s="48"/>
      <c r="BA50" s="24"/>
      <c r="BB50" s="24"/>
      <c r="BC50" s="24"/>
      <c r="BD50" s="24"/>
      <c r="BE50" s="24"/>
      <c r="BF50" s="24"/>
      <c r="BG50" s="48"/>
      <c r="BH50" s="24"/>
      <c r="BI50" s="24"/>
      <c r="BJ50" s="24"/>
    </row>
    <row r="51" spans="1:62" ht="31.5" customHeight="1" x14ac:dyDescent="0.25">
      <c r="A51" s="57" t="s">
        <v>44</v>
      </c>
      <c r="B51" s="80" t="s">
        <v>14</v>
      </c>
      <c r="C51" s="18" t="s">
        <v>9</v>
      </c>
      <c r="D51" s="19"/>
      <c r="E51" s="19"/>
      <c r="F51" s="19"/>
      <c r="G51" s="19"/>
      <c r="H51" s="19"/>
      <c r="I51" s="19"/>
      <c r="J51" s="46"/>
      <c r="K51" s="19"/>
      <c r="L51" s="19"/>
      <c r="M51" s="19"/>
      <c r="N51" s="19"/>
      <c r="O51" s="59" t="s">
        <v>35</v>
      </c>
      <c r="P51" s="19"/>
      <c r="Q51" s="46"/>
      <c r="R51" s="19"/>
      <c r="S51" s="19"/>
      <c r="T51" s="19"/>
      <c r="U51" s="56" t="s">
        <v>14</v>
      </c>
      <c r="V51" s="19"/>
      <c r="W51" s="19"/>
      <c r="X51" s="46"/>
      <c r="Y51" s="19"/>
      <c r="Z51" s="19"/>
      <c r="AA51" s="19"/>
      <c r="AB51" s="56" t="s">
        <v>143</v>
      </c>
      <c r="AD51" s="91" t="s">
        <v>182</v>
      </c>
      <c r="AE51" s="46"/>
      <c r="AH51" s="19"/>
      <c r="AI51" s="19"/>
      <c r="AJ51" s="19"/>
      <c r="AK51" s="19"/>
      <c r="AL51" s="46"/>
      <c r="AM51" s="19"/>
      <c r="AN51" s="19"/>
      <c r="AO51" s="19"/>
      <c r="AP51" s="19"/>
      <c r="AQ51" s="19" t="s">
        <v>183</v>
      </c>
      <c r="AR51" s="19"/>
      <c r="AS51" s="46"/>
      <c r="AT51" s="19"/>
      <c r="AU51" s="76"/>
      <c r="AV51" s="19"/>
      <c r="AW51" s="19"/>
      <c r="AX51" s="19"/>
      <c r="AY51" s="19"/>
      <c r="AZ51" s="46"/>
      <c r="BA51" s="56" t="s">
        <v>149</v>
      </c>
      <c r="BB51" s="19"/>
      <c r="BC51" s="19"/>
      <c r="BD51" s="19"/>
      <c r="BE51" s="19"/>
      <c r="BF51" s="19"/>
      <c r="BG51" s="46"/>
      <c r="BH51" s="19"/>
      <c r="BI51" s="19"/>
      <c r="BJ51" s="19"/>
    </row>
    <row r="52" spans="1:62" s="14" customFormat="1" ht="15.75" x14ac:dyDescent="0.25">
      <c r="A52" s="98"/>
      <c r="B52" s="96"/>
      <c r="C52" s="23" t="s">
        <v>2</v>
      </c>
      <c r="D52" s="25">
        <f t="shared" ref="D52" si="202">720*D53/33.33*0.87</f>
        <v>1033.6633663366335</v>
      </c>
      <c r="E52" s="25">
        <f t="shared" ref="E52" si="203">720*E53/33.33*0.87</f>
        <v>1033.6633663366335</v>
      </c>
      <c r="F52" s="25">
        <f t="shared" ref="F52" si="204">720*F53/33.33*0.87</f>
        <v>1033.6633663366335</v>
      </c>
      <c r="G52" s="25">
        <f t="shared" ref="G52" si="205">720*G53/33.33*0.87</f>
        <v>1033.6633663366335</v>
      </c>
      <c r="H52" s="25">
        <f t="shared" ref="H52" si="206">720*H53/33.33*0.87</f>
        <v>1033.6633663366335</v>
      </c>
      <c r="I52" s="25">
        <f t="shared" ref="I52" si="207">720*I53/33.33*0.87</f>
        <v>1033.6633663366335</v>
      </c>
      <c r="J52" s="47"/>
      <c r="K52" s="25">
        <f t="shared" ref="K52" si="208">720*K53/33.33*0.87</f>
        <v>1033.6633663366335</v>
      </c>
      <c r="L52" s="25">
        <f>600*L53/33.33*0.95</f>
        <v>940.59405940594058</v>
      </c>
      <c r="M52" s="25">
        <f>600*M53/33.33*0.95</f>
        <v>940.59405940594058</v>
      </c>
      <c r="N52" s="25">
        <f>600*N53/33.33*0.95</f>
        <v>940.59405940594058</v>
      </c>
      <c r="O52" s="25">
        <f t="shared" ref="O52:T52" si="209">600*O53/33.29*0.9</f>
        <v>892.15980775007506</v>
      </c>
      <c r="P52" s="25">
        <f t="shared" si="209"/>
        <v>892.15980775007506</v>
      </c>
      <c r="Q52" s="47"/>
      <c r="R52" s="25">
        <f t="shared" si="209"/>
        <v>892.15980775007506</v>
      </c>
      <c r="S52" s="25">
        <f t="shared" si="209"/>
        <v>892.15980775007506</v>
      </c>
      <c r="T52" s="25">
        <f t="shared" si="209"/>
        <v>892.15980775007506</v>
      </c>
      <c r="U52" s="25">
        <f>600*U53/33.33*0.95</f>
        <v>940.59405940594058</v>
      </c>
      <c r="V52" s="25">
        <f>600*V53/33.33*0.95</f>
        <v>940.59405940594058</v>
      </c>
      <c r="W52" s="25">
        <f>600*W53/33.33*0.95</f>
        <v>940.59405940594058</v>
      </c>
      <c r="X52" s="47"/>
      <c r="Y52" s="25">
        <f>600*Y53/33.33*0.95</f>
        <v>940.59405940594058</v>
      </c>
      <c r="Z52" s="85"/>
      <c r="AA52" s="85"/>
      <c r="AB52" s="25"/>
      <c r="AC52" s="25">
        <f>600*AC53/37.32*0.9</f>
        <v>795.81993569131828</v>
      </c>
      <c r="AD52" s="25">
        <f>600*AD53/37.32*0.9</f>
        <v>795.81993569131828</v>
      </c>
      <c r="AE52" s="47"/>
      <c r="AF52" s="25">
        <f>600*AF53/37.32*0.9</f>
        <v>795.81993569131828</v>
      </c>
      <c r="AG52" s="25">
        <f>600*AG53/37.32*0.9</f>
        <v>795.81993569131828</v>
      </c>
      <c r="AH52" s="25">
        <f t="shared" ref="AH52:AK52" si="210">600*AH53/37.32*0.9</f>
        <v>795.81993569131828</v>
      </c>
      <c r="AI52" s="25">
        <f t="shared" si="210"/>
        <v>795.81993569131828</v>
      </c>
      <c r="AJ52" s="25">
        <f t="shared" si="210"/>
        <v>795.81993569131828</v>
      </c>
      <c r="AK52" s="25">
        <f t="shared" si="210"/>
        <v>795.81993569131828</v>
      </c>
      <c r="AL52" s="47"/>
      <c r="AM52" s="25">
        <f t="shared" ref="AM52:AT52" si="211">600*AM53/37.32*0.9</f>
        <v>795.81993569131828</v>
      </c>
      <c r="AN52" s="25">
        <f t="shared" si="211"/>
        <v>795.81993569131828</v>
      </c>
      <c r="AO52" s="25">
        <f t="shared" si="211"/>
        <v>795.81993569131828</v>
      </c>
      <c r="AP52" s="25">
        <f t="shared" si="211"/>
        <v>795.81993569131828</v>
      </c>
      <c r="AQ52" s="25">
        <f t="shared" si="211"/>
        <v>795.81993569131828</v>
      </c>
      <c r="AR52" s="25">
        <f t="shared" si="211"/>
        <v>795.81993569131828</v>
      </c>
      <c r="AS52" s="47"/>
      <c r="AT52" s="25">
        <f t="shared" si="211"/>
        <v>795.81993569131828</v>
      </c>
      <c r="AU52" s="25"/>
      <c r="AV52" s="25">
        <f t="shared" ref="AV52:AX52" si="212">600*AV53/32.03*0.9</f>
        <v>893.5373087730253</v>
      </c>
      <c r="AW52" s="25">
        <f t="shared" si="212"/>
        <v>893.5373087730253</v>
      </c>
      <c r="AX52" s="25">
        <f t="shared" si="212"/>
        <v>893.5373087730253</v>
      </c>
      <c r="AY52" s="25"/>
      <c r="AZ52" s="47"/>
      <c r="BA52" s="25"/>
      <c r="BB52" s="25"/>
      <c r="BC52" s="25"/>
      <c r="BD52" s="25"/>
      <c r="BE52" s="25"/>
      <c r="BF52" s="25"/>
      <c r="BG52" s="47"/>
      <c r="BH52" s="25"/>
      <c r="BI52" s="25"/>
      <c r="BJ52" s="25"/>
    </row>
    <row r="53" spans="1:62" s="14" customFormat="1" ht="15.75" x14ac:dyDescent="0.25">
      <c r="A53" s="99"/>
      <c r="B53" s="97"/>
      <c r="C53" s="23" t="s">
        <v>8</v>
      </c>
      <c r="D53" s="24">
        <v>55</v>
      </c>
      <c r="E53" s="24">
        <v>55</v>
      </c>
      <c r="F53" s="24">
        <v>55</v>
      </c>
      <c r="G53" s="24">
        <v>55</v>
      </c>
      <c r="H53" s="24">
        <v>55</v>
      </c>
      <c r="I53" s="24">
        <v>55</v>
      </c>
      <c r="J53" s="48"/>
      <c r="K53" s="24">
        <v>55</v>
      </c>
      <c r="L53" s="24">
        <v>55</v>
      </c>
      <c r="M53" s="24">
        <v>55</v>
      </c>
      <c r="N53" s="24">
        <v>55</v>
      </c>
      <c r="O53" s="24">
        <v>55</v>
      </c>
      <c r="P53" s="24">
        <v>55</v>
      </c>
      <c r="Q53" s="48"/>
      <c r="R53" s="24">
        <v>55</v>
      </c>
      <c r="S53" s="24">
        <v>55</v>
      </c>
      <c r="T53" s="24">
        <v>55</v>
      </c>
      <c r="U53" s="24">
        <v>55</v>
      </c>
      <c r="V53" s="24">
        <v>55</v>
      </c>
      <c r="W53" s="24">
        <v>55</v>
      </c>
      <c r="X53" s="48"/>
      <c r="Y53" s="24">
        <v>55</v>
      </c>
      <c r="Z53" s="24">
        <v>55</v>
      </c>
      <c r="AA53" s="24">
        <v>55</v>
      </c>
      <c r="AB53" s="24">
        <v>55</v>
      </c>
      <c r="AC53" s="24">
        <v>55</v>
      </c>
      <c r="AD53" s="24">
        <v>55</v>
      </c>
      <c r="AE53" s="48"/>
      <c r="AF53" s="24">
        <v>55</v>
      </c>
      <c r="AG53" s="24">
        <v>55</v>
      </c>
      <c r="AH53" s="24">
        <v>55</v>
      </c>
      <c r="AI53" s="24">
        <v>55</v>
      </c>
      <c r="AJ53" s="24">
        <v>55</v>
      </c>
      <c r="AK53" s="24">
        <v>55</v>
      </c>
      <c r="AL53" s="48"/>
      <c r="AM53" s="24">
        <v>55</v>
      </c>
      <c r="AN53" s="24">
        <v>55</v>
      </c>
      <c r="AO53" s="24">
        <v>55</v>
      </c>
      <c r="AP53" s="24">
        <v>55</v>
      </c>
      <c r="AQ53" s="24">
        <v>55</v>
      </c>
      <c r="AR53" s="24">
        <v>55</v>
      </c>
      <c r="AS53" s="48"/>
      <c r="AT53" s="24">
        <v>55</v>
      </c>
      <c r="AU53" s="24">
        <v>53</v>
      </c>
      <c r="AV53" s="24">
        <v>53</v>
      </c>
      <c r="AW53" s="24">
        <v>53</v>
      </c>
      <c r="AX53" s="24">
        <v>53</v>
      </c>
      <c r="AY53" s="24">
        <v>53</v>
      </c>
      <c r="AZ53" s="48"/>
      <c r="BA53" s="24">
        <v>53</v>
      </c>
      <c r="BB53" s="24">
        <v>53</v>
      </c>
      <c r="BC53" s="24">
        <v>53</v>
      </c>
      <c r="BD53" s="24">
        <v>53</v>
      </c>
      <c r="BE53" s="24">
        <v>53</v>
      </c>
      <c r="BF53" s="24">
        <v>53</v>
      </c>
      <c r="BG53" s="48"/>
      <c r="BH53" s="24">
        <v>53</v>
      </c>
      <c r="BI53" s="24">
        <v>53</v>
      </c>
      <c r="BJ53" s="24">
        <v>53</v>
      </c>
    </row>
    <row r="54" spans="1:62" ht="31.5" customHeight="1" x14ac:dyDescent="0.25">
      <c r="A54" s="57" t="s">
        <v>126</v>
      </c>
      <c r="B54" s="61" t="s">
        <v>98</v>
      </c>
      <c r="C54" s="18" t="s">
        <v>9</v>
      </c>
      <c r="D54" s="61" t="s">
        <v>98</v>
      </c>
      <c r="F54" s="19"/>
      <c r="G54" s="19"/>
      <c r="H54" s="19"/>
      <c r="I54" s="19"/>
      <c r="J54" s="46"/>
      <c r="K54" s="19"/>
      <c r="L54" s="63" t="s">
        <v>82</v>
      </c>
      <c r="Q54" s="48"/>
      <c r="R54" s="19"/>
      <c r="S54" s="59" t="s">
        <v>187</v>
      </c>
      <c r="T54" s="19"/>
      <c r="U54" s="59" t="s">
        <v>81</v>
      </c>
      <c r="V54" s="19"/>
      <c r="W54" s="19"/>
      <c r="X54" s="46"/>
      <c r="Y54" s="19"/>
      <c r="Z54" s="19"/>
      <c r="AA54" s="19"/>
      <c r="AB54" s="19"/>
      <c r="AC54" s="19"/>
      <c r="AD54" s="19"/>
      <c r="AE54" s="46"/>
      <c r="AF54" s="19"/>
      <c r="AG54" s="19"/>
      <c r="AH54" s="19"/>
      <c r="AI54" s="19"/>
      <c r="AJ54" s="19"/>
      <c r="AK54" s="19"/>
      <c r="AL54" s="46"/>
      <c r="AM54" s="19"/>
      <c r="AN54" s="19"/>
      <c r="AO54" s="19"/>
      <c r="AP54" s="19"/>
      <c r="AQ54" s="19"/>
      <c r="AR54" s="19"/>
      <c r="AS54" s="46"/>
      <c r="AT54" s="19"/>
      <c r="AU54" s="19"/>
      <c r="AV54" s="19"/>
      <c r="AW54" s="19"/>
      <c r="AX54" s="19"/>
      <c r="AY54" s="19"/>
      <c r="AZ54" s="46"/>
      <c r="BA54" s="56" t="s">
        <v>140</v>
      </c>
      <c r="BB54" s="19"/>
      <c r="BC54" s="19"/>
      <c r="BD54" s="19"/>
      <c r="BE54" s="19"/>
      <c r="BF54" s="19"/>
      <c r="BG54" s="46"/>
      <c r="BH54" s="19"/>
      <c r="BI54" s="19"/>
      <c r="BJ54" s="19"/>
    </row>
    <row r="55" spans="1:62" s="14" customFormat="1" ht="15.75" x14ac:dyDescent="0.25">
      <c r="A55" s="98"/>
      <c r="B55" s="96"/>
      <c r="C55" s="23" t="s">
        <v>2</v>
      </c>
      <c r="D55" s="25">
        <v>0</v>
      </c>
      <c r="E55" s="25">
        <f>E56*600/27.69*0.75</f>
        <v>715.05958829902488</v>
      </c>
      <c r="F55" s="25">
        <f>F56*600/27.69*0.75</f>
        <v>715.05958829902488</v>
      </c>
      <c r="G55" s="25">
        <f>G56*600/27.69*0.75</f>
        <v>715.05958829902488</v>
      </c>
      <c r="H55" s="25">
        <f>H56*600/27.69*0.75</f>
        <v>715.05958829902488</v>
      </c>
      <c r="I55" s="25">
        <f>I56*600/27.69*0.75</f>
        <v>715.05958829902488</v>
      </c>
      <c r="J55" s="47"/>
      <c r="K55" s="25">
        <f>K56*600/27.69*0.75</f>
        <v>715.05958829902488</v>
      </c>
      <c r="L55" s="25">
        <v>0</v>
      </c>
      <c r="M55" s="25">
        <f>M56*600/12.22*0.87</f>
        <v>1879.5417348608837</v>
      </c>
      <c r="N55" s="25">
        <f>N56*600/12.22*0.87</f>
        <v>1879.5417348608837</v>
      </c>
      <c r="O55" s="25">
        <f>O56*600/12.22*0.87</f>
        <v>1879.5417348608837</v>
      </c>
      <c r="P55" s="25">
        <f>P56*600/12.22*0.87</f>
        <v>1879.5417348608837</v>
      </c>
      <c r="Q55" s="47"/>
      <c r="R55" s="25">
        <f t="shared" ref="R55:T55" si="213">R56*600/12.22*0.87</f>
        <v>1879.5417348608837</v>
      </c>
      <c r="S55" s="25">
        <f t="shared" si="213"/>
        <v>1879.5417348608837</v>
      </c>
      <c r="T55" s="25">
        <f t="shared" si="213"/>
        <v>1879.5417348608837</v>
      </c>
      <c r="U55" s="25">
        <v>0</v>
      </c>
      <c r="V55" s="25">
        <f t="shared" ref="V55:AR55" si="214">600*V56/14.62*0.87</f>
        <v>1570.998632010944</v>
      </c>
      <c r="W55" s="25">
        <f t="shared" si="214"/>
        <v>1570.998632010944</v>
      </c>
      <c r="X55" s="47"/>
      <c r="Y55" s="25">
        <f t="shared" si="214"/>
        <v>1570.998632010944</v>
      </c>
      <c r="Z55" s="25">
        <f t="shared" si="214"/>
        <v>1570.998632010944</v>
      </c>
      <c r="AA55" s="25">
        <f t="shared" si="214"/>
        <v>1570.998632010944</v>
      </c>
      <c r="AB55" s="25">
        <f t="shared" si="214"/>
        <v>1570.998632010944</v>
      </c>
      <c r="AC55" s="25">
        <f t="shared" si="214"/>
        <v>1570.998632010944</v>
      </c>
      <c r="AD55" s="25">
        <f t="shared" si="214"/>
        <v>1570.998632010944</v>
      </c>
      <c r="AE55" s="47"/>
      <c r="AF55" s="25">
        <f t="shared" si="214"/>
        <v>1570.998632010944</v>
      </c>
      <c r="AG55" s="25">
        <f t="shared" si="214"/>
        <v>1570.998632010944</v>
      </c>
      <c r="AH55" s="25">
        <f t="shared" si="214"/>
        <v>1570.998632010944</v>
      </c>
      <c r="AI55" s="25">
        <f t="shared" si="214"/>
        <v>1570.998632010944</v>
      </c>
      <c r="AJ55" s="25">
        <f t="shared" si="214"/>
        <v>1570.998632010944</v>
      </c>
      <c r="AK55" s="25">
        <f t="shared" si="214"/>
        <v>1570.998632010944</v>
      </c>
      <c r="AL55" s="47"/>
      <c r="AM55" s="62">
        <f t="shared" si="214"/>
        <v>1570.998632010944</v>
      </c>
      <c r="AN55" s="62">
        <f t="shared" si="214"/>
        <v>1570.998632010944</v>
      </c>
      <c r="AO55" s="62">
        <f t="shared" si="214"/>
        <v>1570.998632010944</v>
      </c>
      <c r="AP55" s="62">
        <f t="shared" si="214"/>
        <v>1570.998632010944</v>
      </c>
      <c r="AQ55" s="62">
        <f t="shared" si="214"/>
        <v>1570.998632010944</v>
      </c>
      <c r="AR55" s="62">
        <f t="shared" si="214"/>
        <v>1570.998632010944</v>
      </c>
      <c r="AS55" s="78"/>
      <c r="AT55" s="62"/>
      <c r="AU55" s="62">
        <f t="shared" ref="AU55:AY55" si="215">600*AU56/14.62*0.87</f>
        <v>1570.998632010944</v>
      </c>
      <c r="AV55" s="62">
        <f t="shared" si="215"/>
        <v>1570.998632010944</v>
      </c>
      <c r="AW55" s="62">
        <f t="shared" si="215"/>
        <v>1570.998632010944</v>
      </c>
      <c r="AX55" s="62">
        <f t="shared" si="215"/>
        <v>1570.998632010944</v>
      </c>
      <c r="AY55" s="62">
        <f t="shared" si="215"/>
        <v>1570.998632010944</v>
      </c>
      <c r="AZ55" s="47"/>
      <c r="BA55" s="25"/>
      <c r="BB55" s="25"/>
      <c r="BC55" s="25"/>
      <c r="BD55" s="25"/>
      <c r="BE55" s="25"/>
      <c r="BF55" s="25"/>
      <c r="BG55" s="47"/>
      <c r="BH55" s="25"/>
      <c r="BI55" s="25"/>
      <c r="BJ55" s="25"/>
    </row>
    <row r="56" spans="1:62" s="14" customFormat="1" ht="15.75" x14ac:dyDescent="0.25">
      <c r="A56" s="99"/>
      <c r="B56" s="97"/>
      <c r="C56" s="23" t="s">
        <v>8</v>
      </c>
      <c r="D56" s="24">
        <v>44</v>
      </c>
      <c r="E56" s="24">
        <v>44</v>
      </c>
      <c r="F56" s="24">
        <v>44</v>
      </c>
      <c r="G56" s="24">
        <v>44</v>
      </c>
      <c r="H56" s="24">
        <v>44</v>
      </c>
      <c r="I56" s="24">
        <v>44</v>
      </c>
      <c r="J56" s="48"/>
      <c r="K56" s="24">
        <v>44</v>
      </c>
      <c r="L56" s="24">
        <v>44</v>
      </c>
      <c r="M56" s="24">
        <v>44</v>
      </c>
      <c r="N56" s="24">
        <v>44</v>
      </c>
      <c r="O56" s="24">
        <v>44</v>
      </c>
      <c r="P56" s="24">
        <v>44</v>
      </c>
      <c r="Q56" s="47"/>
      <c r="R56" s="24">
        <v>44</v>
      </c>
      <c r="S56" s="24">
        <v>44</v>
      </c>
      <c r="T56" s="24">
        <v>44</v>
      </c>
      <c r="U56" s="24">
        <v>44</v>
      </c>
      <c r="V56" s="24">
        <v>44</v>
      </c>
      <c r="W56" s="24">
        <v>44</v>
      </c>
      <c r="X56" s="48"/>
      <c r="Y56" s="24">
        <v>44</v>
      </c>
      <c r="Z56" s="24">
        <v>44</v>
      </c>
      <c r="AA56" s="24">
        <v>44</v>
      </c>
      <c r="AB56" s="24">
        <v>44</v>
      </c>
      <c r="AC56" s="24">
        <v>44</v>
      </c>
      <c r="AD56" s="24">
        <v>44</v>
      </c>
      <c r="AE56" s="48"/>
      <c r="AF56" s="24">
        <v>44</v>
      </c>
      <c r="AG56" s="24">
        <v>44</v>
      </c>
      <c r="AH56" s="24">
        <v>44</v>
      </c>
      <c r="AI56" s="24">
        <v>44</v>
      </c>
      <c r="AJ56" s="24">
        <v>44</v>
      </c>
      <c r="AK56" s="24">
        <v>44</v>
      </c>
      <c r="AL56" s="48"/>
      <c r="AM56" s="24">
        <v>44</v>
      </c>
      <c r="AN56" s="24">
        <v>44</v>
      </c>
      <c r="AO56" s="24">
        <v>44</v>
      </c>
      <c r="AP56" s="24">
        <v>44</v>
      </c>
      <c r="AQ56" s="24">
        <v>44</v>
      </c>
      <c r="AR56" s="24">
        <v>44</v>
      </c>
      <c r="AS56" s="47"/>
      <c r="AT56" s="24">
        <v>44</v>
      </c>
      <c r="AU56" s="24">
        <v>44</v>
      </c>
      <c r="AV56" s="24">
        <v>44</v>
      </c>
      <c r="AW56" s="24">
        <v>44</v>
      </c>
      <c r="AX56" s="24">
        <v>44</v>
      </c>
      <c r="AY56" s="24">
        <v>44</v>
      </c>
      <c r="AZ56" s="48"/>
      <c r="BA56" s="24">
        <v>44</v>
      </c>
      <c r="BB56" s="24">
        <v>44</v>
      </c>
      <c r="BC56" s="24">
        <v>44</v>
      </c>
      <c r="BD56" s="24">
        <v>44</v>
      </c>
      <c r="BE56" s="24">
        <v>44</v>
      </c>
      <c r="BF56" s="24">
        <v>44</v>
      </c>
      <c r="BG56" s="48"/>
      <c r="BH56" s="24"/>
      <c r="BI56" s="24"/>
      <c r="BJ56" s="24"/>
    </row>
    <row r="57" spans="1:62" ht="30.75" customHeight="1" x14ac:dyDescent="0.25">
      <c r="A57" s="57" t="s">
        <v>51</v>
      </c>
      <c r="B57" s="64" t="s">
        <v>53</v>
      </c>
      <c r="C57" s="18" t="s">
        <v>9</v>
      </c>
      <c r="D57" s="20"/>
      <c r="E57" s="20"/>
      <c r="F57" s="20"/>
      <c r="G57" s="20"/>
      <c r="H57" s="64" t="s">
        <v>53</v>
      </c>
      <c r="I57" s="19"/>
      <c r="J57" s="51"/>
      <c r="L57" s="20"/>
      <c r="M57" s="20"/>
      <c r="N57" s="59" t="s">
        <v>62</v>
      </c>
      <c r="O57" s="3">
        <v>4600</v>
      </c>
      <c r="P57" s="20"/>
      <c r="Q57" s="51"/>
      <c r="R57" s="20"/>
      <c r="S57" s="20"/>
      <c r="T57" s="20"/>
      <c r="U57" s="59" t="s">
        <v>85</v>
      </c>
      <c r="V57" s="20"/>
      <c r="W57" s="20"/>
      <c r="X57" s="51"/>
      <c r="Y57" s="20"/>
      <c r="Z57" s="109" t="s">
        <v>188</v>
      </c>
      <c r="AA57" s="110"/>
      <c r="AB57" s="110"/>
      <c r="AC57" s="110"/>
      <c r="AD57" s="111"/>
      <c r="AE57" s="51"/>
      <c r="AG57" s="20"/>
      <c r="AH57" s="20"/>
      <c r="AI57" s="20"/>
      <c r="AJ57" s="20"/>
      <c r="AK57" s="20"/>
      <c r="AL57" s="51"/>
      <c r="AM57" s="20"/>
      <c r="AN57" s="20"/>
      <c r="AO57" s="59" t="s">
        <v>86</v>
      </c>
      <c r="AP57" s="20"/>
      <c r="AQ57" s="20"/>
      <c r="AR57" s="59" t="s">
        <v>62</v>
      </c>
      <c r="AS57" s="51"/>
      <c r="AV57" s="20"/>
      <c r="AW57" s="20"/>
      <c r="AX57" s="20"/>
      <c r="AY57" s="20"/>
      <c r="AZ57" s="51"/>
      <c r="BA57" s="20"/>
      <c r="BB57" s="20"/>
      <c r="BC57" s="20"/>
      <c r="BD57" s="20"/>
      <c r="BE57" s="20" t="s">
        <v>178</v>
      </c>
      <c r="BF57" s="20"/>
      <c r="BG57" s="51"/>
      <c r="BH57" s="20"/>
      <c r="BI57" s="20"/>
      <c r="BJ57" s="20"/>
    </row>
    <row r="58" spans="1:62" s="14" customFormat="1" ht="15.75" x14ac:dyDescent="0.25">
      <c r="A58" s="98"/>
      <c r="B58" s="96"/>
      <c r="C58" s="23" t="s">
        <v>2</v>
      </c>
      <c r="D58" s="25">
        <f t="shared" ref="D58:G58" si="216">600*D59/27.96*0.87</f>
        <v>933.47639484978527</v>
      </c>
      <c r="E58" s="25">
        <f t="shared" si="216"/>
        <v>933.47639484978527</v>
      </c>
      <c r="F58" s="25">
        <f t="shared" si="216"/>
        <v>933.47639484978527</v>
      </c>
      <c r="G58" s="25">
        <f t="shared" si="216"/>
        <v>933.47639484978527</v>
      </c>
      <c r="H58" s="25"/>
      <c r="I58" s="25">
        <f>600*I59/21.62*0.75</f>
        <v>1040.7030527289546</v>
      </c>
      <c r="J58" s="51"/>
      <c r="K58" s="25">
        <f t="shared" ref="K58:M58" si="217">600*K59/21.62*0.75</f>
        <v>1040.7030527289546</v>
      </c>
      <c r="L58" s="25">
        <f t="shared" si="217"/>
        <v>1040.7030527289546</v>
      </c>
      <c r="M58" s="25">
        <f t="shared" si="217"/>
        <v>1040.7030527289546</v>
      </c>
      <c r="N58" s="25">
        <v>0</v>
      </c>
      <c r="O58" s="25">
        <f>600*O59/26.73*0.87</f>
        <v>976.43097643097633</v>
      </c>
      <c r="P58" s="25">
        <f>600*P59/26.73*0.87</f>
        <v>976.43097643097633</v>
      </c>
      <c r="Q58" s="47"/>
      <c r="R58" s="25">
        <f t="shared" ref="R58:T58" si="218">600*R59/26.73*0.87</f>
        <v>976.43097643097633</v>
      </c>
      <c r="S58" s="25">
        <f t="shared" si="218"/>
        <v>976.43097643097633</v>
      </c>
      <c r="T58" s="25">
        <f t="shared" si="218"/>
        <v>976.43097643097633</v>
      </c>
      <c r="U58" s="25">
        <v>0</v>
      </c>
      <c r="V58" s="25">
        <f t="shared" ref="V58:AN58" si="219">600*V59/27.96*0.87</f>
        <v>933.47639484978527</v>
      </c>
      <c r="W58" s="25">
        <f t="shared" si="219"/>
        <v>933.47639484978527</v>
      </c>
      <c r="X58" s="47"/>
      <c r="Y58" s="25">
        <f t="shared" si="219"/>
        <v>933.47639484978527</v>
      </c>
      <c r="Z58" s="25">
        <f t="shared" si="219"/>
        <v>933.47639484978527</v>
      </c>
      <c r="AA58" s="25">
        <f t="shared" si="219"/>
        <v>933.47639484978527</v>
      </c>
      <c r="AB58" s="25">
        <f t="shared" si="219"/>
        <v>933.47639484978527</v>
      </c>
      <c r="AC58" s="25">
        <f t="shared" si="219"/>
        <v>933.47639484978527</v>
      </c>
      <c r="AD58" s="25">
        <f t="shared" si="219"/>
        <v>933.47639484978527</v>
      </c>
      <c r="AE58" s="47"/>
      <c r="AF58" s="25">
        <f t="shared" si="219"/>
        <v>933.47639484978527</v>
      </c>
      <c r="AG58" s="25">
        <f t="shared" si="219"/>
        <v>933.47639484978527</v>
      </c>
      <c r="AH58" s="25">
        <f t="shared" si="219"/>
        <v>933.47639484978527</v>
      </c>
      <c r="AI58" s="25">
        <f t="shared" si="219"/>
        <v>933.47639484978527</v>
      </c>
      <c r="AJ58" s="25">
        <f t="shared" si="219"/>
        <v>933.47639484978527</v>
      </c>
      <c r="AK58" s="25">
        <f t="shared" si="219"/>
        <v>933.47639484978527</v>
      </c>
      <c r="AL58" s="47"/>
      <c r="AM58" s="25">
        <f t="shared" si="219"/>
        <v>933.47639484978527</v>
      </c>
      <c r="AN58" s="25">
        <f t="shared" si="219"/>
        <v>933.47639484978527</v>
      </c>
      <c r="AO58" s="25">
        <v>0</v>
      </c>
      <c r="AP58" s="25"/>
      <c r="AQ58" s="25"/>
      <c r="AR58" s="25"/>
      <c r="AS58" s="47"/>
      <c r="AT58" s="25">
        <f t="shared" ref="AT58:AY58" si="220">600*AT59/26.73*0.87</f>
        <v>878.78787878787875</v>
      </c>
      <c r="AU58" s="25">
        <f t="shared" si="220"/>
        <v>878.78787878787875</v>
      </c>
      <c r="AV58" s="25">
        <f t="shared" si="220"/>
        <v>878.78787878787875</v>
      </c>
      <c r="AW58" s="25">
        <f t="shared" si="220"/>
        <v>878.78787878787875</v>
      </c>
      <c r="AX58" s="25">
        <f t="shared" si="220"/>
        <v>878.78787878787875</v>
      </c>
      <c r="AY58" s="25">
        <f t="shared" si="220"/>
        <v>878.78787878787875</v>
      </c>
      <c r="AZ58" s="47"/>
      <c r="BA58" s="25">
        <f t="shared" ref="BA58" si="221">600*BA59/26.73*0.87</f>
        <v>878.78787878787875</v>
      </c>
      <c r="BB58" s="25">
        <f t="shared" ref="BB58:BD58" si="222">600*BB59/26.73*0.87</f>
        <v>878.78787878787875</v>
      </c>
      <c r="BC58" s="25">
        <f t="shared" si="222"/>
        <v>878.78787878787875</v>
      </c>
      <c r="BD58" s="25">
        <f t="shared" si="222"/>
        <v>878.78787878787875</v>
      </c>
      <c r="BE58" s="25">
        <f t="shared" ref="BE58" si="223">600*BE59/26.73*0.87</f>
        <v>878.78787878787875</v>
      </c>
      <c r="BF58" s="25">
        <f t="shared" ref="BF58" si="224">600*BF59/26.73*0.87</f>
        <v>878.78787878787875</v>
      </c>
      <c r="BG58" s="47"/>
      <c r="BH58" s="25"/>
      <c r="BI58" s="25"/>
      <c r="BJ58" s="25"/>
    </row>
    <row r="59" spans="1:62" s="14" customFormat="1" ht="15.75" x14ac:dyDescent="0.25">
      <c r="A59" s="99"/>
      <c r="B59" s="97"/>
      <c r="C59" s="23" t="s">
        <v>8</v>
      </c>
      <c r="D59" s="24">
        <v>50</v>
      </c>
      <c r="E59" s="24">
        <v>50</v>
      </c>
      <c r="F59" s="24">
        <v>50</v>
      </c>
      <c r="G59" s="24">
        <v>50</v>
      </c>
      <c r="H59" s="24">
        <v>50</v>
      </c>
      <c r="I59" s="24">
        <v>50</v>
      </c>
      <c r="J59" s="48"/>
      <c r="K59" s="24">
        <v>50</v>
      </c>
      <c r="L59" s="24">
        <v>50</v>
      </c>
      <c r="M59" s="24">
        <v>50</v>
      </c>
      <c r="N59" s="24">
        <v>50</v>
      </c>
      <c r="O59" s="24">
        <v>50</v>
      </c>
      <c r="P59" s="24">
        <v>50</v>
      </c>
      <c r="Q59" s="48"/>
      <c r="R59" s="24">
        <v>50</v>
      </c>
      <c r="S59" s="24">
        <v>50</v>
      </c>
      <c r="T59" s="24">
        <v>50</v>
      </c>
      <c r="U59" s="24">
        <v>50</v>
      </c>
      <c r="V59" s="24">
        <v>50</v>
      </c>
      <c r="W59" s="24">
        <v>50</v>
      </c>
      <c r="X59" s="48"/>
      <c r="Y59" s="24">
        <v>50</v>
      </c>
      <c r="Z59" s="24">
        <v>50</v>
      </c>
      <c r="AA59" s="24">
        <v>50</v>
      </c>
      <c r="AB59" s="24">
        <v>50</v>
      </c>
      <c r="AC59" s="24">
        <v>50</v>
      </c>
      <c r="AD59" s="24">
        <v>50</v>
      </c>
      <c r="AE59" s="48"/>
      <c r="AF59" s="24">
        <v>50</v>
      </c>
      <c r="AG59" s="24">
        <v>50</v>
      </c>
      <c r="AH59" s="24">
        <v>50</v>
      </c>
      <c r="AI59" s="24">
        <v>50</v>
      </c>
      <c r="AJ59" s="24">
        <v>50</v>
      </c>
      <c r="AK59" s="24">
        <v>50</v>
      </c>
      <c r="AL59" s="48"/>
      <c r="AM59" s="24">
        <v>50</v>
      </c>
      <c r="AN59" s="24">
        <v>50</v>
      </c>
      <c r="AO59" s="24">
        <v>50</v>
      </c>
      <c r="AP59" s="24">
        <v>50</v>
      </c>
      <c r="AQ59" s="24">
        <v>50</v>
      </c>
      <c r="AR59" s="24">
        <v>50</v>
      </c>
      <c r="AS59" s="48"/>
      <c r="AT59" s="24">
        <v>45</v>
      </c>
      <c r="AU59" s="24">
        <v>45</v>
      </c>
      <c r="AV59" s="24">
        <v>45</v>
      </c>
      <c r="AW59" s="24">
        <v>45</v>
      </c>
      <c r="AX59" s="24">
        <v>45</v>
      </c>
      <c r="AY59" s="24">
        <v>45</v>
      </c>
      <c r="AZ59" s="48"/>
      <c r="BA59" s="24">
        <v>45</v>
      </c>
      <c r="BB59" s="24">
        <v>45</v>
      </c>
      <c r="BC59" s="24">
        <v>45</v>
      </c>
      <c r="BD59" s="24">
        <v>45</v>
      </c>
      <c r="BE59" s="24">
        <v>45</v>
      </c>
      <c r="BF59" s="24">
        <v>45</v>
      </c>
      <c r="BG59" s="48"/>
      <c r="BH59" s="24"/>
      <c r="BI59" s="24"/>
      <c r="BJ59" s="24"/>
    </row>
    <row r="60" spans="1:62" ht="30.75" customHeight="1" x14ac:dyDescent="0.25">
      <c r="A60" s="57" t="s">
        <v>26</v>
      </c>
      <c r="B60" s="66" t="s">
        <v>55</v>
      </c>
      <c r="C60" s="18" t="s">
        <v>9</v>
      </c>
      <c r="E60" s="16"/>
      <c r="F60" s="68" t="s">
        <v>104</v>
      </c>
      <c r="G60" s="16"/>
      <c r="H60" s="16"/>
      <c r="I60" s="16"/>
      <c r="J60" s="51"/>
      <c r="K60" s="68" t="s">
        <v>102</v>
      </c>
      <c r="P60" s="19"/>
      <c r="Q60" s="51"/>
      <c r="R60" s="19"/>
      <c r="S60" s="19"/>
      <c r="T60" s="19"/>
      <c r="X60" s="51"/>
      <c r="Y60" s="68" t="s">
        <v>104</v>
      </c>
      <c r="Z60" s="3" t="s">
        <v>158</v>
      </c>
      <c r="AE60" s="51"/>
      <c r="AL60" s="51"/>
      <c r="AS60" s="51"/>
      <c r="AY60" s="68" t="s">
        <v>102</v>
      </c>
      <c r="AZ60" s="51"/>
      <c r="BA60" s="3" t="s">
        <v>159</v>
      </c>
      <c r="BG60" s="51"/>
      <c r="BH60" s="70"/>
      <c r="BI60" s="70"/>
      <c r="BJ60" s="70"/>
    </row>
    <row r="61" spans="1:62" s="14" customFormat="1" ht="15.75" x14ac:dyDescent="0.25">
      <c r="A61" s="98"/>
      <c r="B61" s="96"/>
      <c r="C61" s="23" t="s">
        <v>2</v>
      </c>
      <c r="D61" s="25">
        <v>160</v>
      </c>
      <c r="E61" s="25">
        <v>390</v>
      </c>
      <c r="F61" s="25">
        <v>504.85401459854018</v>
      </c>
      <c r="G61" s="25">
        <v>504.85401459854018</v>
      </c>
      <c r="H61" s="25">
        <v>504.85401459854018</v>
      </c>
      <c r="I61" s="25">
        <v>0</v>
      </c>
      <c r="J61" s="47"/>
      <c r="K61" s="25">
        <v>581.21848739495795</v>
      </c>
      <c r="L61" s="25">
        <v>697.46218487394947</v>
      </c>
      <c r="M61" s="25">
        <v>871.82773109243692</v>
      </c>
      <c r="N61" s="25">
        <v>929.94957983193274</v>
      </c>
      <c r="O61" s="25">
        <v>929.94957983193274</v>
      </c>
      <c r="P61" s="25">
        <v>988.07142857142844</v>
      </c>
      <c r="Q61" s="47"/>
      <c r="R61" s="25">
        <v>988.07142857142844</v>
      </c>
      <c r="S61" s="25">
        <v>988.07142857142844</v>
      </c>
      <c r="T61" s="25">
        <v>988.07142857142844</v>
      </c>
      <c r="U61" s="25">
        <v>988.07142857142844</v>
      </c>
      <c r="V61" s="25">
        <v>988.07142857142844</v>
      </c>
      <c r="W61" s="25">
        <v>988.07142857142844</v>
      </c>
      <c r="X61" s="47"/>
      <c r="Y61" s="25">
        <v>0</v>
      </c>
      <c r="Z61" s="25">
        <v>169.52205882352942</v>
      </c>
      <c r="AA61" s="25">
        <v>339.04411764705884</v>
      </c>
      <c r="AB61" s="25">
        <v>406.85294117647061</v>
      </c>
      <c r="AC61" s="25">
        <v>406.85294117647061</v>
      </c>
      <c r="AD61" s="25">
        <v>440.75735294117652</v>
      </c>
      <c r="AE61" s="47"/>
      <c r="AF61" s="25">
        <v>440.75735294117652</v>
      </c>
      <c r="AG61" s="25">
        <v>440.75735294117652</v>
      </c>
      <c r="AH61" s="25">
        <v>474.66176470588232</v>
      </c>
      <c r="AI61" s="25">
        <v>474.66176470588232</v>
      </c>
      <c r="AJ61" s="25">
        <v>474.66176470588232</v>
      </c>
      <c r="AK61" s="25">
        <v>474.66176470588232</v>
      </c>
      <c r="AL61" s="51"/>
      <c r="AM61" s="25">
        <v>508.56617647058829</v>
      </c>
      <c r="AN61" s="25">
        <v>508.56617647058829</v>
      </c>
      <c r="AO61" s="25">
        <v>508.56617647058829</v>
      </c>
      <c r="AP61" s="25">
        <v>508.56617647058829</v>
      </c>
      <c r="AQ61" s="25">
        <v>508.56617647058829</v>
      </c>
      <c r="AR61" s="25">
        <v>508.56617647058829</v>
      </c>
      <c r="AS61" s="47"/>
      <c r="AT61" s="25">
        <v>508.56617647058829</v>
      </c>
      <c r="AU61" s="25">
        <v>508.56617647058829</v>
      </c>
      <c r="AV61" s="25">
        <v>508.56617647058829</v>
      </c>
      <c r="AW61" s="25">
        <v>508.56617647058829</v>
      </c>
      <c r="AX61" s="25">
        <v>508.56617647058829</v>
      </c>
      <c r="AY61" s="25">
        <v>0</v>
      </c>
      <c r="AZ61" s="47"/>
      <c r="BA61" s="25">
        <v>697.46218487394947</v>
      </c>
      <c r="BB61" s="25">
        <v>697.46218487394947</v>
      </c>
      <c r="BC61" s="25">
        <v>697.46218487394947</v>
      </c>
      <c r="BD61" s="25">
        <v>697.46218487394947</v>
      </c>
      <c r="BE61" s="25">
        <v>523.97727272727275</v>
      </c>
      <c r="BF61" s="25">
        <v>628.77272727272725</v>
      </c>
      <c r="BG61" s="47"/>
      <c r="BH61" s="25"/>
      <c r="BI61" s="25"/>
      <c r="BJ61" s="25"/>
    </row>
    <row r="62" spans="1:62" s="14" customFormat="1" ht="15.75" x14ac:dyDescent="0.25">
      <c r="A62" s="99"/>
      <c r="B62" s="115"/>
      <c r="C62" s="23" t="s">
        <v>8</v>
      </c>
      <c r="D62" s="25">
        <v>53</v>
      </c>
      <c r="E62" s="25">
        <v>53</v>
      </c>
      <c r="F62" s="25">
        <v>53</v>
      </c>
      <c r="G62" s="25">
        <v>53</v>
      </c>
      <c r="H62" s="25">
        <v>53</v>
      </c>
      <c r="I62" s="25">
        <v>53</v>
      </c>
      <c r="J62" s="48"/>
      <c r="K62" s="25">
        <v>53</v>
      </c>
      <c r="L62" s="25">
        <v>53</v>
      </c>
      <c r="M62" s="25">
        <v>53</v>
      </c>
      <c r="N62" s="25">
        <v>53</v>
      </c>
      <c r="O62" s="25">
        <v>53</v>
      </c>
      <c r="P62" s="25">
        <v>53</v>
      </c>
      <c r="Q62" s="48"/>
      <c r="R62" s="25">
        <v>53</v>
      </c>
      <c r="S62" s="25">
        <v>53</v>
      </c>
      <c r="T62" s="25">
        <v>53</v>
      </c>
      <c r="U62" s="25">
        <v>53</v>
      </c>
      <c r="V62" s="25">
        <v>53</v>
      </c>
      <c r="W62" s="25">
        <v>53</v>
      </c>
      <c r="X62" s="48"/>
      <c r="Y62" s="25">
        <v>53</v>
      </c>
      <c r="Z62" s="25">
        <v>53</v>
      </c>
      <c r="AA62" s="25">
        <v>53</v>
      </c>
      <c r="AB62" s="25">
        <v>53</v>
      </c>
      <c r="AC62" s="25">
        <v>53</v>
      </c>
      <c r="AD62" s="25">
        <v>53</v>
      </c>
      <c r="AE62" s="48"/>
      <c r="AF62" s="25">
        <v>53</v>
      </c>
      <c r="AG62" s="25">
        <v>53</v>
      </c>
      <c r="AH62" s="25">
        <v>53</v>
      </c>
      <c r="AI62" s="25">
        <v>53</v>
      </c>
      <c r="AJ62" s="25">
        <v>53</v>
      </c>
      <c r="AK62" s="25">
        <v>53</v>
      </c>
      <c r="AL62" s="48"/>
      <c r="AM62" s="25">
        <v>53</v>
      </c>
      <c r="AN62" s="25">
        <v>53</v>
      </c>
      <c r="AO62" s="25">
        <v>53</v>
      </c>
      <c r="AP62" s="25">
        <v>53</v>
      </c>
      <c r="AQ62" s="25">
        <v>53</v>
      </c>
      <c r="AR62" s="25">
        <v>53</v>
      </c>
      <c r="AS62" s="48"/>
      <c r="AT62" s="25">
        <v>53</v>
      </c>
      <c r="AU62" s="25">
        <v>53</v>
      </c>
      <c r="AV62" s="25">
        <v>53</v>
      </c>
      <c r="AW62" s="25">
        <v>53</v>
      </c>
      <c r="AX62" s="25">
        <v>53</v>
      </c>
      <c r="AY62" s="25">
        <v>53</v>
      </c>
      <c r="AZ62" s="48"/>
      <c r="BA62" s="25">
        <v>53</v>
      </c>
      <c r="BB62" s="25">
        <v>53</v>
      </c>
      <c r="BC62" s="25">
        <v>53</v>
      </c>
      <c r="BD62" s="25">
        <v>53</v>
      </c>
      <c r="BE62" s="25">
        <v>53</v>
      </c>
      <c r="BF62" s="25">
        <v>53</v>
      </c>
      <c r="BG62" s="48"/>
      <c r="BH62" s="25"/>
      <c r="BI62" s="25"/>
      <c r="BJ62" s="25"/>
    </row>
    <row r="63" spans="1:62" ht="31.5" customHeight="1" x14ac:dyDescent="0.25">
      <c r="A63" s="57" t="s">
        <v>45</v>
      </c>
      <c r="B63" s="63" t="s">
        <v>59</v>
      </c>
      <c r="C63" s="18" t="s">
        <v>9</v>
      </c>
      <c r="D63" s="20"/>
      <c r="E63" s="20"/>
      <c r="F63" s="20"/>
      <c r="G63" s="20"/>
      <c r="H63" s="19"/>
      <c r="I63" s="19"/>
      <c r="J63" s="46"/>
      <c r="K63" s="19"/>
      <c r="L63" s="19"/>
      <c r="M63" s="19"/>
      <c r="N63" s="19"/>
      <c r="O63" s="19"/>
      <c r="P63" s="19"/>
      <c r="Q63" s="46"/>
      <c r="R63" s="19"/>
      <c r="S63" s="19"/>
      <c r="T63" s="19"/>
      <c r="U63" s="19"/>
      <c r="V63" s="19"/>
      <c r="W63" s="19"/>
      <c r="X63" s="46"/>
      <c r="Y63" s="19"/>
      <c r="Z63" s="19"/>
      <c r="AA63" s="19"/>
      <c r="AB63" s="59" t="s">
        <v>49</v>
      </c>
      <c r="AC63" s="19"/>
      <c r="AD63" s="19"/>
      <c r="AE63" s="46"/>
      <c r="AF63" s="19"/>
      <c r="AG63" s="19"/>
      <c r="AH63" s="19"/>
      <c r="AI63" s="59" t="s">
        <v>145</v>
      </c>
      <c r="AJ63" s="19"/>
      <c r="AK63" s="19"/>
      <c r="AL63" s="46"/>
      <c r="AM63" s="19"/>
      <c r="AN63" s="19"/>
      <c r="AO63" s="19"/>
      <c r="AP63" s="19"/>
      <c r="AQ63" s="19"/>
      <c r="AR63" s="19"/>
      <c r="AS63" s="46"/>
      <c r="AT63" s="19"/>
      <c r="AU63" s="19"/>
      <c r="AV63" s="19"/>
      <c r="AW63" s="19"/>
      <c r="AX63" s="19"/>
      <c r="AY63" s="19"/>
      <c r="AZ63" s="46"/>
      <c r="BA63" s="19"/>
      <c r="BB63" s="19"/>
      <c r="BC63" s="19"/>
      <c r="BD63" s="19"/>
      <c r="BE63" s="19"/>
      <c r="BF63" s="19"/>
      <c r="BG63" s="46"/>
      <c r="BH63" s="19"/>
      <c r="BI63" s="19"/>
      <c r="BJ63" s="19"/>
    </row>
    <row r="64" spans="1:62" s="14" customFormat="1" ht="15.75" x14ac:dyDescent="0.25">
      <c r="A64" s="98"/>
      <c r="B64" s="22"/>
      <c r="C64" s="23" t="s">
        <v>2</v>
      </c>
      <c r="D64" s="25">
        <f t="shared" ref="D64:E64" si="225">600*D65/22.22*0.9</f>
        <v>1312.3312331233124</v>
      </c>
      <c r="E64" s="25">
        <f t="shared" si="225"/>
        <v>1312.3312331233124</v>
      </c>
      <c r="F64" s="25">
        <f>600*F65/34.41*0.9</f>
        <v>847.42807323452496</v>
      </c>
      <c r="G64" s="25">
        <f t="shared" ref="G64:I64" si="226">600*G65/34.41*0.9</f>
        <v>847.42807323452496</v>
      </c>
      <c r="H64" s="25">
        <f t="shared" si="226"/>
        <v>847.42807323452496</v>
      </c>
      <c r="I64" s="25">
        <f t="shared" si="226"/>
        <v>847.42807323452496</v>
      </c>
      <c r="J64" s="47"/>
      <c r="K64" s="25">
        <f t="shared" ref="K64" si="227">600*K65/34.41*0.9</f>
        <v>847.42807323452496</v>
      </c>
      <c r="L64" s="25">
        <f t="shared" ref="L64" si="228">600*L65/34.41*0.9</f>
        <v>847.42807323452496</v>
      </c>
      <c r="M64" s="25">
        <f t="shared" ref="M64" si="229">600*M65/34.41*0.9</f>
        <v>847.42807323452496</v>
      </c>
      <c r="N64" s="25">
        <f t="shared" ref="N64" si="230">600*N65/34.41*0.9</f>
        <v>847.42807323452496</v>
      </c>
      <c r="O64" s="25">
        <f t="shared" ref="O64" si="231">600*O65/34.41*0.9</f>
        <v>847.42807323452496</v>
      </c>
      <c r="P64" s="25">
        <f t="shared" ref="P64" si="232">600*P65/34.41*0.9</f>
        <v>847.42807323452496</v>
      </c>
      <c r="Q64" s="47"/>
      <c r="R64" s="25">
        <f t="shared" ref="R64" si="233">600*R65/34.41*0.9</f>
        <v>847.42807323452496</v>
      </c>
      <c r="S64" s="25">
        <f t="shared" ref="S64" si="234">600*S65/34.41*0.9</f>
        <v>847.42807323452496</v>
      </c>
      <c r="T64" s="25">
        <f t="shared" ref="T64" si="235">600*T65/34.41*0.9</f>
        <v>847.42807323452496</v>
      </c>
      <c r="U64" s="25">
        <f t="shared" ref="U64" si="236">600*U65/34.41*0.9</f>
        <v>847.42807323452496</v>
      </c>
      <c r="V64" s="25">
        <f t="shared" ref="V64" si="237">600*V65/34.41*0.9</f>
        <v>847.42807323452496</v>
      </c>
      <c r="W64" s="25">
        <f t="shared" ref="W64" si="238">600*W65/34.41*0.9</f>
        <v>847.42807323452496</v>
      </c>
      <c r="X64" s="47"/>
      <c r="Y64" s="25">
        <f t="shared" ref="Y64" si="239">600*Y65/34.41*0.9</f>
        <v>847.42807323452496</v>
      </c>
      <c r="Z64" s="25">
        <f t="shared" ref="Z64" si="240">600*Z65/34.41*0.9</f>
        <v>847.42807323452496</v>
      </c>
      <c r="AA64" s="25">
        <f t="shared" ref="AA64" si="241">600*AA65/34.41*0.9</f>
        <v>847.42807323452496</v>
      </c>
      <c r="AB64" s="25">
        <v>0</v>
      </c>
      <c r="AC64" s="25">
        <f t="shared" ref="AC64:AH64" si="242">600*AC65/34.53*0.87</f>
        <v>816.33362293657683</v>
      </c>
      <c r="AD64" s="25">
        <f t="shared" si="242"/>
        <v>816.33362293657683</v>
      </c>
      <c r="AE64" s="47"/>
      <c r="AF64" s="25">
        <f t="shared" si="242"/>
        <v>816.33362293657683</v>
      </c>
      <c r="AG64" s="25">
        <f t="shared" si="242"/>
        <v>816.33362293657683</v>
      </c>
      <c r="AH64" s="25">
        <f t="shared" si="242"/>
        <v>816.33362293657683</v>
      </c>
      <c r="AI64" s="25">
        <v>0</v>
      </c>
      <c r="AJ64" s="25">
        <f>600*AJ65/26.51*0.87</f>
        <v>1063.2968691059975</v>
      </c>
      <c r="AK64" s="25">
        <f>600*AK65/26.51*0.87</f>
        <v>1063.2968691059975</v>
      </c>
      <c r="AL64" s="47"/>
      <c r="AM64" s="25">
        <f>600*AM65/26.51*0.87</f>
        <v>1063.2968691059975</v>
      </c>
      <c r="AN64" s="25"/>
      <c r="AO64" s="25"/>
      <c r="AP64" s="25"/>
      <c r="AQ64" s="25"/>
      <c r="AR64" s="25"/>
      <c r="AS64" s="47"/>
      <c r="AT64" s="25"/>
      <c r="AU64" s="25"/>
      <c r="AV64" s="25"/>
      <c r="AW64" s="25"/>
      <c r="AX64" s="25"/>
      <c r="AY64" s="25"/>
      <c r="AZ64" s="47"/>
      <c r="BA64" s="25"/>
      <c r="BB64" s="25"/>
      <c r="BC64" s="25"/>
      <c r="BD64" s="25"/>
      <c r="BE64" s="25"/>
      <c r="BF64" s="25"/>
      <c r="BG64" s="47"/>
      <c r="BH64" s="25"/>
      <c r="BI64" s="25"/>
      <c r="BJ64" s="25"/>
    </row>
    <row r="65" spans="1:62" s="14" customFormat="1" ht="15.75" x14ac:dyDescent="0.25">
      <c r="A65" s="99"/>
      <c r="B65" s="26"/>
      <c r="C65" s="23" t="s">
        <v>8</v>
      </c>
      <c r="D65" s="24">
        <v>54</v>
      </c>
      <c r="E65" s="24">
        <v>54</v>
      </c>
      <c r="F65" s="24">
        <v>54</v>
      </c>
      <c r="G65" s="24">
        <v>54</v>
      </c>
      <c r="H65" s="24">
        <v>54</v>
      </c>
      <c r="I65" s="24">
        <v>54</v>
      </c>
      <c r="J65" s="48"/>
      <c r="K65" s="24">
        <v>54</v>
      </c>
      <c r="L65" s="24">
        <v>54</v>
      </c>
      <c r="M65" s="24">
        <v>54</v>
      </c>
      <c r="N65" s="24">
        <v>54</v>
      </c>
      <c r="O65" s="24">
        <v>54</v>
      </c>
      <c r="P65" s="24">
        <v>54</v>
      </c>
      <c r="Q65" s="48"/>
      <c r="R65" s="24">
        <v>54</v>
      </c>
      <c r="S65" s="24">
        <v>54</v>
      </c>
      <c r="T65" s="24">
        <v>54</v>
      </c>
      <c r="U65" s="24">
        <v>54</v>
      </c>
      <c r="V65" s="24">
        <v>54</v>
      </c>
      <c r="W65" s="24">
        <v>54</v>
      </c>
      <c r="X65" s="48"/>
      <c r="Y65" s="24">
        <v>54</v>
      </c>
      <c r="Z65" s="24">
        <v>54</v>
      </c>
      <c r="AA65" s="24">
        <v>54</v>
      </c>
      <c r="AB65" s="24">
        <v>54</v>
      </c>
      <c r="AC65" s="24">
        <v>54</v>
      </c>
      <c r="AD65" s="24">
        <v>54</v>
      </c>
      <c r="AE65" s="48"/>
      <c r="AF65" s="24">
        <v>54</v>
      </c>
      <c r="AG65" s="24">
        <v>54</v>
      </c>
      <c r="AH65" s="24">
        <v>54</v>
      </c>
      <c r="AI65" s="24">
        <v>54</v>
      </c>
      <c r="AJ65" s="24">
        <v>54</v>
      </c>
      <c r="AK65" s="24">
        <v>54</v>
      </c>
      <c r="AL65" s="48"/>
      <c r="AM65" s="24">
        <v>54</v>
      </c>
      <c r="AN65" s="24">
        <v>54</v>
      </c>
      <c r="AO65" s="24">
        <v>54</v>
      </c>
      <c r="AP65" s="24">
        <v>54</v>
      </c>
      <c r="AQ65" s="24">
        <v>54</v>
      </c>
      <c r="AR65" s="24">
        <v>54</v>
      </c>
      <c r="AS65" s="48"/>
      <c r="AT65" s="24"/>
      <c r="AU65" s="24"/>
      <c r="AV65" s="24"/>
      <c r="AW65" s="24"/>
      <c r="AX65" s="24"/>
      <c r="AY65" s="24"/>
      <c r="AZ65" s="48"/>
      <c r="BA65" s="24"/>
      <c r="BB65" s="24"/>
      <c r="BC65" s="24"/>
      <c r="BD65" s="24"/>
      <c r="BE65" s="24"/>
      <c r="BF65" s="24"/>
      <c r="BG65" s="48"/>
      <c r="BH65" s="24"/>
      <c r="BI65" s="24"/>
      <c r="BJ65" s="24"/>
    </row>
    <row r="66" spans="1:62" ht="31.5" customHeight="1" x14ac:dyDescent="0.25">
      <c r="A66" s="57" t="s">
        <v>46</v>
      </c>
      <c r="B66" s="63" t="s">
        <v>63</v>
      </c>
      <c r="C66" s="18" t="s">
        <v>9</v>
      </c>
      <c r="D66" s="19"/>
      <c r="E66" s="19"/>
      <c r="F66" s="19"/>
      <c r="G66" s="19"/>
      <c r="I66" s="19"/>
      <c r="J66" s="46"/>
      <c r="K66" s="19"/>
      <c r="L66" s="19"/>
      <c r="M66" s="59" t="s">
        <v>120</v>
      </c>
      <c r="N66" s="19"/>
      <c r="O66" s="19"/>
      <c r="P66" s="19"/>
      <c r="Q66" s="46"/>
      <c r="R66" s="70" t="s">
        <v>76</v>
      </c>
      <c r="S66" s="20"/>
      <c r="T66" s="20"/>
      <c r="U66" s="20"/>
      <c r="V66" s="20"/>
      <c r="W66" s="59" t="s">
        <v>144</v>
      </c>
      <c r="X66" s="46"/>
      <c r="Y66" s="20"/>
      <c r="Z66" s="59" t="s">
        <v>138</v>
      </c>
      <c r="AC66" s="20"/>
      <c r="AD66" s="20"/>
      <c r="AE66" s="46"/>
      <c r="AF66" s="20"/>
      <c r="AG66" s="20"/>
      <c r="AH66" s="20"/>
      <c r="AI66" s="61" t="s">
        <v>122</v>
      </c>
      <c r="AJ66" s="19"/>
      <c r="AL66" s="46"/>
      <c r="AO66" s="59" t="s">
        <v>140</v>
      </c>
      <c r="AP66" s="19"/>
      <c r="AQ66" s="59" t="s">
        <v>141</v>
      </c>
      <c r="AR66" s="19"/>
      <c r="AS66" s="46"/>
      <c r="AT66" s="59" t="s">
        <v>185</v>
      </c>
      <c r="AU66" s="19"/>
      <c r="AV66" s="19"/>
      <c r="AW66" s="19"/>
      <c r="AX66" s="19"/>
      <c r="AY66" s="19"/>
      <c r="AZ66" s="46"/>
      <c r="BA66" s="19"/>
      <c r="BB66" s="19"/>
      <c r="BC66" s="19"/>
      <c r="BD66" s="19"/>
      <c r="BE66" s="19"/>
      <c r="BF66" s="19"/>
      <c r="BG66" s="46"/>
      <c r="BH66" s="19"/>
      <c r="BI66" s="19"/>
      <c r="BJ66" s="19"/>
    </row>
    <row r="67" spans="1:62" s="14" customFormat="1" ht="15.75" x14ac:dyDescent="0.25">
      <c r="A67" s="98"/>
      <c r="B67" s="22"/>
      <c r="C67" s="23" t="s">
        <v>2</v>
      </c>
      <c r="D67" s="25">
        <f t="shared" ref="D67:L67" si="243">(D68)*600/33.36*0.87</f>
        <v>782.37410071942452</v>
      </c>
      <c r="E67" s="25">
        <f t="shared" si="243"/>
        <v>782.37410071942452</v>
      </c>
      <c r="F67" s="25">
        <f t="shared" si="243"/>
        <v>782.37410071942452</v>
      </c>
      <c r="G67" s="25">
        <f t="shared" si="243"/>
        <v>782.37410071942452</v>
      </c>
      <c r="H67" s="25">
        <f t="shared" si="243"/>
        <v>782.37410071942452</v>
      </c>
      <c r="I67" s="25">
        <f t="shared" si="243"/>
        <v>782.37410071942452</v>
      </c>
      <c r="J67" s="47"/>
      <c r="K67" s="25">
        <f t="shared" si="243"/>
        <v>782.37410071942452</v>
      </c>
      <c r="L67" s="25">
        <f t="shared" si="243"/>
        <v>782.37410071942452</v>
      </c>
      <c r="M67" s="25">
        <v>0</v>
      </c>
      <c r="N67" s="25">
        <f>600*N68/36.75*0.87</f>
        <v>710.20408163265313</v>
      </c>
      <c r="O67" s="25">
        <f>600*O68/36.75*0.87</f>
        <v>710.20408163265313</v>
      </c>
      <c r="P67" s="25">
        <f>600*P68/36.75*0.87</f>
        <v>710.20408163265313</v>
      </c>
      <c r="Q67" s="47"/>
      <c r="R67" s="25">
        <v>0</v>
      </c>
      <c r="S67" s="25">
        <f t="shared" ref="S67:U67" si="244">600*S68/14.2*0.87</f>
        <v>1838.0281690140848</v>
      </c>
      <c r="T67" s="25">
        <f t="shared" si="244"/>
        <v>1838.0281690140848</v>
      </c>
      <c r="U67" s="25">
        <f t="shared" si="244"/>
        <v>1838.0281690140848</v>
      </c>
      <c r="V67" s="25">
        <f t="shared" ref="V67" si="245">600*V68/14.2*0.87</f>
        <v>1838.0281690140848</v>
      </c>
      <c r="W67" s="25"/>
      <c r="X67" s="47"/>
      <c r="Y67" s="25">
        <f>600*Y68/12.41*1</f>
        <v>2417.4053182917</v>
      </c>
      <c r="Z67" s="25">
        <v>0</v>
      </c>
      <c r="AA67" s="25">
        <f t="shared" ref="AA67:AH67" si="246">600*AA68/12.09*0.87</f>
        <v>2158.8089330024814</v>
      </c>
      <c r="AB67" s="25">
        <f t="shared" si="246"/>
        <v>2158.8089330024814</v>
      </c>
      <c r="AC67" s="25">
        <f t="shared" si="246"/>
        <v>2158.8089330024814</v>
      </c>
      <c r="AD67" s="25">
        <f t="shared" si="246"/>
        <v>2158.8089330024814</v>
      </c>
      <c r="AE67" s="47"/>
      <c r="AF67" s="25">
        <f t="shared" si="246"/>
        <v>2158.8089330024814</v>
      </c>
      <c r="AG67" s="25">
        <f t="shared" si="246"/>
        <v>2158.8089330024814</v>
      </c>
      <c r="AH67" s="25">
        <f t="shared" si="246"/>
        <v>2158.8089330024814</v>
      </c>
      <c r="AI67" s="25"/>
      <c r="AJ67" s="25">
        <f>600*AJ68/34.12*0.87</f>
        <v>764.94724501758503</v>
      </c>
      <c r="AK67" s="25">
        <f>600*AK68/34.12*0.87</f>
        <v>764.94724501758503</v>
      </c>
      <c r="AL67" s="47"/>
      <c r="AM67" s="25">
        <f t="shared" ref="AM67:AN67" si="247">600*AM68/34.12*0.87</f>
        <v>764.94724501758503</v>
      </c>
      <c r="AN67" s="25">
        <f t="shared" si="247"/>
        <v>764.94724501758503</v>
      </c>
      <c r="AO67" s="25">
        <v>0</v>
      </c>
      <c r="AP67" s="25">
        <f t="shared" ref="AP67" si="248">600*AP68/12.09*0.87</f>
        <v>2158.8089330024814</v>
      </c>
      <c r="AQ67" s="25"/>
      <c r="AR67" s="25"/>
      <c r="AS67" s="47"/>
      <c r="AT67" s="25"/>
      <c r="AU67" s="25"/>
      <c r="AV67" s="25"/>
      <c r="AW67" s="25"/>
      <c r="AX67" s="25"/>
      <c r="AY67" s="25"/>
      <c r="AZ67" s="47"/>
      <c r="BA67" s="25"/>
      <c r="BB67" s="25"/>
      <c r="BC67" s="25"/>
      <c r="BD67" s="25"/>
      <c r="BE67" s="25"/>
      <c r="BF67" s="25"/>
      <c r="BG67" s="47"/>
      <c r="BH67" s="25"/>
      <c r="BI67" s="25"/>
      <c r="BJ67" s="25"/>
    </row>
    <row r="68" spans="1:62" s="14" customFormat="1" ht="15.75" x14ac:dyDescent="0.25">
      <c r="A68" s="99"/>
      <c r="B68" s="26"/>
      <c r="C68" s="23" t="s">
        <v>8</v>
      </c>
      <c r="D68" s="24">
        <v>50</v>
      </c>
      <c r="E68" s="24">
        <v>50</v>
      </c>
      <c r="F68" s="24">
        <v>50</v>
      </c>
      <c r="G68" s="24">
        <v>50</v>
      </c>
      <c r="H68" s="24">
        <v>50</v>
      </c>
      <c r="I68" s="24">
        <v>50</v>
      </c>
      <c r="J68" s="48"/>
      <c r="K68" s="24">
        <v>50</v>
      </c>
      <c r="L68" s="24">
        <v>50</v>
      </c>
      <c r="M68" s="24">
        <v>50</v>
      </c>
      <c r="N68" s="24">
        <v>50</v>
      </c>
      <c r="O68" s="24">
        <v>50</v>
      </c>
      <c r="P68" s="24">
        <v>50</v>
      </c>
      <c r="Q68" s="48"/>
      <c r="R68" s="24">
        <v>50</v>
      </c>
      <c r="S68" s="24">
        <v>50</v>
      </c>
      <c r="T68" s="24">
        <v>50</v>
      </c>
      <c r="U68" s="24">
        <v>50</v>
      </c>
      <c r="V68" s="24">
        <v>50</v>
      </c>
      <c r="W68" s="24">
        <v>50</v>
      </c>
      <c r="X68" s="48"/>
      <c r="Y68" s="24">
        <v>50</v>
      </c>
      <c r="Z68" s="24">
        <v>50</v>
      </c>
      <c r="AA68" s="24">
        <v>50</v>
      </c>
      <c r="AB68" s="24">
        <v>50</v>
      </c>
      <c r="AC68" s="24">
        <v>50</v>
      </c>
      <c r="AD68" s="24">
        <v>50</v>
      </c>
      <c r="AE68" s="48"/>
      <c r="AF68" s="24">
        <v>50</v>
      </c>
      <c r="AG68" s="24">
        <v>50</v>
      </c>
      <c r="AH68" s="24">
        <v>50</v>
      </c>
      <c r="AI68" s="24">
        <v>50</v>
      </c>
      <c r="AJ68" s="24">
        <v>50</v>
      </c>
      <c r="AK68" s="24">
        <v>50</v>
      </c>
      <c r="AL68" s="48"/>
      <c r="AM68" s="24">
        <v>50</v>
      </c>
      <c r="AN68" s="24">
        <v>50</v>
      </c>
      <c r="AO68" s="24">
        <v>50</v>
      </c>
      <c r="AP68" s="24">
        <v>50</v>
      </c>
      <c r="AQ68" s="24">
        <v>50</v>
      </c>
      <c r="AR68" s="24">
        <v>50</v>
      </c>
      <c r="AS68" s="48"/>
      <c r="AT68" s="24">
        <v>50</v>
      </c>
      <c r="AU68" s="24">
        <v>50</v>
      </c>
      <c r="AV68" s="24">
        <v>50</v>
      </c>
      <c r="AW68" s="24">
        <v>50</v>
      </c>
      <c r="AX68" s="24">
        <v>50</v>
      </c>
      <c r="AY68" s="24">
        <v>50</v>
      </c>
      <c r="AZ68" s="48"/>
      <c r="BA68" s="24">
        <v>50</v>
      </c>
      <c r="BB68" s="24">
        <v>50</v>
      </c>
      <c r="BC68" s="24">
        <v>50</v>
      </c>
      <c r="BD68" s="24">
        <v>50</v>
      </c>
      <c r="BE68" s="24">
        <v>50</v>
      </c>
      <c r="BF68" s="24">
        <v>50</v>
      </c>
      <c r="BG68" s="48"/>
      <c r="BH68" s="24"/>
      <c r="BI68" s="24"/>
      <c r="BJ68" s="24"/>
    </row>
    <row r="69" spans="1:62" ht="30.75" customHeight="1" x14ac:dyDescent="0.25">
      <c r="A69" s="57" t="s">
        <v>74</v>
      </c>
      <c r="B69" s="65" t="s">
        <v>52</v>
      </c>
      <c r="C69" s="18" t="s">
        <v>9</v>
      </c>
      <c r="F69" s="65" t="s">
        <v>52</v>
      </c>
      <c r="J69" s="46"/>
      <c r="L69" s="79" t="s">
        <v>80</v>
      </c>
      <c r="M69" s="59" t="s">
        <v>99</v>
      </c>
      <c r="O69" s="66" t="s">
        <v>64</v>
      </c>
      <c r="Q69" s="46"/>
      <c r="S69" s="70" t="s">
        <v>65</v>
      </c>
      <c r="X69" s="46"/>
      <c r="AC69" s="59" t="s">
        <v>136</v>
      </c>
      <c r="AD69" s="19"/>
      <c r="AE69" s="46"/>
      <c r="AF69" s="19"/>
      <c r="AG69" s="19"/>
      <c r="AH69" s="19"/>
      <c r="AI69" s="19"/>
      <c r="AJ69" s="19"/>
      <c r="AK69" s="19"/>
      <c r="AL69" s="46"/>
      <c r="AM69" s="19"/>
      <c r="AN69" s="79" t="s">
        <v>184</v>
      </c>
      <c r="AO69" s="19"/>
      <c r="AP69" s="19"/>
      <c r="AQ69" s="19"/>
      <c r="AR69" s="19"/>
      <c r="AS69" s="46"/>
      <c r="AT69" s="19"/>
      <c r="AU69" s="19"/>
      <c r="AV69" s="19"/>
      <c r="AW69" s="19"/>
      <c r="AX69" s="19"/>
      <c r="AY69" s="19"/>
      <c r="AZ69" s="46"/>
      <c r="BA69" s="19"/>
      <c r="BB69" s="19"/>
      <c r="BC69" s="19"/>
      <c r="BD69" s="19"/>
      <c r="BE69" s="19"/>
      <c r="BF69" s="19"/>
      <c r="BG69" s="46"/>
      <c r="BH69" s="19"/>
      <c r="BI69" s="19"/>
      <c r="BJ69" s="19"/>
    </row>
    <row r="70" spans="1:62" s="14" customFormat="1" ht="15.75" x14ac:dyDescent="0.25">
      <c r="A70" s="98"/>
      <c r="B70" s="22"/>
      <c r="C70" s="23" t="s">
        <v>2</v>
      </c>
      <c r="D70" s="25">
        <f t="shared" ref="D70:K70" si="249">600*D71/11.43*0.87</f>
        <v>1689.7637795275591</v>
      </c>
      <c r="E70" s="25">
        <f t="shared" si="249"/>
        <v>1689.7637795275591</v>
      </c>
      <c r="F70" s="25">
        <f t="shared" si="249"/>
        <v>1689.7637795275591</v>
      </c>
      <c r="G70" s="25">
        <f t="shared" si="249"/>
        <v>1689.7637795275591</v>
      </c>
      <c r="H70" s="25">
        <f t="shared" si="249"/>
        <v>1689.7637795275591</v>
      </c>
      <c r="I70" s="25">
        <f t="shared" si="249"/>
        <v>1689.7637795275591</v>
      </c>
      <c r="J70" s="47"/>
      <c r="K70" s="25">
        <f t="shared" si="249"/>
        <v>1689.7637795275591</v>
      </c>
      <c r="L70" s="25">
        <v>115</v>
      </c>
      <c r="M70" s="25">
        <v>0</v>
      </c>
      <c r="N70" s="25">
        <v>360</v>
      </c>
      <c r="O70" s="25">
        <v>0</v>
      </c>
      <c r="P70" s="25">
        <f>600*P71/14.29*0.87</f>
        <v>1351.5745276417076</v>
      </c>
      <c r="Q70" s="47"/>
      <c r="R70" s="25">
        <f>600*R71/14.29*0.87</f>
        <v>1351.5745276417076</v>
      </c>
      <c r="S70" s="25">
        <v>0</v>
      </c>
      <c r="T70" s="25">
        <f t="shared" ref="T70:AB70" si="250">600*T71/25.82*1</f>
        <v>859.79860573199073</v>
      </c>
      <c r="U70" s="25">
        <f t="shared" si="250"/>
        <v>859.79860573199073</v>
      </c>
      <c r="V70" s="25">
        <f t="shared" si="250"/>
        <v>859.79860573199073</v>
      </c>
      <c r="W70" s="25">
        <f t="shared" si="250"/>
        <v>859.79860573199073</v>
      </c>
      <c r="X70" s="47"/>
      <c r="Y70" s="25">
        <f t="shared" si="250"/>
        <v>859.79860573199073</v>
      </c>
      <c r="Z70" s="25">
        <f t="shared" si="250"/>
        <v>859.79860573199073</v>
      </c>
      <c r="AA70" s="25">
        <f t="shared" si="250"/>
        <v>859.79860573199073</v>
      </c>
      <c r="AB70" s="25">
        <f t="shared" si="250"/>
        <v>859.79860573199073</v>
      </c>
      <c r="AC70" s="25">
        <v>0</v>
      </c>
      <c r="AD70" s="25">
        <f t="shared" ref="AD70" si="251">600*AD71/23.35*0.87</f>
        <v>827.15203426124185</v>
      </c>
      <c r="AE70" s="47"/>
      <c r="AF70" s="25">
        <f t="shared" ref="AF70" si="252">600*AF71/23.35*0.87</f>
        <v>827.15203426124185</v>
      </c>
      <c r="AG70" s="25">
        <f t="shared" ref="AG70:AM70" si="253">600*AG71/23.35*0.87</f>
        <v>827.15203426124185</v>
      </c>
      <c r="AH70" s="25">
        <f t="shared" si="253"/>
        <v>827.15203426124185</v>
      </c>
      <c r="AI70" s="25">
        <f t="shared" si="253"/>
        <v>827.15203426124185</v>
      </c>
      <c r="AJ70" s="25">
        <f t="shared" si="253"/>
        <v>827.15203426124185</v>
      </c>
      <c r="AK70" s="25">
        <f t="shared" si="253"/>
        <v>827.15203426124185</v>
      </c>
      <c r="AL70" s="47"/>
      <c r="AM70" s="25">
        <f t="shared" si="253"/>
        <v>827.15203426124185</v>
      </c>
      <c r="AN70" s="25"/>
      <c r="AO70" s="25"/>
      <c r="AP70" s="25"/>
      <c r="AQ70" s="25"/>
      <c r="AR70" s="25"/>
      <c r="AS70" s="47"/>
      <c r="AT70" s="25"/>
      <c r="AU70" s="25"/>
      <c r="AV70" s="25"/>
      <c r="AW70" s="25"/>
      <c r="AX70" s="25"/>
      <c r="AY70" s="25"/>
      <c r="AZ70" s="47"/>
      <c r="BA70" s="25"/>
      <c r="BB70" s="25"/>
      <c r="BC70" s="25"/>
      <c r="BD70" s="25"/>
      <c r="BE70" s="25"/>
      <c r="BF70" s="25"/>
      <c r="BG70" s="47"/>
      <c r="BH70" s="25"/>
      <c r="BI70" s="25"/>
      <c r="BJ70" s="25"/>
    </row>
    <row r="71" spans="1:62" s="14" customFormat="1" ht="15.75" x14ac:dyDescent="0.25">
      <c r="A71" s="99"/>
      <c r="B71" s="26"/>
      <c r="C71" s="23" t="s">
        <v>8</v>
      </c>
      <c r="D71" s="24">
        <v>37</v>
      </c>
      <c r="E71" s="24">
        <v>37</v>
      </c>
      <c r="F71" s="24">
        <v>37</v>
      </c>
      <c r="G71" s="24">
        <v>37</v>
      </c>
      <c r="H71" s="24">
        <v>37</v>
      </c>
      <c r="I71" s="24">
        <v>37</v>
      </c>
      <c r="J71" s="47"/>
      <c r="K71" s="24">
        <v>37</v>
      </c>
      <c r="L71" s="24">
        <v>37</v>
      </c>
      <c r="M71" s="24">
        <v>37</v>
      </c>
      <c r="N71" s="24">
        <v>37</v>
      </c>
      <c r="O71" s="24">
        <v>37</v>
      </c>
      <c r="P71" s="24">
        <v>37</v>
      </c>
      <c r="Q71" s="47"/>
      <c r="R71" s="24">
        <v>37</v>
      </c>
      <c r="S71" s="24">
        <v>37</v>
      </c>
      <c r="T71" s="24">
        <v>37</v>
      </c>
      <c r="U71" s="24">
        <v>37</v>
      </c>
      <c r="V71" s="24">
        <v>37</v>
      </c>
      <c r="W71" s="24">
        <v>37</v>
      </c>
      <c r="X71" s="47"/>
      <c r="Y71" s="24">
        <v>37</v>
      </c>
      <c r="Z71" s="24">
        <v>37</v>
      </c>
      <c r="AA71" s="24">
        <v>37</v>
      </c>
      <c r="AB71" s="24">
        <v>37</v>
      </c>
      <c r="AC71" s="24">
        <v>37</v>
      </c>
      <c r="AD71" s="24">
        <v>37</v>
      </c>
      <c r="AE71" s="47"/>
      <c r="AF71" s="24">
        <v>37</v>
      </c>
      <c r="AG71" s="24">
        <v>37</v>
      </c>
      <c r="AH71" s="24">
        <v>37</v>
      </c>
      <c r="AI71" s="24">
        <v>37</v>
      </c>
      <c r="AJ71" s="24">
        <v>37</v>
      </c>
      <c r="AK71" s="24">
        <v>37</v>
      </c>
      <c r="AL71" s="47"/>
      <c r="AM71" s="24">
        <v>37</v>
      </c>
      <c r="AN71" s="24">
        <v>37</v>
      </c>
      <c r="AO71" s="24">
        <v>37</v>
      </c>
      <c r="AP71" s="24">
        <v>37</v>
      </c>
      <c r="AQ71" s="24">
        <v>37</v>
      </c>
      <c r="AR71" s="24">
        <v>37</v>
      </c>
      <c r="AS71" s="47"/>
      <c r="AT71" s="24">
        <v>37</v>
      </c>
      <c r="AU71" s="24">
        <v>37</v>
      </c>
      <c r="AV71" s="24">
        <v>37</v>
      </c>
      <c r="AW71" s="24">
        <v>37</v>
      </c>
      <c r="AX71" s="24">
        <v>37</v>
      </c>
      <c r="AY71" s="24"/>
      <c r="AZ71" s="47"/>
      <c r="BA71" s="24"/>
      <c r="BB71" s="24"/>
      <c r="BC71" s="24"/>
      <c r="BD71" s="24"/>
      <c r="BE71" s="24"/>
      <c r="BF71" s="24"/>
      <c r="BG71" s="47"/>
      <c r="BH71" s="24"/>
      <c r="BI71" s="24"/>
      <c r="BJ71" s="24"/>
    </row>
    <row r="72" spans="1:62" ht="31.5" hidden="1" customHeight="1" x14ac:dyDescent="0.25">
      <c r="A72" s="17" t="s">
        <v>16</v>
      </c>
      <c r="B72" s="28" t="s">
        <v>18</v>
      </c>
      <c r="C72" s="18" t="s">
        <v>9</v>
      </c>
      <c r="D72" s="19"/>
      <c r="E72" s="19"/>
      <c r="F72" s="19"/>
      <c r="G72" s="19"/>
      <c r="H72" s="19"/>
      <c r="I72" s="19"/>
      <c r="J72" s="46"/>
      <c r="K72" s="19"/>
      <c r="L72" s="19"/>
      <c r="M72" s="19"/>
      <c r="N72" s="19"/>
      <c r="O72" s="19"/>
      <c r="P72" s="19"/>
      <c r="Q72" s="46"/>
      <c r="R72" s="19"/>
      <c r="S72" s="19"/>
      <c r="T72" s="19"/>
      <c r="U72" s="19"/>
      <c r="V72" s="19"/>
      <c r="W72" s="19"/>
      <c r="X72" s="46"/>
      <c r="Y72" s="19"/>
      <c r="Z72" s="19"/>
      <c r="AA72" s="19"/>
      <c r="AB72" s="19"/>
      <c r="AC72" s="19"/>
      <c r="AD72" s="19"/>
      <c r="AE72" s="46"/>
      <c r="AF72" s="19"/>
      <c r="AG72" s="19"/>
      <c r="AH72" s="19"/>
      <c r="AI72" s="19"/>
      <c r="AJ72" s="19"/>
      <c r="AK72" s="19"/>
      <c r="AL72" s="46"/>
      <c r="AM72" s="19"/>
      <c r="AN72" s="19"/>
      <c r="AO72" s="19"/>
      <c r="AP72" s="19"/>
      <c r="AQ72" s="19"/>
      <c r="AR72" s="19"/>
      <c r="AS72" s="46"/>
      <c r="AT72" s="19"/>
      <c r="AU72" s="19"/>
      <c r="AV72" s="19"/>
      <c r="AW72" s="19"/>
      <c r="AX72" s="19"/>
      <c r="AY72" s="19"/>
      <c r="AZ72" s="46"/>
      <c r="BA72" s="19"/>
      <c r="BB72" s="19"/>
      <c r="BC72" s="19"/>
      <c r="BD72" s="19"/>
      <c r="BE72" s="19"/>
      <c r="BF72" s="19"/>
      <c r="BG72" s="46"/>
      <c r="BH72" s="19"/>
      <c r="BI72" s="19"/>
      <c r="BJ72" s="19"/>
    </row>
    <row r="73" spans="1:62" s="14" customFormat="1" ht="15.75" hidden="1" x14ac:dyDescent="0.25">
      <c r="A73" s="98"/>
      <c r="B73" s="22"/>
      <c r="C73" s="23" t="s">
        <v>2</v>
      </c>
      <c r="D73" s="25"/>
      <c r="E73" s="25"/>
      <c r="F73" s="25"/>
      <c r="G73" s="25"/>
      <c r="H73" s="25"/>
      <c r="I73" s="25"/>
      <c r="J73" s="47"/>
      <c r="K73" s="25"/>
      <c r="L73" s="25"/>
      <c r="M73" s="25"/>
      <c r="N73" s="25"/>
      <c r="O73" s="25"/>
      <c r="P73" s="25"/>
      <c r="Q73" s="47"/>
      <c r="R73" s="25"/>
      <c r="S73" s="25"/>
      <c r="T73" s="25"/>
      <c r="U73" s="25"/>
      <c r="V73" s="25"/>
      <c r="W73" s="25"/>
      <c r="X73" s="47"/>
      <c r="Y73" s="25"/>
      <c r="Z73" s="25"/>
      <c r="AA73" s="25"/>
      <c r="AB73" s="25"/>
      <c r="AC73" s="25"/>
      <c r="AD73" s="25"/>
      <c r="AE73" s="47"/>
      <c r="AF73" s="25"/>
      <c r="AG73" s="25"/>
      <c r="AH73" s="25"/>
      <c r="AI73" s="25"/>
      <c r="AJ73" s="25"/>
      <c r="AK73" s="25"/>
      <c r="AL73" s="47"/>
      <c r="AM73" s="25"/>
      <c r="AN73" s="25"/>
      <c r="AO73" s="25"/>
      <c r="AP73" s="25"/>
      <c r="AQ73" s="25"/>
      <c r="AR73" s="25"/>
      <c r="AS73" s="47"/>
      <c r="AT73" s="25"/>
      <c r="AU73" s="25"/>
      <c r="AV73" s="25"/>
      <c r="AW73" s="25"/>
      <c r="AX73" s="25"/>
      <c r="AY73" s="25"/>
      <c r="AZ73" s="47"/>
      <c r="BA73" s="25"/>
      <c r="BB73" s="25"/>
      <c r="BC73" s="25"/>
      <c r="BD73" s="25"/>
      <c r="BE73" s="25"/>
      <c r="BF73" s="25"/>
      <c r="BG73" s="47"/>
      <c r="BH73" s="25"/>
      <c r="BI73" s="25"/>
      <c r="BJ73" s="25"/>
    </row>
    <row r="74" spans="1:62" s="14" customFormat="1" ht="15.75" hidden="1" x14ac:dyDescent="0.25">
      <c r="A74" s="108"/>
      <c r="B74" s="26"/>
      <c r="C74" s="31" t="s">
        <v>8</v>
      </c>
      <c r="D74" s="24"/>
      <c r="E74" s="24"/>
      <c r="F74" s="24"/>
      <c r="G74" s="24"/>
      <c r="H74" s="24"/>
      <c r="I74" s="24"/>
      <c r="J74" s="48"/>
      <c r="K74" s="24"/>
      <c r="L74" s="24"/>
      <c r="M74" s="24"/>
      <c r="N74" s="24"/>
      <c r="O74" s="24"/>
      <c r="P74" s="24"/>
      <c r="Q74" s="48"/>
      <c r="R74" s="24"/>
      <c r="S74" s="24"/>
      <c r="T74" s="24"/>
      <c r="U74" s="24"/>
      <c r="V74" s="24"/>
      <c r="W74" s="24"/>
      <c r="X74" s="48"/>
      <c r="Y74" s="24"/>
      <c r="Z74" s="24"/>
      <c r="AA74" s="24"/>
      <c r="AB74" s="24"/>
      <c r="AC74" s="24"/>
      <c r="AD74" s="24"/>
      <c r="AE74" s="48"/>
      <c r="AF74" s="24"/>
      <c r="AG74" s="24"/>
      <c r="AH74" s="24"/>
      <c r="AI74" s="24"/>
      <c r="AJ74" s="24"/>
      <c r="AK74" s="24"/>
      <c r="AL74" s="48"/>
      <c r="AM74" s="24"/>
      <c r="AN74" s="24"/>
      <c r="AO74" s="24"/>
      <c r="AP74" s="24"/>
      <c r="AQ74" s="24"/>
      <c r="AR74" s="24"/>
      <c r="AS74" s="48"/>
      <c r="AT74" s="24"/>
      <c r="AU74" s="24"/>
      <c r="AV74" s="24"/>
      <c r="AW74" s="24"/>
      <c r="AX74" s="24"/>
      <c r="AY74" s="24"/>
      <c r="AZ74" s="48"/>
      <c r="BA74" s="24"/>
      <c r="BB74" s="24"/>
      <c r="BC74" s="24"/>
      <c r="BD74" s="24"/>
      <c r="BE74" s="24"/>
      <c r="BF74" s="24"/>
      <c r="BG74" s="48"/>
      <c r="BH74" s="24"/>
      <c r="BI74" s="24"/>
      <c r="BJ74" s="24"/>
    </row>
    <row r="75" spans="1:62" ht="31.5" hidden="1" customHeight="1" x14ac:dyDescent="0.25">
      <c r="A75" s="17" t="s">
        <v>17</v>
      </c>
      <c r="B75" s="28" t="s">
        <v>15</v>
      </c>
      <c r="C75" s="18" t="s">
        <v>9</v>
      </c>
      <c r="D75" s="19"/>
      <c r="E75" s="19"/>
      <c r="F75" s="19"/>
      <c r="G75" s="19"/>
      <c r="H75" s="19"/>
      <c r="I75" s="19"/>
      <c r="J75" s="46"/>
      <c r="K75" s="19"/>
      <c r="L75" s="19"/>
      <c r="M75" s="19"/>
      <c r="N75" s="19"/>
      <c r="O75" s="19"/>
      <c r="P75" s="19"/>
      <c r="Q75" s="46"/>
      <c r="R75" s="19"/>
      <c r="S75" s="19"/>
      <c r="T75" s="19"/>
      <c r="U75" s="19"/>
      <c r="V75" s="19"/>
      <c r="W75" s="19"/>
      <c r="X75" s="46"/>
      <c r="Y75" s="19"/>
      <c r="Z75" s="19"/>
      <c r="AA75" s="19"/>
      <c r="AB75" s="19"/>
      <c r="AC75" s="19"/>
      <c r="AD75" s="19"/>
      <c r="AE75" s="46"/>
      <c r="AF75" s="19"/>
      <c r="AG75" s="19"/>
      <c r="AH75" s="19"/>
      <c r="AI75" s="19"/>
      <c r="AJ75" s="19"/>
      <c r="AK75" s="19"/>
      <c r="AL75" s="46"/>
      <c r="AM75" s="19"/>
      <c r="AN75" s="19"/>
      <c r="AO75" s="19"/>
      <c r="AP75" s="19"/>
      <c r="AQ75" s="19"/>
      <c r="AR75" s="19"/>
      <c r="AS75" s="46"/>
      <c r="AT75" s="19"/>
      <c r="AU75" s="19"/>
      <c r="AV75" s="19"/>
      <c r="AW75" s="19"/>
      <c r="AX75" s="19"/>
      <c r="AY75" s="19"/>
      <c r="AZ75" s="46"/>
      <c r="BA75" s="19"/>
      <c r="BB75" s="19"/>
      <c r="BC75" s="19"/>
      <c r="BD75" s="19"/>
      <c r="BE75" s="19"/>
      <c r="BF75" s="19"/>
      <c r="BG75" s="46"/>
      <c r="BH75" s="19"/>
      <c r="BI75" s="19"/>
      <c r="BJ75" s="19"/>
    </row>
    <row r="76" spans="1:62" s="14" customFormat="1" ht="15.75" hidden="1" x14ac:dyDescent="0.25">
      <c r="A76" s="98"/>
      <c r="B76" s="22"/>
      <c r="C76" s="23" t="s">
        <v>2</v>
      </c>
      <c r="D76" s="25"/>
      <c r="E76" s="25"/>
      <c r="F76" s="25"/>
      <c r="G76" s="25"/>
      <c r="H76" s="25"/>
      <c r="I76" s="25"/>
      <c r="J76" s="47"/>
      <c r="K76" s="25"/>
      <c r="L76" s="25"/>
      <c r="M76" s="25"/>
      <c r="N76" s="25"/>
      <c r="O76" s="25"/>
      <c r="P76" s="25"/>
      <c r="Q76" s="47"/>
      <c r="R76" s="25"/>
      <c r="S76" s="25"/>
      <c r="T76" s="25"/>
      <c r="U76" s="25"/>
      <c r="V76" s="25"/>
      <c r="W76" s="25"/>
      <c r="X76" s="47"/>
      <c r="Y76" s="25"/>
      <c r="Z76" s="25"/>
      <c r="AA76" s="25"/>
      <c r="AB76" s="25"/>
      <c r="AC76" s="25"/>
      <c r="AD76" s="25"/>
      <c r="AE76" s="47"/>
      <c r="AF76" s="25"/>
      <c r="AG76" s="25"/>
      <c r="AH76" s="25"/>
      <c r="AI76" s="25"/>
      <c r="AJ76" s="25"/>
      <c r="AK76" s="25"/>
      <c r="AL76" s="47"/>
      <c r="AM76" s="25"/>
      <c r="AN76" s="25"/>
      <c r="AO76" s="25"/>
      <c r="AP76" s="25"/>
      <c r="AQ76" s="25"/>
      <c r="AR76" s="25"/>
      <c r="AS76" s="47"/>
      <c r="AT76" s="25"/>
      <c r="AU76" s="25"/>
      <c r="AV76" s="25"/>
      <c r="AW76" s="25"/>
      <c r="AX76" s="25"/>
      <c r="AY76" s="25"/>
      <c r="AZ76" s="47"/>
      <c r="BA76" s="25"/>
      <c r="BB76" s="25"/>
      <c r="BC76" s="25"/>
      <c r="BD76" s="25"/>
      <c r="BE76" s="25"/>
      <c r="BF76" s="25"/>
      <c r="BG76" s="47"/>
      <c r="BH76" s="25"/>
      <c r="BI76" s="25"/>
      <c r="BJ76" s="25"/>
    </row>
    <row r="77" spans="1:62" s="14" customFormat="1" ht="15.75" hidden="1" x14ac:dyDescent="0.25">
      <c r="A77" s="108"/>
      <c r="B77" s="26"/>
      <c r="C77" s="31" t="s">
        <v>8</v>
      </c>
      <c r="D77" s="24"/>
      <c r="E77" s="24"/>
      <c r="F77" s="24"/>
      <c r="G77" s="24"/>
      <c r="H77" s="24"/>
      <c r="I77" s="24"/>
      <c r="J77" s="48"/>
      <c r="K77" s="24"/>
      <c r="L77" s="24"/>
      <c r="M77" s="24"/>
      <c r="N77" s="24"/>
      <c r="O77" s="24"/>
      <c r="P77" s="24"/>
      <c r="Q77" s="48"/>
      <c r="R77" s="24"/>
      <c r="S77" s="24"/>
      <c r="T77" s="24"/>
      <c r="U77" s="24"/>
      <c r="V77" s="24"/>
      <c r="W77" s="24"/>
      <c r="X77" s="48"/>
      <c r="Y77" s="24"/>
      <c r="Z77" s="24"/>
      <c r="AA77" s="24"/>
      <c r="AB77" s="24"/>
      <c r="AC77" s="24"/>
      <c r="AD77" s="24"/>
      <c r="AE77" s="48"/>
      <c r="AF77" s="24"/>
      <c r="AG77" s="24"/>
      <c r="AH77" s="24"/>
      <c r="AI77" s="24"/>
      <c r="AJ77" s="24"/>
      <c r="AK77" s="24"/>
      <c r="AL77" s="48"/>
      <c r="AM77" s="24"/>
      <c r="AN77" s="24"/>
      <c r="AO77" s="24"/>
      <c r="AP77" s="24"/>
      <c r="AQ77" s="24"/>
      <c r="AR77" s="24"/>
      <c r="AS77" s="48"/>
      <c r="AT77" s="24"/>
      <c r="AU77" s="24"/>
      <c r="AV77" s="24"/>
      <c r="AW77" s="24"/>
      <c r="AX77" s="24"/>
      <c r="AY77" s="24"/>
      <c r="AZ77" s="48"/>
      <c r="BA77" s="24"/>
      <c r="BB77" s="24"/>
      <c r="BC77" s="24"/>
      <c r="BD77" s="24"/>
      <c r="BE77" s="24"/>
      <c r="BF77" s="24"/>
      <c r="BG77" s="48"/>
      <c r="BH77" s="24"/>
      <c r="BI77" s="24"/>
      <c r="BJ77" s="24"/>
    </row>
    <row r="78" spans="1:62" ht="30.75" hidden="1" customHeight="1" x14ac:dyDescent="0.25">
      <c r="A78" s="17" t="s">
        <v>19</v>
      </c>
      <c r="B78" s="27" t="s">
        <v>22</v>
      </c>
      <c r="C78" s="18" t="s">
        <v>9</v>
      </c>
      <c r="D78" s="19"/>
      <c r="E78" s="19"/>
      <c r="F78" s="19"/>
      <c r="G78" s="19"/>
      <c r="H78" s="19"/>
      <c r="I78" s="19"/>
      <c r="J78" s="46"/>
      <c r="K78" s="19"/>
      <c r="L78" s="19"/>
      <c r="M78" s="19"/>
      <c r="N78" s="19"/>
      <c r="O78" s="19"/>
      <c r="P78" s="19"/>
      <c r="Q78" s="46"/>
      <c r="R78" s="19"/>
      <c r="S78" s="19"/>
      <c r="T78" s="19"/>
      <c r="U78" s="19"/>
      <c r="V78" s="19"/>
      <c r="W78" s="19"/>
      <c r="X78" s="46"/>
      <c r="Y78" s="19"/>
      <c r="Z78" s="19"/>
      <c r="AA78" s="19"/>
      <c r="AB78" s="19"/>
      <c r="AC78" s="19"/>
      <c r="AD78" s="19"/>
      <c r="AE78" s="46"/>
      <c r="AF78" s="19"/>
      <c r="AG78" s="19"/>
      <c r="AH78" s="19"/>
      <c r="AI78" s="19"/>
      <c r="AJ78" s="19"/>
      <c r="AK78" s="19"/>
      <c r="AL78" s="46"/>
      <c r="AM78" s="19"/>
      <c r="AN78" s="19"/>
      <c r="AO78" s="19"/>
      <c r="AP78" s="19"/>
      <c r="AQ78" s="19"/>
      <c r="AR78" s="19"/>
      <c r="AS78" s="46"/>
      <c r="AT78" s="19"/>
      <c r="AU78" s="19"/>
      <c r="AV78" s="19"/>
      <c r="AW78" s="19"/>
      <c r="AX78" s="19"/>
      <c r="AY78" s="19"/>
      <c r="AZ78" s="46"/>
      <c r="BA78" s="19"/>
      <c r="BB78" s="19"/>
      <c r="BC78" s="19"/>
      <c r="BD78" s="19"/>
      <c r="BE78" s="19"/>
      <c r="BF78" s="19"/>
      <c r="BG78" s="46"/>
      <c r="BH78" s="19"/>
      <c r="BI78" s="19"/>
      <c r="BJ78" s="19"/>
    </row>
    <row r="79" spans="1:62" s="14" customFormat="1" ht="15.75" hidden="1" x14ac:dyDescent="0.25">
      <c r="A79" s="98"/>
      <c r="B79" s="22"/>
      <c r="C79" s="23" t="s">
        <v>2</v>
      </c>
      <c r="D79" s="25"/>
      <c r="E79" s="25"/>
      <c r="F79" s="25"/>
      <c r="G79" s="25"/>
      <c r="H79" s="25"/>
      <c r="I79" s="25"/>
      <c r="J79" s="47"/>
      <c r="K79" s="25"/>
      <c r="L79" s="25"/>
      <c r="M79" s="25"/>
      <c r="N79" s="25"/>
      <c r="O79" s="25"/>
      <c r="P79" s="25"/>
      <c r="Q79" s="47"/>
      <c r="R79" s="25"/>
      <c r="S79" s="25"/>
      <c r="T79" s="25"/>
      <c r="U79" s="25"/>
      <c r="V79" s="25"/>
      <c r="W79" s="25"/>
      <c r="X79" s="47"/>
      <c r="Y79" s="25"/>
      <c r="Z79" s="25"/>
      <c r="AA79" s="25"/>
      <c r="AB79" s="25"/>
      <c r="AC79" s="25"/>
      <c r="AD79" s="25"/>
      <c r="AE79" s="47"/>
      <c r="AF79" s="25"/>
      <c r="AG79" s="25"/>
      <c r="AH79" s="25"/>
      <c r="AI79" s="25"/>
      <c r="AJ79" s="25"/>
      <c r="AK79" s="25"/>
      <c r="AL79" s="47"/>
      <c r="AM79" s="25"/>
      <c r="AN79" s="25"/>
      <c r="AO79" s="25"/>
      <c r="AP79" s="25"/>
      <c r="AQ79" s="25"/>
      <c r="AR79" s="25"/>
      <c r="AS79" s="47"/>
      <c r="AT79" s="25"/>
      <c r="AU79" s="25"/>
      <c r="AV79" s="25"/>
      <c r="AW79" s="25"/>
      <c r="AX79" s="25"/>
      <c r="AY79" s="25"/>
      <c r="AZ79" s="47"/>
      <c r="BA79" s="25"/>
      <c r="BB79" s="25"/>
      <c r="BC79" s="25"/>
      <c r="BD79" s="25"/>
      <c r="BE79" s="25"/>
      <c r="BF79" s="25"/>
      <c r="BG79" s="47"/>
      <c r="BH79" s="25"/>
      <c r="BI79" s="25"/>
      <c r="BJ79" s="25"/>
    </row>
    <row r="80" spans="1:62" s="14" customFormat="1" ht="15.75" hidden="1" x14ac:dyDescent="0.25">
      <c r="A80" s="108"/>
      <c r="B80" s="26"/>
      <c r="C80" s="31" t="s">
        <v>8</v>
      </c>
      <c r="D80" s="24"/>
      <c r="E80" s="24"/>
      <c r="F80" s="24"/>
      <c r="G80" s="24"/>
      <c r="H80" s="24"/>
      <c r="I80" s="24"/>
      <c r="J80" s="48"/>
      <c r="K80" s="24"/>
      <c r="L80" s="24"/>
      <c r="M80" s="24"/>
      <c r="N80" s="24"/>
      <c r="O80" s="24"/>
      <c r="P80" s="24"/>
      <c r="Q80" s="48"/>
      <c r="R80" s="24"/>
      <c r="S80" s="24"/>
      <c r="T80" s="24"/>
      <c r="U80" s="24"/>
      <c r="V80" s="24"/>
      <c r="W80" s="24"/>
      <c r="X80" s="48"/>
      <c r="Y80" s="24"/>
      <c r="Z80" s="24"/>
      <c r="AA80" s="24"/>
      <c r="AB80" s="24"/>
      <c r="AC80" s="24"/>
      <c r="AD80" s="24"/>
      <c r="AE80" s="48"/>
      <c r="AF80" s="24"/>
      <c r="AG80" s="24"/>
      <c r="AH80" s="24"/>
      <c r="AI80" s="24"/>
      <c r="AJ80" s="24"/>
      <c r="AK80" s="24"/>
      <c r="AL80" s="48"/>
      <c r="AM80" s="24"/>
      <c r="AN80" s="24"/>
      <c r="AO80" s="24"/>
      <c r="AP80" s="24"/>
      <c r="AQ80" s="24"/>
      <c r="AR80" s="24"/>
      <c r="AS80" s="48"/>
      <c r="AT80" s="24"/>
      <c r="AU80" s="24"/>
      <c r="AV80" s="24"/>
      <c r="AW80" s="24"/>
      <c r="AX80" s="24"/>
      <c r="AY80" s="24"/>
      <c r="AZ80" s="48"/>
      <c r="BA80" s="24"/>
      <c r="BB80" s="24"/>
      <c r="BC80" s="24"/>
      <c r="BD80" s="24"/>
      <c r="BE80" s="24"/>
      <c r="BF80" s="24"/>
      <c r="BG80" s="48"/>
      <c r="BH80" s="24"/>
      <c r="BI80" s="24"/>
      <c r="BJ80" s="24"/>
    </row>
    <row r="81" spans="1:62" ht="30.75" hidden="1" customHeight="1" x14ac:dyDescent="0.25">
      <c r="A81" s="17" t="s">
        <v>21</v>
      </c>
      <c r="B81" s="27" t="s">
        <v>13</v>
      </c>
      <c r="C81" s="18" t="s">
        <v>9</v>
      </c>
      <c r="D81" s="19"/>
      <c r="E81" s="19"/>
      <c r="F81" s="19"/>
      <c r="G81" s="19"/>
      <c r="H81" s="19"/>
      <c r="I81" s="19"/>
      <c r="J81" s="46"/>
      <c r="K81" s="19"/>
      <c r="L81" s="19"/>
      <c r="M81" s="19"/>
      <c r="N81" s="19"/>
      <c r="O81" s="19"/>
      <c r="P81" s="19"/>
      <c r="Q81" s="46"/>
      <c r="R81" s="19"/>
      <c r="S81" s="19"/>
      <c r="T81" s="19"/>
      <c r="U81" s="19"/>
      <c r="V81" s="19"/>
      <c r="W81" s="19"/>
      <c r="X81" s="46"/>
      <c r="Y81" s="19"/>
      <c r="Z81" s="19"/>
      <c r="AA81" s="19"/>
      <c r="AB81" s="19"/>
      <c r="AC81" s="19"/>
      <c r="AD81" s="19"/>
      <c r="AE81" s="46"/>
      <c r="AF81" s="19"/>
      <c r="AG81" s="19"/>
      <c r="AH81" s="19"/>
      <c r="AI81" s="19"/>
      <c r="AJ81" s="19"/>
      <c r="AK81" s="19"/>
      <c r="AL81" s="46"/>
      <c r="AM81" s="19"/>
      <c r="AN81" s="19"/>
      <c r="AO81" s="19"/>
      <c r="AP81" s="19"/>
      <c r="AQ81" s="19"/>
      <c r="AR81" s="19"/>
      <c r="AS81" s="46"/>
      <c r="AT81" s="19"/>
      <c r="AU81" s="19"/>
      <c r="AV81" s="19"/>
      <c r="AW81" s="19"/>
      <c r="AX81" s="19"/>
      <c r="AY81" s="19"/>
      <c r="AZ81" s="46"/>
      <c r="BA81" s="19"/>
      <c r="BB81" s="19"/>
      <c r="BC81" s="19"/>
      <c r="BD81" s="19"/>
      <c r="BE81" s="19"/>
      <c r="BF81" s="19"/>
      <c r="BG81" s="46"/>
      <c r="BH81" s="19"/>
      <c r="BI81" s="19"/>
      <c r="BJ81" s="19"/>
    </row>
    <row r="82" spans="1:62" s="14" customFormat="1" ht="15.75" hidden="1" x14ac:dyDescent="0.25">
      <c r="A82" s="98"/>
      <c r="B82" s="22"/>
      <c r="C82" s="23" t="s">
        <v>2</v>
      </c>
      <c r="D82" s="25"/>
      <c r="E82" s="25"/>
      <c r="F82" s="25"/>
      <c r="G82" s="25"/>
      <c r="H82" s="25"/>
      <c r="I82" s="25"/>
      <c r="J82" s="47"/>
      <c r="K82" s="25"/>
      <c r="L82" s="25"/>
      <c r="M82" s="25"/>
      <c r="N82" s="25"/>
      <c r="O82" s="25"/>
      <c r="P82" s="25"/>
      <c r="Q82" s="47"/>
      <c r="R82" s="25"/>
      <c r="S82" s="25"/>
      <c r="T82" s="25"/>
      <c r="U82" s="25"/>
      <c r="V82" s="25"/>
      <c r="W82" s="25"/>
      <c r="X82" s="47"/>
      <c r="Y82" s="25"/>
      <c r="Z82" s="25"/>
      <c r="AA82" s="25"/>
      <c r="AB82" s="25"/>
      <c r="AC82" s="25"/>
      <c r="AD82" s="25"/>
      <c r="AE82" s="47"/>
      <c r="AF82" s="25"/>
      <c r="AG82" s="25"/>
      <c r="AH82" s="25"/>
      <c r="AI82" s="25"/>
      <c r="AJ82" s="25"/>
      <c r="AK82" s="25"/>
      <c r="AL82" s="47"/>
      <c r="AM82" s="25"/>
      <c r="AN82" s="25"/>
      <c r="AO82" s="25"/>
      <c r="AP82" s="25"/>
      <c r="AQ82" s="25"/>
      <c r="AR82" s="25"/>
      <c r="AS82" s="47"/>
      <c r="AT82" s="25"/>
      <c r="AU82" s="25"/>
      <c r="AV82" s="25"/>
      <c r="AW82" s="25"/>
      <c r="AX82" s="25"/>
      <c r="AY82" s="25"/>
      <c r="AZ82" s="47"/>
      <c r="BA82" s="25"/>
      <c r="BB82" s="25"/>
      <c r="BC82" s="25"/>
      <c r="BD82" s="25"/>
      <c r="BE82" s="25"/>
      <c r="BF82" s="25"/>
      <c r="BG82" s="47"/>
      <c r="BH82" s="25"/>
      <c r="BI82" s="25"/>
      <c r="BJ82" s="25"/>
    </row>
    <row r="83" spans="1:62" s="14" customFormat="1" ht="15.75" hidden="1" x14ac:dyDescent="0.25">
      <c r="A83" s="108"/>
      <c r="B83" s="26"/>
      <c r="C83" s="31" t="s">
        <v>8</v>
      </c>
      <c r="D83" s="24"/>
      <c r="E83" s="24"/>
      <c r="F83" s="24"/>
      <c r="G83" s="24"/>
      <c r="H83" s="24"/>
      <c r="I83" s="24"/>
      <c r="J83" s="48"/>
      <c r="K83" s="24"/>
      <c r="L83" s="24"/>
      <c r="M83" s="24"/>
      <c r="N83" s="24"/>
      <c r="O83" s="24"/>
      <c r="P83" s="24"/>
      <c r="Q83" s="48"/>
      <c r="R83" s="24"/>
      <c r="S83" s="24"/>
      <c r="T83" s="24"/>
      <c r="U83" s="24"/>
      <c r="V83" s="24"/>
      <c r="W83" s="24"/>
      <c r="X83" s="48"/>
      <c r="Y83" s="24"/>
      <c r="Z83" s="24"/>
      <c r="AA83" s="24"/>
      <c r="AB83" s="24"/>
      <c r="AC83" s="24"/>
      <c r="AD83" s="24"/>
      <c r="AE83" s="48"/>
      <c r="AF83" s="24"/>
      <c r="AG83" s="24"/>
      <c r="AH83" s="24"/>
      <c r="AI83" s="24"/>
      <c r="AJ83" s="24"/>
      <c r="AK83" s="24"/>
      <c r="AL83" s="48"/>
      <c r="AM83" s="24"/>
      <c r="AN83" s="24"/>
      <c r="AO83" s="24"/>
      <c r="AP83" s="24"/>
      <c r="AQ83" s="24"/>
      <c r="AR83" s="24"/>
      <c r="AS83" s="48"/>
      <c r="AT83" s="24"/>
      <c r="AU83" s="24"/>
      <c r="AV83" s="24"/>
      <c r="AW83" s="24"/>
      <c r="AX83" s="24"/>
      <c r="AY83" s="24"/>
      <c r="AZ83" s="48"/>
      <c r="BA83" s="24"/>
      <c r="BB83" s="24"/>
      <c r="BC83" s="24"/>
      <c r="BD83" s="24"/>
      <c r="BE83" s="24"/>
      <c r="BF83" s="24"/>
      <c r="BG83" s="48"/>
      <c r="BH83" s="24"/>
      <c r="BI83" s="24"/>
      <c r="BJ83" s="24"/>
    </row>
    <row r="84" spans="1:62" ht="30.75" hidden="1" customHeight="1" x14ac:dyDescent="0.25">
      <c r="A84" s="17" t="s">
        <v>23</v>
      </c>
      <c r="B84" s="27"/>
      <c r="C84" s="18" t="s">
        <v>9</v>
      </c>
      <c r="D84" s="19"/>
      <c r="E84" s="19"/>
      <c r="F84" s="19"/>
      <c r="G84" s="19"/>
      <c r="H84" s="19"/>
      <c r="I84" s="19"/>
      <c r="J84" s="46"/>
      <c r="K84" s="19"/>
      <c r="L84" s="19"/>
      <c r="M84" s="19"/>
      <c r="N84" s="19"/>
      <c r="O84" s="19"/>
      <c r="P84" s="19"/>
      <c r="Q84" s="46"/>
      <c r="R84" s="19"/>
      <c r="S84" s="19"/>
      <c r="T84" s="19"/>
      <c r="U84" s="19"/>
      <c r="V84" s="19"/>
      <c r="W84" s="19"/>
      <c r="X84" s="46"/>
      <c r="Y84" s="19"/>
      <c r="Z84" s="19"/>
      <c r="AA84" s="19"/>
      <c r="AB84" s="19"/>
      <c r="AC84" s="19"/>
      <c r="AD84" s="19"/>
      <c r="AE84" s="46"/>
      <c r="AF84" s="19"/>
      <c r="AG84" s="19"/>
      <c r="AH84" s="19"/>
      <c r="AI84" s="19"/>
      <c r="AJ84" s="19"/>
      <c r="AK84" s="19"/>
      <c r="AL84" s="46"/>
      <c r="AM84" s="19"/>
      <c r="AN84" s="19"/>
      <c r="AO84" s="19"/>
      <c r="AP84" s="19"/>
      <c r="AQ84" s="19"/>
      <c r="AR84" s="19"/>
      <c r="AS84" s="46"/>
      <c r="AT84" s="19"/>
      <c r="AU84" s="19"/>
      <c r="AV84" s="19"/>
      <c r="AW84" s="19"/>
      <c r="AX84" s="19"/>
      <c r="AY84" s="19"/>
      <c r="AZ84" s="46"/>
      <c r="BA84" s="19"/>
      <c r="BB84" s="19"/>
      <c r="BC84" s="19"/>
      <c r="BD84" s="19"/>
      <c r="BE84" s="19"/>
      <c r="BF84" s="19"/>
      <c r="BG84" s="46"/>
      <c r="BH84" s="19"/>
      <c r="BI84" s="19"/>
      <c r="BJ84" s="19"/>
    </row>
    <row r="85" spans="1:62" s="14" customFormat="1" ht="15.75" hidden="1" x14ac:dyDescent="0.25">
      <c r="A85" s="98"/>
      <c r="B85" s="22"/>
      <c r="C85" s="23" t="s">
        <v>2</v>
      </c>
      <c r="D85" s="25"/>
      <c r="E85" s="25"/>
      <c r="F85" s="25"/>
      <c r="G85" s="25"/>
      <c r="H85" s="25"/>
      <c r="I85" s="25"/>
      <c r="J85" s="47"/>
      <c r="K85" s="25"/>
      <c r="L85" s="25"/>
      <c r="M85" s="25"/>
      <c r="N85" s="25"/>
      <c r="O85" s="25"/>
      <c r="P85" s="25"/>
      <c r="Q85" s="47"/>
      <c r="R85" s="25"/>
      <c r="S85" s="25"/>
      <c r="T85" s="25"/>
      <c r="U85" s="25"/>
      <c r="V85" s="25"/>
      <c r="W85" s="25"/>
      <c r="X85" s="47"/>
      <c r="Y85" s="25"/>
      <c r="Z85" s="25"/>
      <c r="AA85" s="25"/>
      <c r="AB85" s="25"/>
      <c r="AC85" s="25"/>
      <c r="AD85" s="25"/>
      <c r="AE85" s="47"/>
      <c r="AF85" s="25"/>
      <c r="AG85" s="25"/>
      <c r="AH85" s="25"/>
      <c r="AI85" s="25"/>
      <c r="AJ85" s="25"/>
      <c r="AK85" s="25"/>
      <c r="AL85" s="47"/>
      <c r="AM85" s="25"/>
      <c r="AN85" s="25"/>
      <c r="AO85" s="25"/>
      <c r="AP85" s="25"/>
      <c r="AQ85" s="25"/>
      <c r="AR85" s="25"/>
      <c r="AS85" s="47"/>
      <c r="AT85" s="25"/>
      <c r="AU85" s="25"/>
      <c r="AV85" s="25"/>
      <c r="AW85" s="25"/>
      <c r="AX85" s="25"/>
      <c r="AY85" s="25"/>
      <c r="AZ85" s="47"/>
      <c r="BA85" s="25"/>
      <c r="BB85" s="25"/>
      <c r="BC85" s="25"/>
      <c r="BD85" s="25"/>
      <c r="BE85" s="25"/>
      <c r="BF85" s="25"/>
      <c r="BG85" s="47"/>
      <c r="BH85" s="25"/>
      <c r="BI85" s="25"/>
      <c r="BJ85" s="25"/>
    </row>
    <row r="86" spans="1:62" s="14" customFormat="1" ht="15.75" hidden="1" x14ac:dyDescent="0.25">
      <c r="A86" s="108"/>
      <c r="B86" s="26"/>
      <c r="C86" s="31" t="s">
        <v>8</v>
      </c>
      <c r="D86" s="24"/>
      <c r="E86" s="24"/>
      <c r="F86" s="24"/>
      <c r="G86" s="24"/>
      <c r="H86" s="24"/>
      <c r="I86" s="24"/>
      <c r="J86" s="48"/>
      <c r="K86" s="24"/>
      <c r="L86" s="24"/>
      <c r="M86" s="24"/>
      <c r="N86" s="24"/>
      <c r="O86" s="24"/>
      <c r="P86" s="24"/>
      <c r="Q86" s="48"/>
      <c r="R86" s="24"/>
      <c r="S86" s="24"/>
      <c r="T86" s="24"/>
      <c r="U86" s="24"/>
      <c r="V86" s="24"/>
      <c r="W86" s="24"/>
      <c r="X86" s="48"/>
      <c r="Y86" s="24"/>
      <c r="Z86" s="24"/>
      <c r="AA86" s="24"/>
      <c r="AB86" s="24"/>
      <c r="AC86" s="24"/>
      <c r="AD86" s="24"/>
      <c r="AE86" s="48"/>
      <c r="AF86" s="24"/>
      <c r="AG86" s="24"/>
      <c r="AH86" s="24"/>
      <c r="AI86" s="24"/>
      <c r="AJ86" s="24"/>
      <c r="AK86" s="24"/>
      <c r="AL86" s="48"/>
      <c r="AM86" s="24"/>
      <c r="AN86" s="24"/>
      <c r="AO86" s="24"/>
      <c r="AP86" s="24"/>
      <c r="AQ86" s="24"/>
      <c r="AR86" s="24"/>
      <c r="AS86" s="48"/>
      <c r="AT86" s="24"/>
      <c r="AU86" s="24"/>
      <c r="AV86" s="24"/>
      <c r="AW86" s="24"/>
      <c r="AX86" s="24"/>
      <c r="AY86" s="24"/>
      <c r="AZ86" s="48"/>
      <c r="BA86" s="24"/>
      <c r="BB86" s="24"/>
      <c r="BC86" s="24"/>
      <c r="BD86" s="24"/>
      <c r="BE86" s="24"/>
      <c r="BF86" s="24"/>
      <c r="BG86" s="48"/>
      <c r="BH86" s="24"/>
      <c r="BI86" s="24"/>
      <c r="BJ86" s="24"/>
    </row>
    <row r="87" spans="1:62" ht="30.75" hidden="1" customHeight="1" x14ac:dyDescent="0.25">
      <c r="A87" s="17" t="s">
        <v>20</v>
      </c>
      <c r="B87" s="27" t="s">
        <v>13</v>
      </c>
      <c r="C87" s="18" t="s">
        <v>9</v>
      </c>
      <c r="D87" s="19"/>
      <c r="E87" s="19"/>
      <c r="F87" s="19"/>
      <c r="G87" s="19"/>
      <c r="H87" s="19"/>
      <c r="I87" s="19"/>
      <c r="J87" s="46"/>
      <c r="K87" s="19"/>
      <c r="L87" s="19"/>
      <c r="M87" s="19"/>
      <c r="N87" s="19"/>
      <c r="O87" s="19"/>
      <c r="P87" s="19"/>
      <c r="Q87" s="46"/>
      <c r="R87" s="19"/>
      <c r="S87" s="19"/>
      <c r="T87" s="19"/>
      <c r="U87" s="19"/>
      <c r="V87" s="19"/>
      <c r="W87" s="19"/>
      <c r="X87" s="46"/>
      <c r="Y87" s="19"/>
      <c r="Z87" s="19"/>
      <c r="AA87" s="19"/>
      <c r="AB87" s="19"/>
      <c r="AC87" s="19"/>
      <c r="AD87" s="19"/>
      <c r="AE87" s="46"/>
      <c r="AF87" s="19"/>
      <c r="AG87" s="19"/>
      <c r="AH87" s="19"/>
      <c r="AI87" s="19"/>
      <c r="AJ87" s="19"/>
      <c r="AK87" s="19"/>
      <c r="AL87" s="46"/>
      <c r="AM87" s="19"/>
      <c r="AN87" s="19"/>
      <c r="AO87" s="19"/>
      <c r="AP87" s="19"/>
      <c r="AQ87" s="19"/>
      <c r="AR87" s="19"/>
      <c r="AS87" s="46"/>
      <c r="AT87" s="19"/>
      <c r="AU87" s="19"/>
      <c r="AV87" s="19"/>
      <c r="AW87" s="19"/>
      <c r="AX87" s="19"/>
      <c r="AY87" s="19"/>
      <c r="AZ87" s="46"/>
      <c r="BA87" s="19"/>
      <c r="BB87" s="19"/>
      <c r="BC87" s="19"/>
      <c r="BD87" s="19"/>
      <c r="BE87" s="19"/>
      <c r="BF87" s="19"/>
      <c r="BG87" s="46"/>
      <c r="BH87" s="19"/>
      <c r="BI87" s="19"/>
      <c r="BJ87" s="19"/>
    </row>
    <row r="88" spans="1:62" s="14" customFormat="1" ht="15.75" hidden="1" x14ac:dyDescent="0.25">
      <c r="A88" s="98"/>
      <c r="B88" s="22"/>
      <c r="C88" s="23" t="s">
        <v>2</v>
      </c>
      <c r="D88" s="25"/>
      <c r="E88" s="25"/>
      <c r="F88" s="25"/>
      <c r="G88" s="25"/>
      <c r="H88" s="25"/>
      <c r="I88" s="25"/>
      <c r="J88" s="47"/>
      <c r="K88" s="25"/>
      <c r="L88" s="25"/>
      <c r="M88" s="25"/>
      <c r="N88" s="25"/>
      <c r="O88" s="25"/>
      <c r="P88" s="25"/>
      <c r="Q88" s="47"/>
      <c r="R88" s="25"/>
      <c r="S88" s="25"/>
      <c r="T88" s="25"/>
      <c r="U88" s="25"/>
      <c r="V88" s="25"/>
      <c r="W88" s="25"/>
      <c r="X88" s="47"/>
      <c r="Y88" s="25"/>
      <c r="Z88" s="25"/>
      <c r="AA88" s="25"/>
      <c r="AB88" s="25"/>
      <c r="AC88" s="25"/>
      <c r="AD88" s="25"/>
      <c r="AE88" s="47"/>
      <c r="AF88" s="25"/>
      <c r="AG88" s="25"/>
      <c r="AH88" s="25"/>
      <c r="AI88" s="25"/>
      <c r="AJ88" s="25"/>
      <c r="AK88" s="25"/>
      <c r="AL88" s="47"/>
      <c r="AM88" s="25"/>
      <c r="AN88" s="25"/>
      <c r="AO88" s="25"/>
      <c r="AP88" s="25"/>
      <c r="AQ88" s="25"/>
      <c r="AR88" s="25"/>
      <c r="AS88" s="47"/>
      <c r="AT88" s="25"/>
      <c r="AU88" s="25"/>
      <c r="AV88" s="25"/>
      <c r="AW88" s="25"/>
      <c r="AX88" s="25"/>
      <c r="AY88" s="25"/>
      <c r="AZ88" s="47"/>
      <c r="BA88" s="25"/>
      <c r="BB88" s="25"/>
      <c r="BC88" s="25"/>
      <c r="BD88" s="25"/>
      <c r="BE88" s="25"/>
      <c r="BF88" s="25"/>
      <c r="BG88" s="47"/>
      <c r="BH88" s="25"/>
      <c r="BI88" s="25"/>
      <c r="BJ88" s="25"/>
    </row>
    <row r="89" spans="1:62" s="14" customFormat="1" ht="15.75" hidden="1" x14ac:dyDescent="0.25">
      <c r="A89" s="108"/>
      <c r="B89" s="26"/>
      <c r="C89" s="31" t="s">
        <v>8</v>
      </c>
      <c r="D89" s="24"/>
      <c r="E89" s="24"/>
      <c r="F89" s="24"/>
      <c r="G89" s="24"/>
      <c r="H89" s="24"/>
      <c r="I89" s="24"/>
      <c r="J89" s="48"/>
      <c r="K89" s="24"/>
      <c r="L89" s="24"/>
      <c r="M89" s="24"/>
      <c r="N89" s="24"/>
      <c r="O89" s="24"/>
      <c r="P89" s="24"/>
      <c r="Q89" s="48"/>
      <c r="R89" s="24"/>
      <c r="S89" s="24"/>
      <c r="T89" s="24"/>
      <c r="U89" s="24"/>
      <c r="V89" s="24"/>
      <c r="W89" s="24"/>
      <c r="X89" s="48"/>
      <c r="Y89" s="24"/>
      <c r="Z89" s="24"/>
      <c r="AA89" s="24"/>
      <c r="AB89" s="24"/>
      <c r="AC89" s="24"/>
      <c r="AD89" s="24"/>
      <c r="AE89" s="48"/>
      <c r="AF89" s="24"/>
      <c r="AG89" s="24"/>
      <c r="AH89" s="24"/>
      <c r="AI89" s="24"/>
      <c r="AJ89" s="24"/>
      <c r="AK89" s="24"/>
      <c r="AL89" s="48"/>
      <c r="AM89" s="24"/>
      <c r="AN89" s="24"/>
      <c r="AO89" s="24"/>
      <c r="AP89" s="24"/>
      <c r="AQ89" s="24"/>
      <c r="AR89" s="24"/>
      <c r="AS89" s="48"/>
      <c r="AT89" s="24"/>
      <c r="AU89" s="24"/>
      <c r="AV89" s="24"/>
      <c r="AW89" s="24"/>
      <c r="AX89" s="24"/>
      <c r="AY89" s="24"/>
      <c r="AZ89" s="48"/>
      <c r="BA89" s="24"/>
      <c r="BB89" s="24"/>
      <c r="BC89" s="24"/>
      <c r="BD89" s="24"/>
      <c r="BE89" s="24"/>
      <c r="BF89" s="24"/>
      <c r="BG89" s="48"/>
      <c r="BH89" s="24"/>
      <c r="BI89" s="24"/>
      <c r="BJ89" s="24"/>
    </row>
    <row r="90" spans="1:62" s="33" customFormat="1" ht="15.75" x14ac:dyDescent="0.25">
      <c r="A90" s="71" t="s">
        <v>12</v>
      </c>
      <c r="B90" s="72"/>
      <c r="C90" s="45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52"/>
      <c r="BH90" s="32"/>
      <c r="BI90" s="32"/>
      <c r="BJ90" s="32"/>
    </row>
    <row r="91" spans="1:62" ht="31.5" customHeight="1" x14ac:dyDescent="0.25">
      <c r="A91" s="57" t="s">
        <v>93</v>
      </c>
      <c r="B91" s="68" t="s">
        <v>67</v>
      </c>
      <c r="C91" s="18" t="s">
        <v>9</v>
      </c>
      <c r="D91" s="19"/>
      <c r="E91" s="19"/>
      <c r="F91" s="68" t="s">
        <v>130</v>
      </c>
      <c r="G91" s="19" t="s">
        <v>131</v>
      </c>
      <c r="H91" s="19"/>
      <c r="I91" s="19"/>
      <c r="J91" s="46"/>
      <c r="K91" s="67" t="s">
        <v>95</v>
      </c>
      <c r="L91" s="3" t="s">
        <v>117</v>
      </c>
      <c r="M91" s="19"/>
      <c r="N91" s="19"/>
      <c r="O91" s="19"/>
      <c r="P91" s="19"/>
      <c r="Q91" s="46"/>
      <c r="R91" s="19"/>
      <c r="S91" s="19"/>
      <c r="T91" s="19"/>
      <c r="U91" s="19"/>
      <c r="V91" s="19"/>
      <c r="W91" s="19"/>
      <c r="X91" s="46"/>
      <c r="Y91" s="19"/>
      <c r="Z91" s="19"/>
      <c r="AA91" s="19"/>
      <c r="AB91" s="19"/>
      <c r="AC91" s="79" t="s">
        <v>47</v>
      </c>
      <c r="AD91" s="19"/>
      <c r="AE91" s="46"/>
      <c r="AF91" s="19"/>
      <c r="AG91" s="19"/>
      <c r="AH91" s="19"/>
      <c r="AI91" s="19"/>
      <c r="AJ91" s="19"/>
      <c r="AK91" s="19"/>
      <c r="AL91" s="46"/>
      <c r="AM91" s="61" t="s">
        <v>32</v>
      </c>
      <c r="AN91" s="19"/>
      <c r="AO91" s="19"/>
      <c r="AP91" s="19"/>
      <c r="AQ91" s="19"/>
      <c r="AR91" s="19"/>
      <c r="AS91" s="46"/>
      <c r="AT91" s="19"/>
      <c r="AU91" s="19"/>
      <c r="AV91" s="59" t="s">
        <v>147</v>
      </c>
      <c r="AW91" s="19"/>
      <c r="AX91" s="19"/>
      <c r="AY91" s="19"/>
      <c r="AZ91" s="46"/>
      <c r="BA91" s="19"/>
      <c r="BB91" s="19"/>
      <c r="BC91" s="19"/>
      <c r="BD91" s="19"/>
      <c r="BE91" s="19"/>
      <c r="BF91" s="19"/>
      <c r="BG91" s="46"/>
      <c r="BH91" s="19"/>
      <c r="BI91" s="19"/>
      <c r="BJ91" s="19"/>
    </row>
    <row r="92" spans="1:62" s="14" customFormat="1" ht="15.75" x14ac:dyDescent="0.25">
      <c r="A92" s="98"/>
      <c r="B92" s="100"/>
      <c r="C92" s="23" t="s">
        <v>2</v>
      </c>
      <c r="D92" s="25">
        <v>700</v>
      </c>
      <c r="E92" s="25">
        <v>700</v>
      </c>
      <c r="F92" s="25">
        <v>0</v>
      </c>
      <c r="G92" s="25">
        <v>228</v>
      </c>
      <c r="H92" s="25">
        <v>411</v>
      </c>
      <c r="I92" s="25">
        <v>457</v>
      </c>
      <c r="J92" s="47"/>
      <c r="K92" s="25">
        <v>0</v>
      </c>
      <c r="L92" s="25">
        <f>600*L93/34.41*0.87</f>
        <v>1031.5605928509156</v>
      </c>
      <c r="M92" s="25">
        <f t="shared" ref="M92:AB92" si="254">600*M93/34.41*0.87</f>
        <v>1031.5605928509156</v>
      </c>
      <c r="N92" s="25">
        <f t="shared" si="254"/>
        <v>1031.5605928509156</v>
      </c>
      <c r="O92" s="25">
        <f t="shared" si="254"/>
        <v>1031.5605928509156</v>
      </c>
      <c r="P92" s="25">
        <f t="shared" si="254"/>
        <v>1031.5605928509156</v>
      </c>
      <c r="Q92" s="47"/>
      <c r="R92" s="25">
        <f t="shared" si="254"/>
        <v>1031.5605928509156</v>
      </c>
      <c r="S92" s="25">
        <f t="shared" si="254"/>
        <v>1031.5605928509156</v>
      </c>
      <c r="T92" s="25">
        <f t="shared" si="254"/>
        <v>1031.5605928509156</v>
      </c>
      <c r="U92" s="25">
        <f t="shared" si="254"/>
        <v>1031.5605928509156</v>
      </c>
      <c r="V92" s="25">
        <f t="shared" si="254"/>
        <v>1031.5605928509156</v>
      </c>
      <c r="W92" s="25">
        <f t="shared" si="254"/>
        <v>1031.5605928509156</v>
      </c>
      <c r="X92" s="47"/>
      <c r="Y92" s="25">
        <f t="shared" si="254"/>
        <v>1031.5605928509156</v>
      </c>
      <c r="Z92" s="25">
        <f t="shared" si="254"/>
        <v>1031.5605928509156</v>
      </c>
      <c r="AA92" s="25">
        <f t="shared" si="254"/>
        <v>1031.5605928509156</v>
      </c>
      <c r="AB92" s="25">
        <f t="shared" si="254"/>
        <v>1031.5605928509156</v>
      </c>
      <c r="AC92" s="25"/>
      <c r="AD92" s="25">
        <f>600*AD93/44.19*0.87</f>
        <v>803.25865580448067</v>
      </c>
      <c r="AE92" s="47"/>
      <c r="AF92" s="25">
        <f t="shared" ref="AF92:AK92" si="255">600*AF93/44.19*0.87</f>
        <v>803.25865580448067</v>
      </c>
      <c r="AG92" s="25">
        <f t="shared" si="255"/>
        <v>803.25865580448067</v>
      </c>
      <c r="AH92" s="25">
        <f t="shared" si="255"/>
        <v>803.25865580448067</v>
      </c>
      <c r="AI92" s="25">
        <f t="shared" si="255"/>
        <v>803.25865580448067</v>
      </c>
      <c r="AJ92" s="25">
        <f t="shared" si="255"/>
        <v>803.25865580448067</v>
      </c>
      <c r="AK92" s="25">
        <f t="shared" si="255"/>
        <v>803.25865580448067</v>
      </c>
      <c r="AL92" s="47"/>
      <c r="AM92" s="86">
        <v>0</v>
      </c>
      <c r="AN92" s="86">
        <f t="shared" ref="AN92:AU92" si="256">600*AN93/59.71*0.91</f>
        <v>1188.7456037514655</v>
      </c>
      <c r="AO92" s="86">
        <f t="shared" si="256"/>
        <v>1188.7456037514655</v>
      </c>
      <c r="AP92" s="86">
        <f t="shared" si="256"/>
        <v>1188.7456037514655</v>
      </c>
      <c r="AQ92" s="86">
        <f t="shared" si="256"/>
        <v>1188.7456037514655</v>
      </c>
      <c r="AR92" s="86">
        <f t="shared" si="256"/>
        <v>1188.7456037514655</v>
      </c>
      <c r="AS92" s="47"/>
      <c r="AT92" s="86">
        <f t="shared" si="256"/>
        <v>1188.7456037514655</v>
      </c>
      <c r="AU92" s="86">
        <f t="shared" si="256"/>
        <v>1188.7456037514655</v>
      </c>
      <c r="AV92" s="25"/>
      <c r="AW92" s="25"/>
      <c r="AX92" s="25"/>
      <c r="AY92" s="25"/>
      <c r="AZ92" s="47"/>
      <c r="BA92" s="25"/>
      <c r="BB92" s="25"/>
      <c r="BC92" s="25"/>
      <c r="BD92" s="25"/>
      <c r="BE92" s="25"/>
      <c r="BF92" s="25"/>
      <c r="BG92" s="47"/>
      <c r="BH92" s="25"/>
      <c r="BI92" s="25"/>
      <c r="BJ92" s="25"/>
    </row>
    <row r="93" spans="1:62" s="14" customFormat="1" ht="15.75" x14ac:dyDescent="0.25">
      <c r="A93" s="99"/>
      <c r="B93" s="101"/>
      <c r="C93" s="23" t="s">
        <v>8</v>
      </c>
      <c r="D93" s="24">
        <f t="shared" ref="D93:E93" si="257">134/2</f>
        <v>67</v>
      </c>
      <c r="E93" s="24">
        <f t="shared" si="257"/>
        <v>67</v>
      </c>
      <c r="F93" s="24">
        <v>68</v>
      </c>
      <c r="G93" s="24">
        <v>68</v>
      </c>
      <c r="H93" s="24">
        <v>68</v>
      </c>
      <c r="I93" s="24">
        <v>68</v>
      </c>
      <c r="J93" s="48"/>
      <c r="K93" s="24">
        <v>68</v>
      </c>
      <c r="L93" s="24">
        <v>68</v>
      </c>
      <c r="M93" s="24">
        <v>68</v>
      </c>
      <c r="N93" s="24">
        <v>68</v>
      </c>
      <c r="O93" s="24">
        <v>68</v>
      </c>
      <c r="P93" s="24">
        <v>68</v>
      </c>
      <c r="Q93" s="48"/>
      <c r="R93" s="24">
        <v>68</v>
      </c>
      <c r="S93" s="24">
        <v>68</v>
      </c>
      <c r="T93" s="24">
        <v>68</v>
      </c>
      <c r="U93" s="24">
        <v>68</v>
      </c>
      <c r="V93" s="24">
        <v>68</v>
      </c>
      <c r="W93" s="24">
        <v>68</v>
      </c>
      <c r="X93" s="48"/>
      <c r="Y93" s="24">
        <v>68</v>
      </c>
      <c r="Z93" s="24">
        <v>68</v>
      </c>
      <c r="AA93" s="24">
        <v>68</v>
      </c>
      <c r="AB93" s="24">
        <v>68</v>
      </c>
      <c r="AC93" s="24">
        <v>68</v>
      </c>
      <c r="AD93" s="24">
        <v>68</v>
      </c>
      <c r="AE93" s="48"/>
      <c r="AF93" s="24">
        <v>68</v>
      </c>
      <c r="AG93" s="24">
        <v>68</v>
      </c>
      <c r="AH93" s="24">
        <v>68</v>
      </c>
      <c r="AI93" s="24">
        <v>68</v>
      </c>
      <c r="AJ93" s="24">
        <v>68</v>
      </c>
      <c r="AK93" s="24">
        <v>68</v>
      </c>
      <c r="AL93" s="48"/>
      <c r="AM93" s="24">
        <f>68+62</f>
        <v>130</v>
      </c>
      <c r="AN93" s="24">
        <f t="shared" ref="AN93:AR93" si="258">68+62</f>
        <v>130</v>
      </c>
      <c r="AO93" s="24">
        <f t="shared" si="258"/>
        <v>130</v>
      </c>
      <c r="AP93" s="24">
        <f t="shared" si="258"/>
        <v>130</v>
      </c>
      <c r="AQ93" s="24">
        <f t="shared" si="258"/>
        <v>130</v>
      </c>
      <c r="AR93" s="24">
        <f t="shared" si="258"/>
        <v>130</v>
      </c>
      <c r="AS93" s="48"/>
      <c r="AT93" s="24">
        <f>68+62</f>
        <v>130</v>
      </c>
      <c r="AU93" s="24">
        <f>68+62</f>
        <v>130</v>
      </c>
      <c r="AV93" s="24">
        <f t="shared" ref="AV93:AY93" si="259">68+62</f>
        <v>130</v>
      </c>
      <c r="AW93" s="24">
        <f t="shared" si="259"/>
        <v>130</v>
      </c>
      <c r="AX93" s="24">
        <f t="shared" si="259"/>
        <v>130</v>
      </c>
      <c r="AY93" s="24">
        <f t="shared" si="259"/>
        <v>130</v>
      </c>
      <c r="AZ93" s="48"/>
      <c r="BA93" s="24"/>
      <c r="BB93" s="24"/>
      <c r="BC93" s="24"/>
      <c r="BD93" s="24"/>
      <c r="BE93" s="24"/>
      <c r="BF93" s="24"/>
      <c r="BG93" s="48"/>
      <c r="BH93" s="24"/>
      <c r="BI93" s="24"/>
      <c r="BJ93" s="24"/>
    </row>
    <row r="94" spans="1:62" s="14" customFormat="1" ht="30.75" customHeight="1" x14ac:dyDescent="0.25">
      <c r="A94" s="57" t="s">
        <v>96</v>
      </c>
      <c r="B94" s="68" t="s">
        <v>102</v>
      </c>
      <c r="C94" s="18" t="s">
        <v>9</v>
      </c>
      <c r="D94" s="29"/>
      <c r="E94" s="29"/>
      <c r="F94" s="29"/>
      <c r="G94" s="29"/>
      <c r="H94" s="29"/>
      <c r="I94" s="29"/>
      <c r="J94" s="49"/>
      <c r="K94" s="29"/>
      <c r="L94" s="29"/>
      <c r="M94" s="29"/>
      <c r="N94" s="29"/>
      <c r="O94" s="29"/>
      <c r="P94" s="29"/>
      <c r="Q94" s="49"/>
      <c r="R94" s="29"/>
      <c r="S94" s="29"/>
      <c r="T94" s="29"/>
      <c r="U94" s="29"/>
      <c r="V94" s="29"/>
      <c r="W94" s="29"/>
      <c r="X94" s="49"/>
      <c r="Y94" s="29"/>
      <c r="Z94" s="68" t="s">
        <v>92</v>
      </c>
      <c r="AA94" s="29" t="s">
        <v>160</v>
      </c>
      <c r="AB94" s="29"/>
      <c r="AC94" s="29"/>
      <c r="AD94" s="29"/>
      <c r="AE94" s="49"/>
      <c r="AF94" s="29"/>
      <c r="AG94" s="29"/>
      <c r="AH94" s="29"/>
      <c r="AI94" s="68" t="s">
        <v>88</v>
      </c>
      <c r="AJ94" s="29" t="s">
        <v>161</v>
      </c>
      <c r="AK94" s="29"/>
      <c r="AL94" s="49"/>
      <c r="AM94" s="29"/>
      <c r="AN94" s="29"/>
      <c r="AO94" s="29"/>
      <c r="AP94" s="29"/>
      <c r="AQ94" s="68" t="s">
        <v>92</v>
      </c>
      <c r="AR94" s="29" t="s">
        <v>162</v>
      </c>
      <c r="AS94" s="49"/>
      <c r="AT94" s="29"/>
      <c r="AU94" s="29"/>
      <c r="AV94" s="29"/>
      <c r="AW94" s="29"/>
      <c r="AX94" s="29"/>
      <c r="AY94" s="29"/>
      <c r="AZ94" s="49"/>
      <c r="BA94" s="29"/>
      <c r="BB94" s="29"/>
      <c r="BC94" s="29"/>
      <c r="BD94" s="29"/>
      <c r="BE94" s="29"/>
      <c r="BF94" s="68" t="s">
        <v>102</v>
      </c>
      <c r="BG94" s="49"/>
      <c r="BH94" s="29" t="s">
        <v>163</v>
      </c>
      <c r="BI94" s="29"/>
      <c r="BJ94" s="29"/>
    </row>
    <row r="95" spans="1:62" ht="15.75" x14ac:dyDescent="0.25">
      <c r="A95" s="98"/>
      <c r="B95" s="22"/>
      <c r="C95" s="23" t="s">
        <v>2</v>
      </c>
      <c r="D95" s="25">
        <v>1322.546218487395</v>
      </c>
      <c r="E95" s="25">
        <v>1322.546218487395</v>
      </c>
      <c r="F95" s="25">
        <v>1322.546218487395</v>
      </c>
      <c r="G95" s="25">
        <v>1322.546218487395</v>
      </c>
      <c r="H95" s="25">
        <v>1322.546218487395</v>
      </c>
      <c r="I95" s="25">
        <v>1322.546218487395</v>
      </c>
      <c r="J95" s="46"/>
      <c r="K95" s="25">
        <v>1322.546218487395</v>
      </c>
      <c r="L95" s="25">
        <v>1322.546218487395</v>
      </c>
      <c r="M95" s="25">
        <v>1322.546218487395</v>
      </c>
      <c r="N95" s="25">
        <v>1322.546218487395</v>
      </c>
      <c r="O95" s="25">
        <v>1322.546218487395</v>
      </c>
      <c r="P95" s="25">
        <v>1322.546218487395</v>
      </c>
      <c r="Q95" s="46"/>
      <c r="R95" s="25">
        <v>1322.546218487395</v>
      </c>
      <c r="S95" s="25">
        <v>1322.546218487395</v>
      </c>
      <c r="T95" s="25">
        <v>1322.546218487395</v>
      </c>
      <c r="U95" s="25">
        <v>1322.546218487395</v>
      </c>
      <c r="V95" s="25">
        <v>1322.546218487395</v>
      </c>
      <c r="W95" s="25">
        <v>1322.546218487395</v>
      </c>
      <c r="X95" s="46"/>
      <c r="Y95" s="25">
        <v>1322.546218487395</v>
      </c>
      <c r="Z95" s="25">
        <v>0</v>
      </c>
      <c r="AA95" s="25">
        <v>362.5</v>
      </c>
      <c r="AB95" s="25">
        <v>725</v>
      </c>
      <c r="AC95" s="25">
        <v>870</v>
      </c>
      <c r="AD95" s="25">
        <v>1160</v>
      </c>
      <c r="AE95" s="46"/>
      <c r="AF95" s="25">
        <v>1160</v>
      </c>
      <c r="AG95" s="25">
        <v>1160</v>
      </c>
      <c r="AH95" s="25">
        <v>1160</v>
      </c>
      <c r="AI95" s="25">
        <v>0</v>
      </c>
      <c r="AJ95" s="25">
        <v>362.5</v>
      </c>
      <c r="AK95" s="25">
        <v>435</v>
      </c>
      <c r="AL95" s="46"/>
      <c r="AM95" s="25">
        <v>725</v>
      </c>
      <c r="AN95" s="25">
        <v>725</v>
      </c>
      <c r="AO95" s="25">
        <v>870</v>
      </c>
      <c r="AP95" s="25">
        <v>870</v>
      </c>
      <c r="AQ95" s="25">
        <v>0</v>
      </c>
      <c r="AR95" s="25">
        <v>362.5</v>
      </c>
      <c r="AS95" s="46"/>
      <c r="AT95" s="25">
        <v>362.5</v>
      </c>
      <c r="AU95" s="25">
        <v>1232.5</v>
      </c>
      <c r="AV95" s="25">
        <v>1232.5</v>
      </c>
      <c r="AW95" s="25">
        <v>1232.5</v>
      </c>
      <c r="AX95" s="25">
        <v>1232.5</v>
      </c>
      <c r="AY95" s="25">
        <v>1232.5</v>
      </c>
      <c r="AZ95" s="46"/>
      <c r="BA95" s="25">
        <v>1232.5</v>
      </c>
      <c r="BB95" s="25">
        <v>1232.5</v>
      </c>
      <c r="BC95" s="25">
        <v>1232.5</v>
      </c>
      <c r="BD95" s="25">
        <v>1232.5</v>
      </c>
      <c r="BE95" s="25">
        <v>1232.5</v>
      </c>
      <c r="BF95" s="25">
        <v>0</v>
      </c>
      <c r="BG95" s="46"/>
      <c r="BH95" s="25">
        <v>383.8235294117647</v>
      </c>
      <c r="BI95" s="25">
        <v>767.64705882352939</v>
      </c>
      <c r="BJ95" s="25">
        <v>921.17647058823525</v>
      </c>
    </row>
    <row r="96" spans="1:62" s="14" customFormat="1" ht="15.75" x14ac:dyDescent="0.25">
      <c r="A96" s="99"/>
      <c r="B96" s="26"/>
      <c r="C96" s="23" t="s">
        <v>8</v>
      </c>
      <c r="D96" s="24">
        <v>67</v>
      </c>
      <c r="E96" s="24">
        <v>67</v>
      </c>
      <c r="F96" s="24">
        <v>67</v>
      </c>
      <c r="G96" s="24">
        <v>67</v>
      </c>
      <c r="H96" s="24">
        <v>67</v>
      </c>
      <c r="I96" s="24">
        <v>67</v>
      </c>
      <c r="J96" s="48"/>
      <c r="K96" s="24">
        <v>69</v>
      </c>
      <c r="L96" s="24">
        <v>69</v>
      </c>
      <c r="M96" s="24">
        <v>69</v>
      </c>
      <c r="N96" s="24">
        <v>69</v>
      </c>
      <c r="O96" s="24">
        <v>69</v>
      </c>
      <c r="P96" s="24">
        <v>69</v>
      </c>
      <c r="Q96" s="48"/>
      <c r="R96" s="24">
        <v>69</v>
      </c>
      <c r="S96" s="24">
        <v>69</v>
      </c>
      <c r="T96" s="24">
        <v>69</v>
      </c>
      <c r="U96" s="24">
        <v>69</v>
      </c>
      <c r="V96" s="24">
        <v>69</v>
      </c>
      <c r="W96" s="24">
        <v>69</v>
      </c>
      <c r="X96" s="48"/>
      <c r="Y96" s="24">
        <v>69</v>
      </c>
      <c r="Z96" s="24">
        <v>69</v>
      </c>
      <c r="AA96" s="24">
        <v>69</v>
      </c>
      <c r="AB96" s="24">
        <v>69</v>
      </c>
      <c r="AC96" s="24">
        <v>69</v>
      </c>
      <c r="AD96" s="24">
        <v>69</v>
      </c>
      <c r="AE96" s="48"/>
      <c r="AF96" s="24">
        <v>69</v>
      </c>
      <c r="AG96" s="24">
        <v>69</v>
      </c>
      <c r="AH96" s="24">
        <v>69</v>
      </c>
      <c r="AI96" s="24">
        <v>69</v>
      </c>
      <c r="AJ96" s="24">
        <v>69</v>
      </c>
      <c r="AK96" s="24">
        <v>69</v>
      </c>
      <c r="AL96" s="48"/>
      <c r="AM96" s="24">
        <v>69</v>
      </c>
      <c r="AN96" s="24">
        <v>69</v>
      </c>
      <c r="AO96" s="24">
        <v>69</v>
      </c>
      <c r="AP96" s="24">
        <v>69</v>
      </c>
      <c r="AQ96" s="24">
        <v>69</v>
      </c>
      <c r="AR96" s="24">
        <v>69</v>
      </c>
      <c r="AS96" s="48"/>
      <c r="AT96" s="24">
        <v>69</v>
      </c>
      <c r="AU96" s="24">
        <v>69</v>
      </c>
      <c r="AV96" s="24">
        <v>69</v>
      </c>
      <c r="AW96" s="24">
        <v>69</v>
      </c>
      <c r="AX96" s="24">
        <v>69</v>
      </c>
      <c r="AY96" s="24">
        <v>69</v>
      </c>
      <c r="AZ96" s="48"/>
      <c r="BA96" s="24">
        <v>69</v>
      </c>
      <c r="BB96" s="24">
        <v>69</v>
      </c>
      <c r="BC96" s="24">
        <v>69</v>
      </c>
      <c r="BD96" s="24">
        <v>69</v>
      </c>
      <c r="BE96" s="24">
        <v>69</v>
      </c>
      <c r="BF96" s="24">
        <v>69</v>
      </c>
      <c r="BG96" s="48"/>
      <c r="BH96" s="24">
        <v>69</v>
      </c>
      <c r="BI96" s="24">
        <v>69</v>
      </c>
      <c r="BJ96" s="24">
        <v>69</v>
      </c>
    </row>
    <row r="97" spans="1:62" ht="30.75" customHeight="1" x14ac:dyDescent="0.25">
      <c r="A97" s="57" t="s">
        <v>34</v>
      </c>
      <c r="B97" s="67" t="s">
        <v>95</v>
      </c>
      <c r="C97" s="18" t="s">
        <v>9</v>
      </c>
      <c r="D97" s="30"/>
      <c r="E97" s="67" t="s">
        <v>95</v>
      </c>
      <c r="I97" s="30"/>
      <c r="J97" s="53"/>
      <c r="K97" s="30"/>
      <c r="L97" s="30"/>
      <c r="M97" s="30"/>
      <c r="N97" s="30"/>
      <c r="O97" s="30"/>
      <c r="P97" s="30"/>
      <c r="Q97" s="53"/>
      <c r="R97" s="30"/>
      <c r="S97" s="30"/>
      <c r="T97" s="30"/>
      <c r="U97" s="30"/>
      <c r="V97" s="30"/>
      <c r="W97" s="30"/>
      <c r="X97" s="53"/>
      <c r="Y97" s="30"/>
      <c r="Z97" s="30"/>
      <c r="AA97" s="30"/>
      <c r="AB97" s="30"/>
      <c r="AC97" s="30"/>
      <c r="AD97" s="30"/>
      <c r="AE97" s="53"/>
      <c r="AF97" s="30"/>
      <c r="AG97" s="30"/>
      <c r="AH97" s="30"/>
      <c r="AI97" s="30"/>
      <c r="AJ97" s="30"/>
      <c r="AK97" s="30"/>
      <c r="AL97" s="53"/>
      <c r="AM97" s="30"/>
      <c r="AN97" s="30"/>
      <c r="AO97" s="30"/>
      <c r="AP97" s="30"/>
      <c r="AQ97" s="30"/>
      <c r="AR97" s="30"/>
      <c r="AS97" s="53"/>
      <c r="AT97" s="30"/>
      <c r="AU97" s="30"/>
      <c r="AV97" s="30"/>
      <c r="AW97" s="30"/>
      <c r="AX97" s="30"/>
      <c r="AY97" s="30"/>
      <c r="AZ97" s="53"/>
      <c r="BA97" s="30"/>
      <c r="BB97" s="30"/>
      <c r="BC97" s="30"/>
      <c r="BD97" s="30"/>
      <c r="BE97" s="30"/>
      <c r="BF97" s="30"/>
      <c r="BG97" s="53"/>
      <c r="BH97" s="30"/>
      <c r="BI97" s="30"/>
      <c r="BJ97" s="30"/>
    </row>
    <row r="98" spans="1:62" s="14" customFormat="1" ht="15.75" x14ac:dyDescent="0.25">
      <c r="A98" s="104"/>
      <c r="B98" s="96"/>
      <c r="C98" s="23" t="s">
        <v>2</v>
      </c>
      <c r="D98" s="25">
        <f t="shared" ref="D98" si="260">(D99)*600/26*0.85</f>
        <v>2805</v>
      </c>
      <c r="E98" s="25">
        <v>0</v>
      </c>
      <c r="F98" s="25">
        <f t="shared" ref="F98:G98" si="261">600*F99/34.41*0.87</f>
        <v>2169.3112467306019</v>
      </c>
      <c r="G98" s="25">
        <f t="shared" si="261"/>
        <v>2169.3112467306019</v>
      </c>
      <c r="H98" s="25">
        <f>600*H99/34.41*0.87</f>
        <v>2169.3112467306019</v>
      </c>
      <c r="I98" s="25">
        <f>600*I99/34.41*0.87</f>
        <v>2169.3112467306019</v>
      </c>
      <c r="J98" s="47"/>
      <c r="K98" s="25">
        <f t="shared" ref="K98:P98" si="262">600*K99/34.41*0.87</f>
        <v>2169.3112467306019</v>
      </c>
      <c r="L98" s="25">
        <f t="shared" si="262"/>
        <v>2169.3112467306019</v>
      </c>
      <c r="M98" s="25">
        <f t="shared" si="262"/>
        <v>2169.3112467306019</v>
      </c>
      <c r="N98" s="25">
        <f t="shared" si="262"/>
        <v>2169.3112467306019</v>
      </c>
      <c r="O98" s="25">
        <f t="shared" si="262"/>
        <v>2169.3112467306019</v>
      </c>
      <c r="P98" s="25">
        <f t="shared" si="262"/>
        <v>2169.3112467306019</v>
      </c>
      <c r="Q98" s="47"/>
      <c r="R98" s="25">
        <f t="shared" ref="R98:AD98" si="263">600*R99/34.41*0.87</f>
        <v>2169.3112467306019</v>
      </c>
      <c r="S98" s="25">
        <f t="shared" si="263"/>
        <v>2169.3112467306019</v>
      </c>
      <c r="T98" s="25">
        <f t="shared" si="263"/>
        <v>2169.3112467306019</v>
      </c>
      <c r="U98" s="25">
        <f t="shared" si="263"/>
        <v>2169.3112467306019</v>
      </c>
      <c r="V98" s="25">
        <f t="shared" si="263"/>
        <v>2169.3112467306019</v>
      </c>
      <c r="W98" s="25">
        <f t="shared" si="263"/>
        <v>2169.3112467306019</v>
      </c>
      <c r="X98" s="47"/>
      <c r="Y98" s="25">
        <f t="shared" si="263"/>
        <v>2169.3112467306019</v>
      </c>
      <c r="Z98" s="25">
        <f t="shared" si="263"/>
        <v>2169.3112467306019</v>
      </c>
      <c r="AA98" s="25">
        <f t="shared" si="263"/>
        <v>2169.3112467306019</v>
      </c>
      <c r="AB98" s="25">
        <f t="shared" si="263"/>
        <v>2169.3112467306019</v>
      </c>
      <c r="AC98" s="25">
        <f t="shared" si="263"/>
        <v>2169.3112467306019</v>
      </c>
      <c r="AD98" s="25">
        <f t="shared" si="263"/>
        <v>2169.3112467306019</v>
      </c>
      <c r="AE98" s="47"/>
      <c r="AF98" s="25"/>
      <c r="AG98" s="25"/>
      <c r="AH98" s="25"/>
      <c r="AI98" s="25"/>
      <c r="AJ98" s="25"/>
      <c r="AK98" s="25"/>
      <c r="AL98" s="47"/>
      <c r="AM98" s="25"/>
      <c r="AN98" s="25"/>
      <c r="AO98" s="25"/>
      <c r="AP98" s="25"/>
      <c r="AQ98" s="25"/>
      <c r="AR98" s="25"/>
      <c r="AS98" s="47"/>
      <c r="AT98" s="25"/>
      <c r="AU98" s="25"/>
      <c r="AV98" s="25"/>
      <c r="AW98" s="25"/>
      <c r="AX98" s="25"/>
      <c r="AY98" s="25"/>
      <c r="AZ98" s="47"/>
      <c r="BA98" s="25"/>
      <c r="BB98" s="25"/>
      <c r="BC98" s="25"/>
      <c r="BD98" s="25"/>
      <c r="BE98" s="25"/>
      <c r="BF98" s="25"/>
      <c r="BG98" s="47"/>
      <c r="BH98" s="25"/>
      <c r="BI98" s="25"/>
      <c r="BJ98" s="25"/>
    </row>
    <row r="99" spans="1:62" s="14" customFormat="1" ht="15.75" x14ac:dyDescent="0.25">
      <c r="A99" s="105"/>
      <c r="B99" s="97"/>
      <c r="C99" s="23" t="s">
        <v>8</v>
      </c>
      <c r="D99" s="24">
        <f>70+73</f>
        <v>143</v>
      </c>
      <c r="E99" s="24">
        <f>71+72</f>
        <v>143</v>
      </c>
      <c r="F99" s="24">
        <f t="shared" ref="F99:I99" si="264">70+73</f>
        <v>143</v>
      </c>
      <c r="G99" s="24">
        <f t="shared" si="264"/>
        <v>143</v>
      </c>
      <c r="H99" s="24">
        <f t="shared" si="264"/>
        <v>143</v>
      </c>
      <c r="I99" s="24">
        <f t="shared" si="264"/>
        <v>143</v>
      </c>
      <c r="J99" s="48"/>
      <c r="K99" s="24">
        <f>70+73</f>
        <v>143</v>
      </c>
      <c r="L99" s="24">
        <f t="shared" ref="L99:P99" si="265">70+73</f>
        <v>143</v>
      </c>
      <c r="M99" s="24">
        <f t="shared" si="265"/>
        <v>143</v>
      </c>
      <c r="N99" s="24">
        <f t="shared" si="265"/>
        <v>143</v>
      </c>
      <c r="O99" s="24">
        <f t="shared" si="265"/>
        <v>143</v>
      </c>
      <c r="P99" s="24">
        <f t="shared" si="265"/>
        <v>143</v>
      </c>
      <c r="Q99" s="48"/>
      <c r="R99" s="24">
        <f>70+73</f>
        <v>143</v>
      </c>
      <c r="S99" s="24">
        <f t="shared" ref="S99:W99" si="266">70+73</f>
        <v>143</v>
      </c>
      <c r="T99" s="24">
        <f t="shared" si="266"/>
        <v>143</v>
      </c>
      <c r="U99" s="24">
        <f t="shared" si="266"/>
        <v>143</v>
      </c>
      <c r="V99" s="24">
        <f t="shared" si="266"/>
        <v>143</v>
      </c>
      <c r="W99" s="24">
        <f t="shared" si="266"/>
        <v>143</v>
      </c>
      <c r="X99" s="48"/>
      <c r="Y99" s="24">
        <f>70+73</f>
        <v>143</v>
      </c>
      <c r="Z99" s="24">
        <f t="shared" ref="Z99:AD99" si="267">70+73</f>
        <v>143</v>
      </c>
      <c r="AA99" s="24">
        <f t="shared" si="267"/>
        <v>143</v>
      </c>
      <c r="AB99" s="24">
        <f t="shared" si="267"/>
        <v>143</v>
      </c>
      <c r="AC99" s="24">
        <f t="shared" si="267"/>
        <v>143</v>
      </c>
      <c r="AD99" s="24">
        <f t="shared" si="267"/>
        <v>143</v>
      </c>
      <c r="AE99" s="48"/>
      <c r="AF99" s="24">
        <f>70+73</f>
        <v>143</v>
      </c>
      <c r="AG99" s="24">
        <f t="shared" ref="AG99:AK99" si="268">70+73</f>
        <v>143</v>
      </c>
      <c r="AH99" s="24">
        <f t="shared" si="268"/>
        <v>143</v>
      </c>
      <c r="AI99" s="24">
        <f t="shared" si="268"/>
        <v>143</v>
      </c>
      <c r="AJ99" s="24">
        <f t="shared" si="268"/>
        <v>143</v>
      </c>
      <c r="AK99" s="24">
        <f t="shared" si="268"/>
        <v>143</v>
      </c>
      <c r="AL99" s="48"/>
      <c r="AM99" s="24"/>
      <c r="AN99" s="24"/>
      <c r="AO99" s="24"/>
      <c r="AP99" s="24"/>
      <c r="AQ99" s="24"/>
      <c r="AR99" s="24"/>
      <c r="AS99" s="48"/>
      <c r="AT99" s="24"/>
      <c r="AU99" s="24"/>
      <c r="AV99" s="24"/>
      <c r="AW99" s="24"/>
      <c r="AX99" s="24"/>
      <c r="AY99" s="24"/>
      <c r="AZ99" s="48"/>
      <c r="BA99" s="24"/>
      <c r="BB99" s="24"/>
      <c r="BC99" s="24"/>
      <c r="BD99" s="24"/>
      <c r="BE99" s="24"/>
      <c r="BF99" s="24"/>
      <c r="BG99" s="48"/>
      <c r="BH99" s="24"/>
      <c r="BI99" s="24"/>
      <c r="BJ99" s="24"/>
    </row>
    <row r="100" spans="1:62" ht="30.75" customHeight="1" x14ac:dyDescent="0.25">
      <c r="A100" s="57" t="s">
        <v>36</v>
      </c>
      <c r="B100" s="69">
        <v>24179</v>
      </c>
      <c r="C100" s="18"/>
      <c r="D100" s="20"/>
      <c r="E100" s="20"/>
      <c r="F100" s="20"/>
      <c r="G100" s="20"/>
      <c r="H100" s="20"/>
      <c r="I100" s="20"/>
      <c r="J100" s="51"/>
      <c r="K100" s="20"/>
      <c r="L100" s="20"/>
      <c r="M100" s="20"/>
      <c r="N100" s="20"/>
      <c r="O100" s="20"/>
      <c r="P100" s="20"/>
      <c r="Q100" s="51"/>
      <c r="R100" s="20"/>
      <c r="S100" s="20"/>
      <c r="T100" s="20"/>
      <c r="U100" s="20"/>
      <c r="V100" s="20"/>
      <c r="W100" s="20"/>
      <c r="X100" s="51"/>
      <c r="Y100" s="20"/>
      <c r="Z100" s="75"/>
      <c r="AA100" s="20"/>
      <c r="AB100" s="20"/>
      <c r="AC100" s="20"/>
      <c r="AD100" s="20"/>
      <c r="AE100" s="51"/>
      <c r="AF100" s="20"/>
      <c r="AG100" s="20"/>
      <c r="AH100" s="20"/>
      <c r="AI100" s="20"/>
      <c r="AJ100" s="20"/>
      <c r="AK100" s="20"/>
      <c r="AL100" s="51"/>
      <c r="AM100" s="20"/>
      <c r="AN100" s="20"/>
      <c r="AO100" s="20"/>
      <c r="AP100" s="20"/>
      <c r="AQ100" s="20"/>
      <c r="AR100" s="20"/>
      <c r="AS100" s="51"/>
      <c r="AT100" s="20"/>
      <c r="AU100" s="20"/>
      <c r="AV100" s="20"/>
      <c r="AW100" s="20"/>
      <c r="AX100" s="20"/>
      <c r="AY100" s="20"/>
      <c r="AZ100" s="51"/>
      <c r="BA100" s="20"/>
      <c r="BB100" s="20"/>
      <c r="BC100" s="20"/>
      <c r="BD100" s="20"/>
      <c r="BE100" s="20"/>
      <c r="BF100" s="20"/>
      <c r="BG100" s="51"/>
      <c r="BH100" s="20"/>
      <c r="BI100" s="20"/>
      <c r="BJ100" s="20"/>
    </row>
    <row r="101" spans="1:62" s="14" customFormat="1" ht="15.75" x14ac:dyDescent="0.25">
      <c r="A101" s="98"/>
      <c r="B101" s="96"/>
      <c r="C101" s="23" t="s">
        <v>2</v>
      </c>
      <c r="D101" s="25">
        <f t="shared" ref="D101" si="269">(D102)*600/26*0.85</f>
        <v>2550</v>
      </c>
      <c r="E101" s="25">
        <f t="shared" ref="E101" si="270">(E102)*600/26*0.85</f>
        <v>2550</v>
      </c>
      <c r="F101" s="25">
        <f t="shared" ref="F101" si="271">(F102)*600/26*0.85</f>
        <v>2550</v>
      </c>
      <c r="G101" s="25">
        <f t="shared" ref="G101" si="272">(G102)*600/26*0.85</f>
        <v>2550</v>
      </c>
      <c r="H101" s="25">
        <f t="shared" ref="H101" si="273">(H102)*600/26*0.85</f>
        <v>2550</v>
      </c>
      <c r="I101" s="25">
        <f t="shared" ref="I101" si="274">(I102)*600/26*0.85</f>
        <v>2550</v>
      </c>
      <c r="J101" s="47"/>
      <c r="K101" s="25">
        <f t="shared" ref="K101" si="275">(K102)*600/26*0.85</f>
        <v>2550</v>
      </c>
      <c r="L101" s="25">
        <f t="shared" ref="L101" si="276">(L102)*600/26*0.85</f>
        <v>2550</v>
      </c>
      <c r="M101" s="25">
        <f t="shared" ref="M101" si="277">(M102)*600/26*0.85</f>
        <v>2550</v>
      </c>
      <c r="N101" s="25">
        <f t="shared" ref="N101" si="278">(N102)*600/26*0.85</f>
        <v>2550</v>
      </c>
      <c r="O101" s="25">
        <f t="shared" ref="O101" si="279">(O102)*600/26*0.85</f>
        <v>2550</v>
      </c>
      <c r="P101" s="25">
        <f t="shared" ref="P101" si="280">(P102)*600/26*0.85</f>
        <v>2550</v>
      </c>
      <c r="Q101" s="47"/>
      <c r="R101" s="25">
        <f t="shared" ref="R101" si="281">(R102)*600/26*0.85</f>
        <v>2550</v>
      </c>
      <c r="S101" s="25">
        <f t="shared" ref="S101" si="282">(S102)*600/26*0.85</f>
        <v>2550</v>
      </c>
      <c r="T101" s="25">
        <f t="shared" ref="T101" si="283">(T102)*600/26*0.85</f>
        <v>2550</v>
      </c>
      <c r="U101" s="25">
        <f t="shared" ref="U101" si="284">(U102)*600/26*0.85</f>
        <v>2550</v>
      </c>
      <c r="V101" s="25">
        <f t="shared" ref="V101" si="285">(V102)*600/26*0.85</f>
        <v>2550</v>
      </c>
      <c r="W101" s="25">
        <f t="shared" ref="W101:Y101" si="286">(W102)*600/26*0.85</f>
        <v>2550</v>
      </c>
      <c r="X101" s="47"/>
      <c r="Y101" s="25">
        <f t="shared" si="286"/>
        <v>2550</v>
      </c>
      <c r="Z101" s="25"/>
      <c r="AA101" s="25"/>
      <c r="AB101" s="25"/>
      <c r="AC101" s="25"/>
      <c r="AD101" s="25"/>
      <c r="AE101" s="47"/>
      <c r="AF101" s="25"/>
      <c r="AG101" s="25"/>
      <c r="AH101" s="25"/>
      <c r="AI101" s="25"/>
      <c r="AJ101" s="25"/>
      <c r="AK101" s="25"/>
      <c r="AL101" s="47"/>
      <c r="AM101" s="25"/>
      <c r="AN101" s="25"/>
      <c r="AO101" s="25"/>
      <c r="AP101" s="25"/>
      <c r="AQ101" s="25"/>
      <c r="AR101" s="25"/>
      <c r="AS101" s="47"/>
      <c r="AT101" s="25"/>
      <c r="AU101" s="25"/>
      <c r="AV101" s="25"/>
      <c r="AW101" s="25"/>
      <c r="AX101" s="25"/>
      <c r="AY101" s="25"/>
      <c r="AZ101" s="47"/>
      <c r="BA101" s="25"/>
      <c r="BB101" s="25"/>
      <c r="BC101" s="25"/>
      <c r="BD101" s="25"/>
      <c r="BE101" s="25"/>
      <c r="BF101" s="25"/>
      <c r="BG101" s="47"/>
      <c r="BH101" s="25"/>
      <c r="BI101" s="25"/>
      <c r="BJ101" s="25"/>
    </row>
    <row r="102" spans="1:62" s="14" customFormat="1" ht="15.75" x14ac:dyDescent="0.25">
      <c r="A102" s="99"/>
      <c r="B102" s="97"/>
      <c r="C102" s="23" t="s">
        <v>8</v>
      </c>
      <c r="D102" s="24">
        <f>65+65</f>
        <v>130</v>
      </c>
      <c r="E102" s="24">
        <f t="shared" ref="E102:I102" si="287">65+65</f>
        <v>130</v>
      </c>
      <c r="F102" s="24">
        <f t="shared" si="287"/>
        <v>130</v>
      </c>
      <c r="G102" s="24">
        <f t="shared" si="287"/>
        <v>130</v>
      </c>
      <c r="H102" s="24">
        <f t="shared" si="287"/>
        <v>130</v>
      </c>
      <c r="I102" s="24">
        <f t="shared" si="287"/>
        <v>130</v>
      </c>
      <c r="J102" s="48"/>
      <c r="K102" s="24">
        <f>65+65</f>
        <v>130</v>
      </c>
      <c r="L102" s="24">
        <f t="shared" ref="L102:P102" si="288">65+65</f>
        <v>130</v>
      </c>
      <c r="M102" s="24">
        <f t="shared" si="288"/>
        <v>130</v>
      </c>
      <c r="N102" s="24">
        <f t="shared" si="288"/>
        <v>130</v>
      </c>
      <c r="O102" s="24">
        <f t="shared" si="288"/>
        <v>130</v>
      </c>
      <c r="P102" s="24">
        <f t="shared" si="288"/>
        <v>130</v>
      </c>
      <c r="Q102" s="48"/>
      <c r="R102" s="24">
        <f>65+65</f>
        <v>130</v>
      </c>
      <c r="S102" s="24">
        <f t="shared" ref="S102:W102" si="289">65+65</f>
        <v>130</v>
      </c>
      <c r="T102" s="24">
        <f t="shared" si="289"/>
        <v>130</v>
      </c>
      <c r="U102" s="24">
        <f t="shared" si="289"/>
        <v>130</v>
      </c>
      <c r="V102" s="24">
        <f t="shared" si="289"/>
        <v>130</v>
      </c>
      <c r="W102" s="24">
        <f t="shared" si="289"/>
        <v>130</v>
      </c>
      <c r="X102" s="48"/>
      <c r="Y102" s="24">
        <f>65+65</f>
        <v>130</v>
      </c>
      <c r="Z102" s="24">
        <f t="shared" ref="Z102:AD102" si="290">65+65</f>
        <v>130</v>
      </c>
      <c r="AA102" s="24">
        <f t="shared" si="290"/>
        <v>130</v>
      </c>
      <c r="AB102" s="24">
        <f t="shared" si="290"/>
        <v>130</v>
      </c>
      <c r="AC102" s="24">
        <f t="shared" si="290"/>
        <v>130</v>
      </c>
      <c r="AD102" s="24">
        <f t="shared" si="290"/>
        <v>130</v>
      </c>
      <c r="AE102" s="48"/>
      <c r="AF102" s="24">
        <f>65+65</f>
        <v>130</v>
      </c>
      <c r="AG102" s="24">
        <f t="shared" ref="AG102:AK102" si="291">65+65</f>
        <v>130</v>
      </c>
      <c r="AH102" s="24">
        <f t="shared" si="291"/>
        <v>130</v>
      </c>
      <c r="AI102" s="24">
        <f t="shared" si="291"/>
        <v>130</v>
      </c>
      <c r="AJ102" s="24">
        <f t="shared" si="291"/>
        <v>130</v>
      </c>
      <c r="AK102" s="24">
        <f t="shared" si="291"/>
        <v>130</v>
      </c>
      <c r="AL102" s="48"/>
      <c r="AM102" s="24">
        <f>65+65</f>
        <v>130</v>
      </c>
      <c r="AN102" s="24">
        <f t="shared" ref="AN102:AR102" si="292">65+65</f>
        <v>130</v>
      </c>
      <c r="AO102" s="24">
        <f t="shared" si="292"/>
        <v>130</v>
      </c>
      <c r="AP102" s="24">
        <f t="shared" si="292"/>
        <v>130</v>
      </c>
      <c r="AQ102" s="24">
        <f t="shared" si="292"/>
        <v>130</v>
      </c>
      <c r="AR102" s="24">
        <f t="shared" si="292"/>
        <v>130</v>
      </c>
      <c r="AS102" s="48"/>
      <c r="AT102" s="24">
        <f>65+65</f>
        <v>130</v>
      </c>
      <c r="AU102" s="24">
        <f t="shared" ref="AU102:AY102" si="293">65+65</f>
        <v>130</v>
      </c>
      <c r="AV102" s="24">
        <f t="shared" si="293"/>
        <v>130</v>
      </c>
      <c r="AW102" s="24">
        <f t="shared" si="293"/>
        <v>130</v>
      </c>
      <c r="AX102" s="24">
        <f t="shared" si="293"/>
        <v>130</v>
      </c>
      <c r="AY102" s="24">
        <f t="shared" si="293"/>
        <v>130</v>
      </c>
      <c r="AZ102" s="48"/>
      <c r="BA102" s="24"/>
      <c r="BB102" s="24"/>
      <c r="BC102" s="24"/>
      <c r="BD102" s="24"/>
      <c r="BE102" s="24"/>
      <c r="BF102" s="24"/>
      <c r="BG102" s="48"/>
      <c r="BH102" s="24"/>
      <c r="BI102" s="24"/>
      <c r="BJ102" s="24"/>
    </row>
    <row r="103" spans="1:62" ht="30.75" customHeight="1" x14ac:dyDescent="0.25">
      <c r="A103" s="57" t="s">
        <v>97</v>
      </c>
      <c r="B103" s="56" t="s">
        <v>164</v>
      </c>
      <c r="C103" s="18" t="s">
        <v>9</v>
      </c>
      <c r="D103" s="30"/>
      <c r="E103" s="30"/>
      <c r="F103" s="30"/>
      <c r="G103" s="30"/>
      <c r="H103" s="30"/>
      <c r="I103" s="30"/>
      <c r="J103" s="53"/>
      <c r="K103" s="81" t="s">
        <v>106</v>
      </c>
      <c r="L103" s="30" t="s">
        <v>165</v>
      </c>
      <c r="M103" s="30"/>
      <c r="N103" s="30"/>
      <c r="O103" s="30"/>
      <c r="P103" s="30"/>
      <c r="Q103" s="53"/>
      <c r="R103" s="30"/>
      <c r="S103" s="30"/>
      <c r="T103" s="30"/>
      <c r="U103" s="81" t="s">
        <v>105</v>
      </c>
      <c r="V103" s="30" t="s">
        <v>166</v>
      </c>
      <c r="W103" s="30"/>
      <c r="X103" s="53"/>
      <c r="Y103" s="30"/>
      <c r="Z103" s="30"/>
      <c r="AA103" s="30"/>
      <c r="AB103" s="30"/>
      <c r="AC103" s="30"/>
      <c r="AD103" s="30"/>
      <c r="AE103" s="53"/>
      <c r="AF103" s="30"/>
      <c r="AG103" s="30"/>
      <c r="AH103" s="30"/>
      <c r="AI103" s="30"/>
      <c r="AJ103" s="30"/>
      <c r="AK103" s="30"/>
      <c r="AL103" s="53"/>
      <c r="AM103" s="30"/>
      <c r="AN103" s="30"/>
      <c r="AO103" s="30"/>
      <c r="AP103" s="30"/>
      <c r="AQ103" s="30"/>
      <c r="AR103" s="30"/>
      <c r="AS103" s="53"/>
      <c r="AT103" s="30"/>
      <c r="AU103" s="30"/>
      <c r="AV103" s="30"/>
      <c r="AW103" s="30"/>
      <c r="AX103" s="30"/>
      <c r="AY103" s="30"/>
      <c r="AZ103" s="53"/>
      <c r="BA103" s="30"/>
      <c r="BB103" s="30"/>
      <c r="BC103" s="30"/>
      <c r="BD103" s="30"/>
      <c r="BE103" s="30"/>
      <c r="BF103" s="30"/>
      <c r="BG103" s="53"/>
      <c r="BH103" s="30"/>
      <c r="BI103" s="30"/>
      <c r="BJ103" s="30"/>
    </row>
    <row r="104" spans="1:62" s="14" customFormat="1" ht="15.75" x14ac:dyDescent="0.25">
      <c r="A104" s="17"/>
      <c r="B104" s="58"/>
      <c r="C104" s="23" t="s">
        <v>2</v>
      </c>
      <c r="D104" s="25">
        <v>1400</v>
      </c>
      <c r="E104" s="25">
        <v>1400</v>
      </c>
      <c r="F104" s="25">
        <v>1400</v>
      </c>
      <c r="G104" s="25">
        <v>1400</v>
      </c>
      <c r="H104" s="25">
        <v>1400</v>
      </c>
      <c r="I104" s="25">
        <v>1400</v>
      </c>
      <c r="J104" s="47"/>
      <c r="K104" s="25">
        <v>0</v>
      </c>
      <c r="L104" s="25">
        <v>1284</v>
      </c>
      <c r="M104" s="25">
        <v>1284</v>
      </c>
      <c r="N104" s="25">
        <v>1284</v>
      </c>
      <c r="O104" s="25">
        <v>1284</v>
      </c>
      <c r="P104" s="25">
        <v>1284</v>
      </c>
      <c r="Q104" s="47"/>
      <c r="R104" s="25">
        <v>1284</v>
      </c>
      <c r="S104" s="25">
        <v>1284</v>
      </c>
      <c r="T104" s="25">
        <v>1284</v>
      </c>
      <c r="U104" s="25">
        <v>0</v>
      </c>
      <c r="V104" s="25">
        <v>1284</v>
      </c>
      <c r="W104" s="25">
        <v>1284</v>
      </c>
      <c r="X104" s="47"/>
      <c r="Y104" s="25">
        <v>1284</v>
      </c>
      <c r="Z104" s="25">
        <v>1284</v>
      </c>
      <c r="AA104" s="25">
        <v>1284</v>
      </c>
      <c r="AB104" s="25">
        <v>1284</v>
      </c>
      <c r="AC104" s="25">
        <v>1284</v>
      </c>
      <c r="AD104" s="25">
        <v>1284</v>
      </c>
      <c r="AE104" s="47"/>
      <c r="AF104" s="25">
        <v>1284</v>
      </c>
      <c r="AG104" s="25">
        <v>1284</v>
      </c>
      <c r="AH104" s="25">
        <v>1284</v>
      </c>
      <c r="AI104" s="25">
        <v>1284</v>
      </c>
      <c r="AJ104" s="25">
        <v>1284</v>
      </c>
      <c r="AK104" s="25">
        <v>1284</v>
      </c>
      <c r="AL104" s="47"/>
      <c r="AM104" s="25">
        <v>1284</v>
      </c>
      <c r="AN104" s="25">
        <v>1284</v>
      </c>
      <c r="AO104" s="25">
        <v>1284</v>
      </c>
      <c r="AP104" s="25">
        <v>1284</v>
      </c>
      <c r="AQ104" s="25"/>
      <c r="AR104" s="25"/>
      <c r="AS104" s="47"/>
      <c r="AT104" s="25"/>
      <c r="AU104" s="25"/>
      <c r="AV104" s="25"/>
      <c r="AW104" s="25"/>
      <c r="AX104" s="25"/>
      <c r="AY104" s="25"/>
      <c r="AZ104" s="47"/>
      <c r="BA104" s="25"/>
      <c r="BB104" s="25"/>
      <c r="BC104" s="25"/>
      <c r="BD104" s="25"/>
      <c r="BE104" s="25"/>
      <c r="BF104" s="25"/>
      <c r="BG104" s="47"/>
      <c r="BH104" s="25"/>
      <c r="BI104" s="25"/>
      <c r="BJ104" s="25"/>
    </row>
    <row r="105" spans="1:62" s="14" customFormat="1" ht="15.75" x14ac:dyDescent="0.25">
      <c r="A105" s="17"/>
      <c r="B105" s="58"/>
      <c r="C105" s="23" t="s">
        <v>8</v>
      </c>
      <c r="D105" s="25">
        <v>38</v>
      </c>
      <c r="E105" s="25">
        <v>38</v>
      </c>
      <c r="F105" s="25">
        <v>38</v>
      </c>
      <c r="G105" s="25">
        <v>38</v>
      </c>
      <c r="H105" s="25">
        <v>38</v>
      </c>
      <c r="I105" s="25">
        <v>38</v>
      </c>
      <c r="J105" s="47"/>
      <c r="K105" s="25">
        <v>38</v>
      </c>
      <c r="L105" s="25">
        <v>38</v>
      </c>
      <c r="M105" s="25">
        <v>38</v>
      </c>
      <c r="N105" s="25">
        <v>38</v>
      </c>
      <c r="O105" s="25">
        <v>38</v>
      </c>
      <c r="P105" s="25">
        <v>38</v>
      </c>
      <c r="Q105" s="47"/>
      <c r="R105" s="25">
        <v>38</v>
      </c>
      <c r="S105" s="25">
        <v>38</v>
      </c>
      <c r="T105" s="25">
        <v>38</v>
      </c>
      <c r="U105" s="25">
        <v>38</v>
      </c>
      <c r="V105" s="25">
        <v>38</v>
      </c>
      <c r="W105" s="25">
        <v>38</v>
      </c>
      <c r="X105" s="47"/>
      <c r="Y105" s="25">
        <v>29</v>
      </c>
      <c r="Z105" s="25">
        <v>29</v>
      </c>
      <c r="AA105" s="25">
        <v>29</v>
      </c>
      <c r="AB105" s="25">
        <v>29</v>
      </c>
      <c r="AC105" s="25">
        <v>29</v>
      </c>
      <c r="AD105" s="25">
        <v>29</v>
      </c>
      <c r="AE105" s="47"/>
      <c r="AF105" s="25">
        <v>29</v>
      </c>
      <c r="AG105" s="25">
        <v>29</v>
      </c>
      <c r="AH105" s="25">
        <v>29</v>
      </c>
      <c r="AI105" s="25">
        <v>29</v>
      </c>
      <c r="AJ105" s="25">
        <v>29</v>
      </c>
      <c r="AK105" s="25">
        <v>29</v>
      </c>
      <c r="AL105" s="47"/>
      <c r="AM105" s="25">
        <v>29</v>
      </c>
      <c r="AN105" s="25">
        <v>29</v>
      </c>
      <c r="AO105" s="25">
        <v>29</v>
      </c>
      <c r="AP105" s="25">
        <v>29</v>
      </c>
      <c r="AQ105" s="25">
        <v>29</v>
      </c>
      <c r="AR105" s="25">
        <v>29</v>
      </c>
      <c r="AS105" s="47"/>
      <c r="AT105" s="25"/>
      <c r="AU105" s="25"/>
      <c r="AV105" s="25"/>
      <c r="AW105" s="25"/>
      <c r="AX105" s="25"/>
      <c r="AY105" s="25"/>
      <c r="AZ105" s="47"/>
      <c r="BA105" s="25"/>
      <c r="BB105" s="25"/>
      <c r="BC105" s="25"/>
      <c r="BD105" s="25"/>
      <c r="BE105" s="25"/>
      <c r="BF105" s="25"/>
      <c r="BG105" s="47"/>
      <c r="BH105" s="25"/>
      <c r="BI105" s="25"/>
      <c r="BJ105" s="25"/>
    </row>
    <row r="106" spans="1:62" ht="30.75" customHeight="1" x14ac:dyDescent="0.25">
      <c r="A106" s="57" t="s">
        <v>29</v>
      </c>
      <c r="B106" s="56" t="s">
        <v>112</v>
      </c>
      <c r="C106" s="18" t="s">
        <v>9</v>
      </c>
      <c r="D106" s="30" t="s">
        <v>113</v>
      </c>
      <c r="E106" s="30"/>
      <c r="F106" s="30"/>
      <c r="G106" s="30"/>
      <c r="H106" s="30"/>
      <c r="I106" s="30"/>
      <c r="J106" s="53"/>
      <c r="K106" s="30"/>
      <c r="L106" s="30"/>
      <c r="M106" s="30"/>
      <c r="N106" s="30"/>
      <c r="O106" s="30"/>
      <c r="P106" s="30"/>
      <c r="Q106" s="53"/>
      <c r="R106" s="30"/>
      <c r="S106" s="30"/>
      <c r="T106" s="82" t="s">
        <v>78</v>
      </c>
      <c r="U106" s="30"/>
      <c r="V106" s="30"/>
      <c r="W106" s="30"/>
      <c r="X106" s="53"/>
      <c r="Y106" s="30"/>
      <c r="Z106" s="30"/>
      <c r="AA106" s="30"/>
      <c r="AB106" s="30"/>
      <c r="AC106" s="30"/>
      <c r="AD106" s="30"/>
      <c r="AE106" s="53"/>
      <c r="AF106" s="30"/>
      <c r="AG106" s="30"/>
      <c r="AH106" s="30"/>
      <c r="AI106" s="30"/>
      <c r="AJ106" s="30"/>
      <c r="AK106" s="30"/>
      <c r="AL106" s="53"/>
      <c r="AM106" s="30"/>
      <c r="AN106" s="30"/>
      <c r="AO106" s="30"/>
      <c r="AP106" s="30"/>
      <c r="AQ106" s="30"/>
      <c r="AR106" s="30"/>
      <c r="AS106" s="53"/>
      <c r="AT106" s="30"/>
      <c r="AU106" s="30"/>
      <c r="AV106" s="30"/>
      <c r="AW106" s="30"/>
      <c r="AX106" s="30"/>
      <c r="AY106" s="30"/>
      <c r="AZ106" s="53"/>
      <c r="BA106" s="30"/>
      <c r="BB106" s="30"/>
      <c r="BC106" s="30"/>
      <c r="BD106" s="30"/>
      <c r="BE106" s="30"/>
      <c r="BF106" s="30"/>
      <c r="BG106" s="53"/>
      <c r="BH106" s="30"/>
      <c r="BI106" s="30"/>
      <c r="BJ106" s="30"/>
    </row>
    <row r="107" spans="1:62" s="14" customFormat="1" ht="15.75" x14ac:dyDescent="0.25">
      <c r="A107" s="17"/>
      <c r="B107" s="58"/>
      <c r="C107" s="23" t="s">
        <v>2</v>
      </c>
      <c r="D107" s="25">
        <v>755.03571428571433</v>
      </c>
      <c r="E107" s="25">
        <v>755.03571428571433</v>
      </c>
      <c r="F107" s="25">
        <v>755.03571428571433</v>
      </c>
      <c r="G107" s="25">
        <v>755.03571428571433</v>
      </c>
      <c r="H107" s="25">
        <v>755.03571428571433</v>
      </c>
      <c r="I107" s="25">
        <v>755.03571428571433</v>
      </c>
      <c r="J107" s="47"/>
      <c r="K107" s="25">
        <v>755.03571428571433</v>
      </c>
      <c r="L107" s="25">
        <v>755.03571428571433</v>
      </c>
      <c r="M107" s="25">
        <v>755.03571428571433</v>
      </c>
      <c r="N107" s="25">
        <v>755.03571428571433</v>
      </c>
      <c r="O107" s="25">
        <v>755.03571428571433</v>
      </c>
      <c r="P107" s="25">
        <v>755.03571428571433</v>
      </c>
      <c r="Q107" s="47"/>
      <c r="R107" s="25">
        <v>755</v>
      </c>
      <c r="S107" s="25">
        <v>755</v>
      </c>
      <c r="T107" s="25">
        <v>0</v>
      </c>
      <c r="U107" s="25">
        <v>1483.578947368421</v>
      </c>
      <c r="V107" s="25">
        <v>1483.578947368421</v>
      </c>
      <c r="W107" s="25">
        <v>1483.578947368421</v>
      </c>
      <c r="X107" s="47"/>
      <c r="Y107" s="25">
        <v>1483.578947368421</v>
      </c>
      <c r="Z107" s="25">
        <v>1483.578947368421</v>
      </c>
      <c r="AA107" s="25">
        <v>1483.578947368421</v>
      </c>
      <c r="AB107" s="25">
        <v>1483.578947368421</v>
      </c>
      <c r="AC107" s="25">
        <v>1483.578947368421</v>
      </c>
      <c r="AD107" s="25">
        <v>1483.578947368421</v>
      </c>
      <c r="AE107" s="47"/>
      <c r="AF107" s="25">
        <v>1483.578947368421</v>
      </c>
      <c r="AG107" s="25">
        <v>1483.578947368421</v>
      </c>
      <c r="AH107" s="25">
        <v>1483.578947368421</v>
      </c>
      <c r="AI107" s="25">
        <v>1483.578947368421</v>
      </c>
      <c r="AJ107" s="25">
        <v>1483.578947368421</v>
      </c>
      <c r="AK107" s="25">
        <v>1483.578947368421</v>
      </c>
      <c r="AL107" s="47"/>
      <c r="AM107" s="25">
        <v>1483.578947368421</v>
      </c>
      <c r="AN107" s="25">
        <v>1483.578947368421</v>
      </c>
      <c r="AO107" s="25">
        <v>1483.578947368421</v>
      </c>
      <c r="AP107" s="25">
        <v>1483.578947368421</v>
      </c>
      <c r="AQ107" s="25">
        <v>1483.578947368421</v>
      </c>
      <c r="AR107" s="25">
        <v>1483.578947368421</v>
      </c>
      <c r="AS107" s="47"/>
      <c r="AT107" s="25">
        <v>1483.578947368421</v>
      </c>
      <c r="AU107" s="25">
        <v>1483.578947368421</v>
      </c>
      <c r="AV107" s="25">
        <v>1483.578947368421</v>
      </c>
      <c r="AW107" s="25">
        <v>1483.578947368421</v>
      </c>
      <c r="AX107" s="25">
        <v>1483.578947368421</v>
      </c>
      <c r="AY107" s="25">
        <v>1483.578947368421</v>
      </c>
      <c r="AZ107" s="47"/>
      <c r="BA107" s="25">
        <v>1483.578947368421</v>
      </c>
      <c r="BB107" s="25">
        <v>1483.578947368421</v>
      </c>
      <c r="BC107" s="25">
        <v>1483.578947368421</v>
      </c>
      <c r="BD107" s="25">
        <v>1483.578947368421</v>
      </c>
      <c r="BE107" s="25">
        <v>1483.578947368421</v>
      </c>
      <c r="BF107" s="25">
        <v>1483.578947368421</v>
      </c>
      <c r="BG107" s="47"/>
      <c r="BH107" s="25">
        <v>1483.578947368421</v>
      </c>
      <c r="BI107" s="25">
        <v>1483.578947368421</v>
      </c>
      <c r="BJ107" s="25">
        <v>1483.578947368421</v>
      </c>
    </row>
    <row r="108" spans="1:62" s="14" customFormat="1" ht="15.75" x14ac:dyDescent="0.25">
      <c r="A108" s="17"/>
      <c r="B108" s="58"/>
      <c r="C108" s="23" t="s">
        <v>8</v>
      </c>
      <c r="D108" s="25">
        <v>43</v>
      </c>
      <c r="E108" s="25">
        <v>43</v>
      </c>
      <c r="F108" s="25">
        <v>43</v>
      </c>
      <c r="G108" s="25">
        <v>43</v>
      </c>
      <c r="H108" s="25">
        <v>43</v>
      </c>
      <c r="I108" s="25">
        <v>43</v>
      </c>
      <c r="J108" s="47"/>
      <c r="K108" s="25">
        <v>43</v>
      </c>
      <c r="L108" s="25">
        <v>43</v>
      </c>
      <c r="M108" s="25">
        <v>43</v>
      </c>
      <c r="N108" s="25">
        <v>43</v>
      </c>
      <c r="O108" s="25">
        <v>43</v>
      </c>
      <c r="P108" s="25">
        <v>43</v>
      </c>
      <c r="Q108" s="47"/>
      <c r="R108" s="25">
        <v>43</v>
      </c>
      <c r="S108" s="25">
        <v>43</v>
      </c>
      <c r="T108" s="25">
        <v>43</v>
      </c>
      <c r="U108" s="25">
        <v>43</v>
      </c>
      <c r="V108" s="25">
        <v>43</v>
      </c>
      <c r="W108" s="25">
        <v>43</v>
      </c>
      <c r="X108" s="47"/>
      <c r="Y108" s="25">
        <v>43</v>
      </c>
      <c r="Z108" s="25">
        <v>43</v>
      </c>
      <c r="AA108" s="25">
        <v>43</v>
      </c>
      <c r="AB108" s="25">
        <v>43</v>
      </c>
      <c r="AC108" s="25">
        <v>43</v>
      </c>
      <c r="AD108" s="25">
        <v>43</v>
      </c>
      <c r="AE108" s="47"/>
      <c r="AF108" s="25">
        <v>43</v>
      </c>
      <c r="AG108" s="25">
        <v>43</v>
      </c>
      <c r="AH108" s="25">
        <v>43</v>
      </c>
      <c r="AI108" s="25">
        <v>43</v>
      </c>
      <c r="AJ108" s="25">
        <v>43</v>
      </c>
      <c r="AK108" s="25">
        <v>43</v>
      </c>
      <c r="AL108" s="47"/>
      <c r="AM108" s="25">
        <v>43</v>
      </c>
      <c r="AN108" s="25">
        <v>43</v>
      </c>
      <c r="AO108" s="25">
        <v>43</v>
      </c>
      <c r="AP108" s="25">
        <v>43</v>
      </c>
      <c r="AQ108" s="25">
        <v>43</v>
      </c>
      <c r="AR108" s="25">
        <v>43</v>
      </c>
      <c r="AS108" s="47"/>
      <c r="AT108" s="25">
        <v>43</v>
      </c>
      <c r="AU108" s="25">
        <v>43</v>
      </c>
      <c r="AV108" s="25">
        <v>43</v>
      </c>
      <c r="AW108" s="25">
        <v>43</v>
      </c>
      <c r="AX108" s="25">
        <v>43</v>
      </c>
      <c r="AY108" s="25">
        <v>43</v>
      </c>
      <c r="AZ108" s="47"/>
      <c r="BA108" s="25">
        <v>43</v>
      </c>
      <c r="BB108" s="25">
        <v>43</v>
      </c>
      <c r="BC108" s="25">
        <v>43</v>
      </c>
      <c r="BD108" s="25">
        <v>43</v>
      </c>
      <c r="BE108" s="25">
        <v>43</v>
      </c>
      <c r="BF108" s="25">
        <v>43</v>
      </c>
      <c r="BG108" s="47"/>
      <c r="BH108" s="25">
        <v>43</v>
      </c>
      <c r="BI108" s="25">
        <v>43</v>
      </c>
      <c r="BJ108" s="25">
        <v>43</v>
      </c>
    </row>
    <row r="109" spans="1:62" ht="30.75" customHeight="1" x14ac:dyDescent="0.25">
      <c r="A109" s="57" t="s">
        <v>110</v>
      </c>
      <c r="B109" s="56" t="s">
        <v>78</v>
      </c>
      <c r="C109" s="18" t="s">
        <v>9</v>
      </c>
      <c r="D109" s="30"/>
      <c r="E109" s="30"/>
      <c r="F109" s="30"/>
      <c r="G109" s="82" t="s">
        <v>108</v>
      </c>
      <c r="H109" s="30" t="s">
        <v>113</v>
      </c>
      <c r="I109" s="30"/>
      <c r="J109" s="53"/>
      <c r="K109" s="30"/>
      <c r="L109" s="30"/>
      <c r="M109" s="30"/>
      <c r="N109" s="30"/>
      <c r="O109" s="30"/>
      <c r="P109" s="30"/>
      <c r="Q109" s="53"/>
      <c r="R109" s="30"/>
      <c r="S109" s="30"/>
      <c r="T109" s="30"/>
      <c r="U109" s="30"/>
      <c r="V109" s="30"/>
      <c r="W109" s="30"/>
      <c r="X109" s="53"/>
      <c r="Y109" s="30"/>
      <c r="Z109" s="30"/>
      <c r="AA109" s="30"/>
      <c r="AB109" s="30"/>
      <c r="AC109" s="30"/>
      <c r="AD109" s="82" t="s">
        <v>78</v>
      </c>
      <c r="AE109" s="53"/>
      <c r="AF109" s="30"/>
      <c r="AG109" s="30"/>
      <c r="AH109" s="30"/>
      <c r="AI109" s="30"/>
      <c r="AJ109" s="30"/>
      <c r="AK109" s="30"/>
      <c r="AL109" s="53"/>
      <c r="AM109" s="30"/>
      <c r="AN109" s="30"/>
      <c r="AO109" s="30"/>
      <c r="AP109" s="30"/>
      <c r="AQ109" s="30"/>
      <c r="AR109" s="30"/>
      <c r="AS109" s="53"/>
      <c r="AT109" s="30"/>
      <c r="AU109" s="30"/>
      <c r="AV109" s="30"/>
      <c r="AW109" s="30"/>
      <c r="AX109" s="30"/>
      <c r="AY109" s="30"/>
      <c r="AZ109" s="53"/>
      <c r="BA109" s="30"/>
      <c r="BB109" s="30"/>
      <c r="BC109" s="30"/>
      <c r="BD109" s="30"/>
      <c r="BE109" s="30"/>
      <c r="BF109" s="30"/>
      <c r="BG109" s="53"/>
      <c r="BH109" s="30"/>
      <c r="BI109" s="30"/>
      <c r="BJ109" s="30"/>
    </row>
    <row r="110" spans="1:62" s="14" customFormat="1" ht="15.75" x14ac:dyDescent="0.25">
      <c r="A110" s="17"/>
      <c r="B110" s="58"/>
      <c r="C110" s="23" t="s">
        <v>2</v>
      </c>
      <c r="D110" s="25">
        <v>1423.6363636363637</v>
      </c>
      <c r="E110" s="25">
        <v>1423.6363636363637</v>
      </c>
      <c r="F110" s="25">
        <v>1423.6363636363637</v>
      </c>
      <c r="G110" s="25">
        <v>0</v>
      </c>
      <c r="H110" s="25">
        <v>755.03571428571433</v>
      </c>
      <c r="I110" s="25">
        <v>755.03571428571433</v>
      </c>
      <c r="J110" s="47"/>
      <c r="K110" s="25">
        <v>755.03571428571433</v>
      </c>
      <c r="L110" s="25">
        <v>755.03571428571433</v>
      </c>
      <c r="M110" s="25">
        <v>755.03571428571433</v>
      </c>
      <c r="N110" s="25">
        <v>755.03571428571433</v>
      </c>
      <c r="O110" s="25">
        <v>755.03571428571433</v>
      </c>
      <c r="P110" s="25">
        <v>755.03571428571433</v>
      </c>
      <c r="Q110" s="47"/>
      <c r="R110" s="25">
        <v>755</v>
      </c>
      <c r="S110" s="25">
        <v>755</v>
      </c>
      <c r="T110" s="25">
        <v>755</v>
      </c>
      <c r="U110" s="25">
        <v>755</v>
      </c>
      <c r="V110" s="25">
        <v>755</v>
      </c>
      <c r="W110" s="25">
        <v>755</v>
      </c>
      <c r="X110" s="47"/>
      <c r="Y110" s="25">
        <v>755</v>
      </c>
      <c r="Z110" s="25">
        <v>755</v>
      </c>
      <c r="AA110" s="25">
        <v>755</v>
      </c>
      <c r="AB110" s="25">
        <v>755</v>
      </c>
      <c r="AC110" s="25">
        <v>755</v>
      </c>
      <c r="AD110" s="25">
        <v>0</v>
      </c>
      <c r="AE110" s="47"/>
      <c r="AF110" s="25">
        <v>1483.578947368421</v>
      </c>
      <c r="AG110" s="25">
        <v>1483.578947368421</v>
      </c>
      <c r="AH110" s="25">
        <v>1483.578947368421</v>
      </c>
      <c r="AI110" s="25">
        <v>1483.578947368421</v>
      </c>
      <c r="AJ110" s="25">
        <v>1483.578947368421</v>
      </c>
      <c r="AK110" s="25">
        <v>1483.578947368421</v>
      </c>
      <c r="AL110" s="47"/>
      <c r="AM110" s="25">
        <v>1483.578947368421</v>
      </c>
      <c r="AN110" s="25">
        <v>1483.578947368421</v>
      </c>
      <c r="AO110" s="25">
        <v>1483.578947368421</v>
      </c>
      <c r="AP110" s="25">
        <v>1483.578947368421</v>
      </c>
      <c r="AQ110" s="25">
        <v>1483.578947368421</v>
      </c>
      <c r="AR110" s="25">
        <v>1483.578947368421</v>
      </c>
      <c r="AS110" s="47"/>
      <c r="AT110" s="25">
        <v>1483.578947368421</v>
      </c>
      <c r="AU110" s="25">
        <v>1483.578947368421</v>
      </c>
      <c r="AV110" s="25">
        <v>1483.578947368421</v>
      </c>
      <c r="AW110" s="25">
        <v>1483.578947368421</v>
      </c>
      <c r="AX110" s="25">
        <v>1483.578947368421</v>
      </c>
      <c r="AY110" s="25">
        <v>1483.578947368421</v>
      </c>
      <c r="AZ110" s="47"/>
      <c r="BA110" s="25">
        <v>1483.578947368421</v>
      </c>
      <c r="BB110" s="25">
        <v>1483.578947368421</v>
      </c>
      <c r="BC110" s="25">
        <v>1483.578947368421</v>
      </c>
      <c r="BD110" s="25">
        <v>1483.578947368421</v>
      </c>
      <c r="BE110" s="25">
        <v>1483.578947368421</v>
      </c>
      <c r="BF110" s="25">
        <v>1483.578947368421</v>
      </c>
      <c r="BG110" s="47"/>
      <c r="BH110" s="25"/>
      <c r="BI110" s="25"/>
      <c r="BJ110" s="25"/>
    </row>
    <row r="111" spans="1:62" s="14" customFormat="1" ht="15.75" x14ac:dyDescent="0.25">
      <c r="A111" s="17"/>
      <c r="B111" s="58"/>
      <c r="C111" s="23" t="s">
        <v>8</v>
      </c>
      <c r="D111" s="25">
        <v>44</v>
      </c>
      <c r="E111" s="25">
        <v>44</v>
      </c>
      <c r="F111" s="25">
        <v>44</v>
      </c>
      <c r="G111" s="25">
        <v>44</v>
      </c>
      <c r="H111" s="25">
        <v>44</v>
      </c>
      <c r="I111" s="25">
        <v>44</v>
      </c>
      <c r="J111" s="47"/>
      <c r="K111" s="25">
        <v>44</v>
      </c>
      <c r="L111" s="25">
        <v>44</v>
      </c>
      <c r="M111" s="25">
        <v>44</v>
      </c>
      <c r="N111" s="25">
        <v>44</v>
      </c>
      <c r="O111" s="25">
        <v>44</v>
      </c>
      <c r="P111" s="25">
        <v>44</v>
      </c>
      <c r="Q111" s="47"/>
      <c r="R111" s="25">
        <v>44</v>
      </c>
      <c r="S111" s="25">
        <v>44</v>
      </c>
      <c r="T111" s="25">
        <v>44</v>
      </c>
      <c r="U111" s="25">
        <v>44</v>
      </c>
      <c r="V111" s="25">
        <v>44</v>
      </c>
      <c r="W111" s="25">
        <v>44</v>
      </c>
      <c r="X111" s="47"/>
      <c r="Y111" s="25">
        <v>44</v>
      </c>
      <c r="Z111" s="25">
        <v>44</v>
      </c>
      <c r="AA111" s="25">
        <v>44</v>
      </c>
      <c r="AB111" s="25">
        <v>44</v>
      </c>
      <c r="AC111" s="25">
        <v>44</v>
      </c>
      <c r="AD111" s="25">
        <v>44</v>
      </c>
      <c r="AE111" s="47"/>
      <c r="AF111" s="25">
        <v>44</v>
      </c>
      <c r="AG111" s="25">
        <v>44</v>
      </c>
      <c r="AH111" s="25">
        <v>44</v>
      </c>
      <c r="AI111" s="25">
        <v>44</v>
      </c>
      <c r="AJ111" s="25">
        <v>44</v>
      </c>
      <c r="AK111" s="25">
        <v>44</v>
      </c>
      <c r="AL111" s="47"/>
      <c r="AM111" s="25">
        <v>44</v>
      </c>
      <c r="AN111" s="25">
        <v>44</v>
      </c>
      <c r="AO111" s="25">
        <v>44</v>
      </c>
      <c r="AP111" s="25">
        <v>44</v>
      </c>
      <c r="AQ111" s="25">
        <v>44</v>
      </c>
      <c r="AR111" s="25">
        <v>44</v>
      </c>
      <c r="AS111" s="47"/>
      <c r="AT111" s="25">
        <v>44</v>
      </c>
      <c r="AU111" s="25">
        <v>44</v>
      </c>
      <c r="AV111" s="25">
        <v>44</v>
      </c>
      <c r="AW111" s="25">
        <v>44</v>
      </c>
      <c r="AX111" s="25">
        <v>44</v>
      </c>
      <c r="AY111" s="25">
        <v>44</v>
      </c>
      <c r="AZ111" s="47"/>
      <c r="BA111" s="25">
        <v>44</v>
      </c>
      <c r="BB111" s="25">
        <v>44</v>
      </c>
      <c r="BC111" s="25">
        <v>44</v>
      </c>
      <c r="BD111" s="25">
        <v>44</v>
      </c>
      <c r="BE111" s="25">
        <v>44</v>
      </c>
      <c r="BF111" s="25">
        <v>44</v>
      </c>
      <c r="BG111" s="47"/>
      <c r="BH111" s="25"/>
      <c r="BI111" s="25"/>
      <c r="BJ111" s="25"/>
    </row>
    <row r="112" spans="1:62" ht="30.75" customHeight="1" x14ac:dyDescent="0.25">
      <c r="A112" s="57" t="s">
        <v>111</v>
      </c>
      <c r="B112" s="56" t="s">
        <v>68</v>
      </c>
      <c r="C112" s="18" t="s">
        <v>9</v>
      </c>
      <c r="D112" s="30"/>
      <c r="E112" s="30"/>
      <c r="F112" s="30"/>
      <c r="G112" s="30"/>
      <c r="H112" s="30"/>
      <c r="I112" s="30"/>
      <c r="J112" s="53"/>
      <c r="K112" s="30"/>
      <c r="L112" s="30"/>
      <c r="M112" s="30"/>
      <c r="N112" s="30"/>
      <c r="O112" s="30"/>
      <c r="P112" s="30"/>
      <c r="Q112" s="53"/>
      <c r="R112" s="30"/>
      <c r="S112" s="30"/>
      <c r="T112" s="30"/>
      <c r="U112" s="30"/>
      <c r="V112" s="30"/>
      <c r="W112" s="30"/>
      <c r="X112" s="53"/>
      <c r="Y112" s="30"/>
      <c r="Z112" s="30"/>
      <c r="AA112" s="30"/>
      <c r="AB112" s="30"/>
      <c r="AC112" s="30"/>
      <c r="AD112" s="82" t="s">
        <v>78</v>
      </c>
      <c r="AE112" s="53"/>
      <c r="AF112" s="30"/>
      <c r="AG112" s="30"/>
      <c r="AH112" s="30"/>
      <c r="AI112" s="30"/>
      <c r="AJ112" s="30"/>
      <c r="AK112" s="30"/>
      <c r="AL112" s="53"/>
      <c r="AM112" s="30"/>
      <c r="AN112" s="30"/>
      <c r="AO112" s="30"/>
      <c r="AP112" s="30"/>
      <c r="AQ112" s="30"/>
      <c r="AR112" s="30"/>
      <c r="AS112" s="53"/>
      <c r="AT112" s="30"/>
      <c r="AU112" s="30"/>
      <c r="AV112" s="30"/>
      <c r="AW112" s="30"/>
      <c r="AX112" s="30"/>
      <c r="AY112" s="30"/>
      <c r="AZ112" s="53"/>
      <c r="BA112" s="30"/>
      <c r="BB112" s="30"/>
      <c r="BC112" s="30"/>
      <c r="BD112" s="30"/>
      <c r="BE112" s="30"/>
      <c r="BF112" s="30"/>
      <c r="BG112" s="53"/>
      <c r="BH112" s="30"/>
      <c r="BI112" s="30"/>
      <c r="BJ112" s="30"/>
    </row>
    <row r="113" spans="1:62" s="14" customFormat="1" ht="15.75" x14ac:dyDescent="0.25">
      <c r="A113" s="17"/>
      <c r="B113" s="58"/>
      <c r="C113" s="23" t="s">
        <v>2</v>
      </c>
      <c r="D113" s="25">
        <v>724.75145697634548</v>
      </c>
      <c r="E113" s="25">
        <v>724.75145697634548</v>
      </c>
      <c r="F113" s="25">
        <v>724.75145697634548</v>
      </c>
      <c r="G113" s="25">
        <v>724.75145697634548</v>
      </c>
      <c r="H113" s="25">
        <v>724.75145697634548</v>
      </c>
      <c r="I113" s="25">
        <v>724.75145697634548</v>
      </c>
      <c r="J113" s="47">
        <v>0</v>
      </c>
      <c r="K113" s="25">
        <v>724.75145697634548</v>
      </c>
      <c r="L113" s="25">
        <v>724.75145697634548</v>
      </c>
      <c r="M113" s="25">
        <v>724.75145697634548</v>
      </c>
      <c r="N113" s="25">
        <v>724.75145697634548</v>
      </c>
      <c r="O113" s="25">
        <v>724.75145697634548</v>
      </c>
      <c r="P113" s="25">
        <v>724.75145697634548</v>
      </c>
      <c r="Q113" s="47">
        <v>0</v>
      </c>
      <c r="R113" s="25">
        <v>724.75145697634548</v>
      </c>
      <c r="S113" s="25">
        <v>724.75145697634548</v>
      </c>
      <c r="T113" s="25">
        <v>724.75145697634548</v>
      </c>
      <c r="U113" s="25">
        <v>724.75145697634548</v>
      </c>
      <c r="V113" s="25">
        <v>724.75145697634548</v>
      </c>
      <c r="W113" s="25">
        <v>724.75145697634548</v>
      </c>
      <c r="X113" s="47">
        <v>0</v>
      </c>
      <c r="Y113" s="25">
        <v>724.75145697634548</v>
      </c>
      <c r="Z113" s="25">
        <v>724.75145697634548</v>
      </c>
      <c r="AA113" s="25">
        <v>724.75145697634548</v>
      </c>
      <c r="AB113" s="25">
        <v>724.75145697634548</v>
      </c>
      <c r="AC113" s="25">
        <v>724.75145697634548</v>
      </c>
      <c r="AD113" s="25">
        <v>0</v>
      </c>
      <c r="AE113" s="47"/>
      <c r="AF113" s="25">
        <v>1401.1578947368421</v>
      </c>
      <c r="AG113" s="25">
        <v>1401.1578947368421</v>
      </c>
      <c r="AH113" s="25">
        <v>1401.1578947368421</v>
      </c>
      <c r="AI113" s="25">
        <v>1401.1578947368421</v>
      </c>
      <c r="AJ113" s="25">
        <v>1401.1578947368421</v>
      </c>
      <c r="AK113" s="25">
        <v>1401.1578947368421</v>
      </c>
      <c r="AL113" s="47"/>
      <c r="AM113" s="25">
        <v>1401.1578947368421</v>
      </c>
      <c r="AN113" s="25">
        <v>1401.1578947368421</v>
      </c>
      <c r="AO113" s="25">
        <v>1401.1578947368421</v>
      </c>
      <c r="AP113" s="25">
        <v>1401.1578947368421</v>
      </c>
      <c r="AQ113" s="25">
        <v>1401.1578947368421</v>
      </c>
      <c r="AR113" s="25">
        <v>1401.1578947368421</v>
      </c>
      <c r="AS113" s="47"/>
      <c r="AT113" s="25">
        <v>1401.1578947368421</v>
      </c>
      <c r="AU113" s="25">
        <v>1401.1578947368421</v>
      </c>
      <c r="AV113" s="25">
        <v>1401.1578947368421</v>
      </c>
      <c r="AW113" s="25">
        <v>1401.1578947368421</v>
      </c>
      <c r="AX113" s="25">
        <v>1401.1578947368421</v>
      </c>
      <c r="AY113" s="25">
        <v>1401.1578947368421</v>
      </c>
      <c r="AZ113" s="47"/>
      <c r="BA113" s="25"/>
      <c r="BB113" s="25"/>
      <c r="BC113" s="25"/>
      <c r="BD113" s="25"/>
      <c r="BE113" s="25"/>
      <c r="BF113" s="25"/>
      <c r="BG113" s="47"/>
      <c r="BH113" s="25"/>
      <c r="BI113" s="25"/>
      <c r="BJ113" s="25"/>
    </row>
    <row r="114" spans="1:62" s="14" customFormat="1" ht="15.75" x14ac:dyDescent="0.25">
      <c r="A114" s="17"/>
      <c r="B114" s="58"/>
      <c r="C114" s="23" t="s">
        <v>8</v>
      </c>
      <c r="D114" s="25">
        <v>48</v>
      </c>
      <c r="E114" s="25">
        <v>48</v>
      </c>
      <c r="F114" s="25">
        <v>48</v>
      </c>
      <c r="G114" s="25">
        <v>48</v>
      </c>
      <c r="H114" s="25">
        <v>48</v>
      </c>
      <c r="I114" s="25">
        <v>48</v>
      </c>
      <c r="J114" s="47"/>
      <c r="K114" s="25">
        <v>48</v>
      </c>
      <c r="L114" s="25">
        <v>48</v>
      </c>
      <c r="M114" s="25">
        <v>48</v>
      </c>
      <c r="N114" s="25">
        <v>48</v>
      </c>
      <c r="O114" s="25">
        <v>48</v>
      </c>
      <c r="P114" s="25">
        <v>48</v>
      </c>
      <c r="Q114" s="47"/>
      <c r="R114" s="25">
        <v>48</v>
      </c>
      <c r="S114" s="25">
        <v>48</v>
      </c>
      <c r="T114" s="25">
        <v>48</v>
      </c>
      <c r="U114" s="25">
        <v>48</v>
      </c>
      <c r="V114" s="25">
        <v>48</v>
      </c>
      <c r="W114" s="25">
        <v>48</v>
      </c>
      <c r="X114" s="47"/>
      <c r="Y114" s="25">
        <v>48</v>
      </c>
      <c r="Z114" s="25">
        <v>48</v>
      </c>
      <c r="AA114" s="25">
        <v>48</v>
      </c>
      <c r="AB114" s="25">
        <v>48</v>
      </c>
      <c r="AC114" s="25">
        <v>48</v>
      </c>
      <c r="AD114" s="25">
        <v>48</v>
      </c>
      <c r="AE114" s="47"/>
      <c r="AF114" s="25">
        <v>42</v>
      </c>
      <c r="AG114" s="25">
        <v>42</v>
      </c>
      <c r="AH114" s="25">
        <v>42</v>
      </c>
      <c r="AI114" s="25">
        <v>42</v>
      </c>
      <c r="AJ114" s="25">
        <v>42</v>
      </c>
      <c r="AK114" s="25">
        <v>42</v>
      </c>
      <c r="AL114" s="47"/>
      <c r="AM114" s="25">
        <v>42</v>
      </c>
      <c r="AN114" s="25">
        <v>42</v>
      </c>
      <c r="AO114" s="25">
        <v>42</v>
      </c>
      <c r="AP114" s="25">
        <v>42</v>
      </c>
      <c r="AQ114" s="25">
        <v>42</v>
      </c>
      <c r="AR114" s="25">
        <v>42</v>
      </c>
      <c r="AS114" s="47"/>
      <c r="AT114" s="25">
        <v>42</v>
      </c>
      <c r="AU114" s="25">
        <v>42</v>
      </c>
      <c r="AV114" s="25">
        <v>42</v>
      </c>
      <c r="AW114" s="25">
        <v>42</v>
      </c>
      <c r="AX114" s="25">
        <v>42</v>
      </c>
      <c r="AY114" s="25">
        <v>42</v>
      </c>
      <c r="AZ114" s="47"/>
      <c r="BA114" s="25"/>
      <c r="BB114" s="25"/>
      <c r="BC114" s="25"/>
      <c r="BD114" s="25"/>
      <c r="BE114" s="25"/>
      <c r="BF114" s="25"/>
      <c r="BG114" s="47"/>
      <c r="BH114" s="25"/>
      <c r="BI114" s="25"/>
      <c r="BJ114" s="25"/>
    </row>
    <row r="115" spans="1:62" ht="30.75" customHeight="1" x14ac:dyDescent="0.25">
      <c r="A115" s="57" t="s">
        <v>109</v>
      </c>
      <c r="B115" s="56" t="s">
        <v>78</v>
      </c>
      <c r="C115" s="18" t="s">
        <v>9</v>
      </c>
      <c r="D115" s="30"/>
      <c r="E115" s="30"/>
      <c r="F115" s="30"/>
      <c r="G115" s="30"/>
      <c r="H115" s="30"/>
      <c r="I115" s="30"/>
      <c r="J115" s="53"/>
      <c r="K115" s="30"/>
      <c r="L115" s="30"/>
      <c r="M115" s="30"/>
      <c r="N115" s="30"/>
      <c r="O115" s="30"/>
      <c r="P115" s="30"/>
      <c r="Q115" s="53"/>
      <c r="R115" s="30"/>
      <c r="S115" s="30"/>
      <c r="T115" s="30"/>
      <c r="U115" s="30"/>
      <c r="V115" s="30"/>
      <c r="W115" s="30"/>
      <c r="X115" s="53"/>
      <c r="Y115" s="30"/>
      <c r="Z115" s="30"/>
      <c r="AA115" s="30"/>
      <c r="AB115" s="30"/>
      <c r="AC115" s="30"/>
      <c r="AD115" s="30"/>
      <c r="AE115" s="53"/>
      <c r="AF115" s="30"/>
      <c r="AG115" s="30"/>
      <c r="AH115" s="30"/>
      <c r="AI115" s="30"/>
      <c r="AJ115" s="30"/>
      <c r="AK115" s="30"/>
      <c r="AL115" s="53"/>
      <c r="AM115" s="30"/>
      <c r="AN115" s="30"/>
      <c r="AO115" s="30"/>
      <c r="AP115" s="30"/>
      <c r="AQ115" s="30"/>
      <c r="AR115" s="30"/>
      <c r="AS115" s="53"/>
      <c r="AT115" s="30"/>
      <c r="AU115" s="30"/>
      <c r="AV115" s="30"/>
      <c r="AW115" s="30"/>
      <c r="AX115" s="30"/>
      <c r="AY115" s="30"/>
      <c r="AZ115" s="53"/>
      <c r="BA115" s="30"/>
      <c r="BB115" s="30"/>
      <c r="BC115" s="30"/>
      <c r="BD115" s="30"/>
      <c r="BE115" s="30"/>
      <c r="BF115" s="30"/>
      <c r="BG115" s="53"/>
      <c r="BH115" s="30"/>
      <c r="BI115" s="30"/>
      <c r="BJ115" s="30"/>
    </row>
    <row r="116" spans="1:62" s="14" customFormat="1" ht="15.75" x14ac:dyDescent="0.25">
      <c r="A116" s="17"/>
      <c r="B116" s="58"/>
      <c r="C116" s="23" t="s">
        <v>2</v>
      </c>
      <c r="D116" s="25">
        <v>644.22351731230719</v>
      </c>
      <c r="E116" s="25">
        <v>644.22351731230719</v>
      </c>
      <c r="F116" s="25">
        <v>644.22351731230719</v>
      </c>
      <c r="G116" s="25">
        <v>644.22351731230719</v>
      </c>
      <c r="H116" s="25">
        <v>644.22351731230719</v>
      </c>
      <c r="I116" s="25">
        <v>644.22351731230719</v>
      </c>
      <c r="J116" s="47"/>
      <c r="K116" s="25">
        <v>644.22351731230719</v>
      </c>
      <c r="L116" s="25">
        <v>724.75145697634548</v>
      </c>
      <c r="M116" s="25">
        <v>724.75145697634548</v>
      </c>
      <c r="N116" s="25">
        <v>724.75145697634548</v>
      </c>
      <c r="O116" s="25">
        <v>724.75145697634548</v>
      </c>
      <c r="P116" s="25">
        <v>724.75145697634548</v>
      </c>
      <c r="Q116" s="47"/>
      <c r="R116" s="25">
        <v>724.75145697634548</v>
      </c>
      <c r="S116" s="25">
        <v>724.75145697634548</v>
      </c>
      <c r="T116" s="25">
        <v>724.75145697634548</v>
      </c>
      <c r="U116" s="25">
        <v>724.75145697634548</v>
      </c>
      <c r="V116" s="25">
        <v>724.75145697634548</v>
      </c>
      <c r="W116" s="25">
        <v>724.75145697634548</v>
      </c>
      <c r="X116" s="47"/>
      <c r="Y116" s="25">
        <v>724.75145697634548</v>
      </c>
      <c r="Z116" s="25"/>
      <c r="AA116" s="25"/>
      <c r="AB116" s="25"/>
      <c r="AC116" s="25"/>
      <c r="AD116" s="25"/>
      <c r="AE116" s="47"/>
      <c r="AF116" s="25"/>
      <c r="AG116" s="25"/>
      <c r="AH116" s="25"/>
      <c r="AI116" s="25"/>
      <c r="AJ116" s="25"/>
      <c r="AK116" s="25"/>
      <c r="AL116" s="47"/>
      <c r="AM116" s="25"/>
      <c r="AN116" s="25"/>
      <c r="AO116" s="25"/>
      <c r="AP116" s="25"/>
      <c r="AQ116" s="25"/>
      <c r="AR116" s="25"/>
      <c r="AS116" s="47"/>
      <c r="AT116" s="25"/>
      <c r="AU116" s="25"/>
      <c r="AV116" s="25"/>
      <c r="AW116" s="25"/>
      <c r="AX116" s="25"/>
      <c r="AY116" s="25"/>
      <c r="AZ116" s="47"/>
      <c r="BA116" s="25"/>
      <c r="BB116" s="25"/>
      <c r="BC116" s="25"/>
      <c r="BD116" s="25"/>
      <c r="BE116" s="25"/>
      <c r="BF116" s="25"/>
      <c r="BG116" s="47"/>
      <c r="BH116" s="25"/>
      <c r="BI116" s="25"/>
      <c r="BJ116" s="25"/>
    </row>
    <row r="117" spans="1:62" s="14" customFormat="1" ht="15.75" x14ac:dyDescent="0.25">
      <c r="A117" s="17"/>
      <c r="B117" s="58"/>
      <c r="C117" s="23" t="s">
        <v>8</v>
      </c>
      <c r="D117" s="25">
        <v>40</v>
      </c>
      <c r="E117" s="25">
        <v>40</v>
      </c>
      <c r="F117" s="25">
        <v>40</v>
      </c>
      <c r="G117" s="25">
        <v>40</v>
      </c>
      <c r="H117" s="25">
        <v>40</v>
      </c>
      <c r="I117" s="25">
        <v>40</v>
      </c>
      <c r="J117" s="47"/>
      <c r="K117" s="25">
        <v>40</v>
      </c>
      <c r="L117" s="25">
        <v>40</v>
      </c>
      <c r="M117" s="25">
        <v>40</v>
      </c>
      <c r="N117" s="25">
        <v>40</v>
      </c>
      <c r="O117" s="25">
        <v>40</v>
      </c>
      <c r="P117" s="25">
        <v>40</v>
      </c>
      <c r="Q117" s="47"/>
      <c r="R117" s="25">
        <v>40</v>
      </c>
      <c r="S117" s="25">
        <v>40</v>
      </c>
      <c r="T117" s="25">
        <v>40</v>
      </c>
      <c r="U117" s="25">
        <v>40</v>
      </c>
      <c r="V117" s="25">
        <v>40</v>
      </c>
      <c r="W117" s="25">
        <v>40</v>
      </c>
      <c r="X117" s="47"/>
      <c r="Y117" s="25">
        <v>40</v>
      </c>
      <c r="Z117" s="25">
        <v>40</v>
      </c>
      <c r="AA117" s="25">
        <v>40</v>
      </c>
      <c r="AB117" s="25">
        <v>40</v>
      </c>
      <c r="AC117" s="25">
        <v>40</v>
      </c>
      <c r="AD117" s="25">
        <v>40</v>
      </c>
      <c r="AE117" s="47"/>
      <c r="AF117" s="25">
        <v>40</v>
      </c>
      <c r="AG117" s="25">
        <v>40</v>
      </c>
      <c r="AH117" s="25">
        <v>40</v>
      </c>
      <c r="AI117" s="25">
        <v>40</v>
      </c>
      <c r="AJ117" s="25">
        <v>40</v>
      </c>
      <c r="AK117" s="25">
        <v>40</v>
      </c>
      <c r="AL117" s="47"/>
      <c r="AM117" s="25"/>
      <c r="AN117" s="25"/>
      <c r="AO117" s="25"/>
      <c r="AP117" s="25"/>
      <c r="AQ117" s="25"/>
      <c r="AR117" s="25"/>
      <c r="AS117" s="47"/>
      <c r="AT117" s="25"/>
      <c r="AU117" s="25"/>
      <c r="AV117" s="25"/>
      <c r="AW117" s="25"/>
      <c r="AX117" s="25"/>
      <c r="AY117" s="25"/>
      <c r="AZ117" s="47"/>
      <c r="BA117" s="25"/>
      <c r="BB117" s="25"/>
      <c r="BC117" s="25"/>
      <c r="BD117" s="25"/>
      <c r="BE117" s="25"/>
      <c r="BF117" s="25"/>
      <c r="BG117" s="47"/>
      <c r="BH117" s="25"/>
      <c r="BI117" s="25"/>
      <c r="BJ117" s="25"/>
    </row>
    <row r="118" spans="1:62" ht="16.5" thickBot="1" x14ac:dyDescent="0.3">
      <c r="A118" s="34" t="s">
        <v>11</v>
      </c>
      <c r="B118" s="35"/>
      <c r="C118" s="36" t="s">
        <v>8</v>
      </c>
      <c r="D118" s="25"/>
      <c r="E118" s="25"/>
      <c r="F118" s="25"/>
      <c r="G118" s="25"/>
      <c r="H118" s="25"/>
      <c r="I118" s="25"/>
      <c r="J118" s="47"/>
      <c r="K118" s="25"/>
      <c r="L118" s="25"/>
      <c r="M118" s="25"/>
      <c r="N118" s="25"/>
      <c r="O118" s="25"/>
      <c r="P118" s="25"/>
      <c r="Q118" s="47"/>
      <c r="R118" s="25"/>
      <c r="S118" s="25"/>
      <c r="T118" s="25"/>
      <c r="U118" s="25"/>
      <c r="V118" s="25"/>
      <c r="W118" s="25"/>
      <c r="X118" s="47"/>
      <c r="Y118" s="25"/>
      <c r="Z118" s="25"/>
      <c r="AA118" s="25"/>
      <c r="AB118" s="25"/>
      <c r="AC118" s="25"/>
      <c r="AD118" s="25"/>
      <c r="AE118" s="47"/>
      <c r="AF118" s="25"/>
      <c r="AG118" s="25"/>
      <c r="AH118" s="25"/>
      <c r="AI118" s="25"/>
      <c r="AJ118" s="25"/>
      <c r="AK118" s="25"/>
      <c r="AL118" s="47"/>
      <c r="AM118" s="25"/>
      <c r="AN118" s="25"/>
      <c r="AO118" s="25"/>
      <c r="AP118" s="25"/>
      <c r="AQ118" s="25"/>
      <c r="AR118" s="25"/>
      <c r="AS118" s="47"/>
      <c r="AT118" s="25"/>
      <c r="AU118" s="25"/>
      <c r="AV118" s="25"/>
      <c r="AW118" s="25"/>
      <c r="AX118" s="25"/>
      <c r="AY118" s="25"/>
      <c r="AZ118" s="47"/>
      <c r="BA118" s="25"/>
      <c r="BB118" s="25"/>
      <c r="BC118" s="25"/>
      <c r="BD118" s="25"/>
      <c r="BE118" s="25"/>
      <c r="BF118" s="25"/>
      <c r="BG118" s="47"/>
      <c r="BH118" s="25"/>
      <c r="BI118" s="25"/>
      <c r="BJ118" s="25"/>
    </row>
    <row r="119" spans="1:62" s="2" customFormat="1" ht="16.5" thickBot="1" x14ac:dyDescent="0.3">
      <c r="A119" s="106" t="s">
        <v>3</v>
      </c>
      <c r="B119" s="107"/>
      <c r="C119" s="23" t="s">
        <v>2</v>
      </c>
      <c r="D119" s="37">
        <f t="shared" ref="D119:J119" si="294">SUM(D61+D116+D113+D107+D110+D58+D101+D98+D95+D70+D67+D64+D55+D52+D46+F43+D40+F43+D37+D34+D31+D28+D25+D22+D19+D16+D13+D10+D7+D10+D13+D43+D92+D104)</f>
        <v>35379.276050156157</v>
      </c>
      <c r="E119" s="37">
        <f t="shared" si="294"/>
        <v>36072.88010110538</v>
      </c>
      <c r="F119" s="37">
        <f t="shared" si="294"/>
        <v>40561.144172385037</v>
      </c>
      <c r="G119" s="37">
        <f t="shared" si="294"/>
        <v>38565.507808748669</v>
      </c>
      <c r="H119" s="37">
        <f t="shared" si="294"/>
        <v>36725.646239716436</v>
      </c>
      <c r="I119" s="37">
        <f t="shared" si="294"/>
        <v>34559.195726578808</v>
      </c>
      <c r="J119" s="37">
        <f t="shared" si="294"/>
        <v>1647.3421641149146</v>
      </c>
      <c r="K119" s="37">
        <f>SUM(K61+K116+K113+K107+K110+K58+K101+K98+K95+K70+K67+K64+K55+K52+K46+M43+K40+M43+K37+K34+K31+K28+K25+K22+K19+K16+K13+K10+K7+K10+K13+K43+K92+K104)</f>
        <v>31668.021115278709</v>
      </c>
      <c r="L119" s="37">
        <f t="shared" ref="L119:AK119" si="295">SUM(L61+L116+L113+L107+L110+L58+L101+L98+L95+L70+L67+L64+L55+L52+L46+N43+L40+N43+L37+L34+L31+L28+L25+L22+L19+L16+L13+L10+L7+L10+L13+L43+L92+L104)</f>
        <v>35077.870760745522</v>
      </c>
      <c r="M119" s="37">
        <f t="shared" si="295"/>
        <v>35493.820776212247</v>
      </c>
      <c r="N119" s="37">
        <f t="shared" si="295"/>
        <v>36741.92322884225</v>
      </c>
      <c r="O119" s="37">
        <f t="shared" si="295"/>
        <v>36008.361638411596</v>
      </c>
      <c r="P119" s="37">
        <f t="shared" si="295"/>
        <v>41856.482344282143</v>
      </c>
      <c r="Q119" s="37">
        <f t="shared" si="295"/>
        <v>3275.0731119903662</v>
      </c>
      <c r="R119" s="37">
        <f t="shared" si="295"/>
        <v>40226.125320063969</v>
      </c>
      <c r="S119" s="37">
        <f t="shared" si="295"/>
        <v>41031.788758648639</v>
      </c>
      <c r="T119" s="37">
        <f t="shared" si="295"/>
        <v>41753.87136248692</v>
      </c>
      <c r="U119" s="37">
        <f t="shared" si="295"/>
        <v>38628.174839922278</v>
      </c>
      <c r="V119" s="37">
        <f t="shared" si="295"/>
        <v>38306.856924154978</v>
      </c>
      <c r="W119" s="37">
        <f t="shared" si="295"/>
        <v>39697.944362639311</v>
      </c>
      <c r="X119" s="37">
        <f t="shared" si="295"/>
        <v>3275.0731119903662</v>
      </c>
      <c r="Y119" s="37">
        <f t="shared" si="295"/>
        <v>40085.64154577563</v>
      </c>
      <c r="Z119" s="37">
        <f t="shared" si="295"/>
        <v>34301.345617440842</v>
      </c>
      <c r="AA119" s="37">
        <f t="shared" si="295"/>
        <v>36860.878660993265</v>
      </c>
      <c r="AB119" s="37">
        <f t="shared" si="295"/>
        <v>32640.400358009829</v>
      </c>
      <c r="AC119" s="37">
        <f t="shared" si="295"/>
        <v>28849.455165847685</v>
      </c>
      <c r="AD119" s="37">
        <f t="shared" si="295"/>
        <v>31577.797535838963</v>
      </c>
      <c r="AE119" s="37">
        <f t="shared" si="295"/>
        <v>3275.0731119903662</v>
      </c>
      <c r="AF119" s="37">
        <f t="shared" si="295"/>
        <v>29325.274008384367</v>
      </c>
      <c r="AG119" s="37">
        <f t="shared" si="295"/>
        <v>31511.497822418689</v>
      </c>
      <c r="AH119" s="37">
        <f t="shared" si="295"/>
        <v>30583.648590221317</v>
      </c>
      <c r="AI119" s="37">
        <f t="shared" si="295"/>
        <v>28199.377943228734</v>
      </c>
      <c r="AJ119" s="37">
        <f t="shared" si="295"/>
        <v>26025.897048170234</v>
      </c>
      <c r="AK119" s="37">
        <f t="shared" si="295"/>
        <v>28952.433286282332</v>
      </c>
      <c r="AL119" s="37"/>
      <c r="AM119" s="37">
        <f t="shared" ref="AM119:AP119" si="296">SUM(AM61+AM116+AM113+AM107+AM110+AM58+AM101+AM98+AM95+AM70+AM67+AM64+AM55+AM52+AM46+AO43+AM40+AO43+AM37+AM34+AM31+AM28+AM25+AM22+AM19+AM16+AM13+AM10+AM7+AM10+AM13+AM43+AM92+AM104)</f>
        <v>27927.377437777246</v>
      </c>
      <c r="AN119" s="37">
        <f t="shared" si="296"/>
        <v>31858.037711699129</v>
      </c>
      <c r="AO119" s="37">
        <f t="shared" si="296"/>
        <v>30230.901388435173</v>
      </c>
      <c r="AP119" s="37">
        <f t="shared" si="296"/>
        <v>31416.562241446634</v>
      </c>
      <c r="AQ119" s="37">
        <f>SUM(AQ61+AQ116+AQ113+AQ107+AQ110+AQ58+AQ101+AQ98+AQ95+AQ70+AQ67+AQ64+AQ55+AQ52+AQ46+AS43+AQ40+AS43+AQ37+AQ34+AQ31+AQ28+AQ25+AQ22+AQ19+AQ16+AQ13+AR10+AQ7+AR10+AQ13+AQ43+AQ92+AQ104)</f>
        <v>24623.922383548866</v>
      </c>
      <c r="AR119" s="37" t="e">
        <f>SUM(AR61+AR116+AR113+AR107+AR110+AR58+AR101+AR98+AR95+AR70+AR67+AR64+AR55+AR52+AR46+AT43+AR40+AT43+AR37+AR34+AR31+AR28+AR25+AR22+AR19+AR16+AR13+#REF!+AR7+#REF!+AR13+AR43+AR92+AR104)</f>
        <v>#REF!</v>
      </c>
      <c r="AS119" s="37"/>
      <c r="AT119" s="37">
        <f t="shared" ref="AT119:BJ119" si="297">SUM(AT61+AT116+AT113+AT107+AT110+AT58+AT101+AT98+AT95+AT70+AT67+AT64+AT55+AT52+AT46+AV43+AT40+AV43+AT37+AT34+AT31+AT28+AT25+AT22+AT19+AT16+AT13+AT10+AT7+AT10+AT13+AT43+AT92+AT104)</f>
        <v>24445.473289794951</v>
      </c>
      <c r="AU119" s="37">
        <f t="shared" si="297"/>
        <v>26225.294843257434</v>
      </c>
      <c r="AV119" s="37">
        <f t="shared" si="297"/>
        <v>27667.483969146524</v>
      </c>
      <c r="AW119" s="37">
        <f t="shared" si="297"/>
        <v>21971.432068874648</v>
      </c>
      <c r="AX119" s="37">
        <f t="shared" si="297"/>
        <v>21366.129385596952</v>
      </c>
      <c r="AY119" s="37">
        <f t="shared" si="297"/>
        <v>19522.282069579782</v>
      </c>
      <c r="AZ119" s="37">
        <f t="shared" si="297"/>
        <v>0</v>
      </c>
      <c r="BA119" s="37">
        <f t="shared" si="297"/>
        <v>14031.814099439489</v>
      </c>
      <c r="BB119" s="37">
        <f t="shared" si="297"/>
        <v>14031.814099439489</v>
      </c>
      <c r="BC119" s="37">
        <f t="shared" si="297"/>
        <v>14031.814099439489</v>
      </c>
      <c r="BD119" s="37">
        <f t="shared" si="297"/>
        <v>12534.029469954559</v>
      </c>
      <c r="BE119" s="37">
        <f t="shared" si="297"/>
        <v>11688.316076882393</v>
      </c>
      <c r="BF119" s="37">
        <f t="shared" si="297"/>
        <v>10693.969195661424</v>
      </c>
      <c r="BG119" s="37">
        <f t="shared" si="297"/>
        <v>0</v>
      </c>
      <c r="BH119" s="37">
        <f t="shared" si="297"/>
        <v>6744.3456002441771</v>
      </c>
      <c r="BI119" s="37">
        <f t="shared" si="297"/>
        <v>7128.169129655942</v>
      </c>
      <c r="BJ119" s="37">
        <f t="shared" si="297"/>
        <v>6473.8413985635052</v>
      </c>
    </row>
    <row r="120" spans="1:62" s="2" customFormat="1" ht="16.5" thickBot="1" x14ac:dyDescent="0.3">
      <c r="A120" s="106" t="s">
        <v>4</v>
      </c>
      <c r="B120" s="107"/>
      <c r="C120" s="38" t="s">
        <v>8</v>
      </c>
      <c r="D120" s="37">
        <f t="shared" ref="D120:J120" si="298">D62+D117+D111+D59+D102+D99+D96+D71+D68+D65+D56+D53+D50+D47+D44+D41+D38+D35+D32+D29+D26+D23+D20+D17+D11+D14+D8+D93+D105+D108+D114</f>
        <v>2006</v>
      </c>
      <c r="E120" s="37">
        <f t="shared" si="298"/>
        <v>2071</v>
      </c>
      <c r="F120" s="37">
        <f t="shared" si="298"/>
        <v>2097</v>
      </c>
      <c r="G120" s="37">
        <f t="shared" si="298"/>
        <v>2097</v>
      </c>
      <c r="H120" s="37">
        <f t="shared" si="298"/>
        <v>2097</v>
      </c>
      <c r="I120" s="37">
        <f t="shared" si="298"/>
        <v>2030</v>
      </c>
      <c r="J120" s="37">
        <f t="shared" si="298"/>
        <v>0</v>
      </c>
      <c r="K120" s="37">
        <f>K62+K117+K111+K59+K102+K99+K96+K71+K68+K65+K56+K53+K50+K47+K44+K41+K38+K35+K32+K29+K26+K23+K20+K17+K11+K14+K8+K93+K105+K108+K114</f>
        <v>2034</v>
      </c>
      <c r="L120" s="37">
        <f t="shared" ref="L120:Y120" si="299">L62+L117+L111+L59+L102+L99+L96+L71+L68+L65+L56+L53+L50+L47+L44+L41+L38+L35+L32+L29+L26+L23+L20+L17+L11+L14+L8+L93+L105+L108+L114</f>
        <v>2034</v>
      </c>
      <c r="M120" s="37">
        <f t="shared" si="299"/>
        <v>2034</v>
      </c>
      <c r="N120" s="37">
        <f t="shared" si="299"/>
        <v>2034</v>
      </c>
      <c r="O120" s="37">
        <f t="shared" si="299"/>
        <v>2034</v>
      </c>
      <c r="P120" s="37">
        <f t="shared" si="299"/>
        <v>2034</v>
      </c>
      <c r="Q120" s="37">
        <f t="shared" si="299"/>
        <v>0</v>
      </c>
      <c r="R120" s="37">
        <f t="shared" si="299"/>
        <v>2117</v>
      </c>
      <c r="S120" s="37">
        <f t="shared" si="299"/>
        <v>2117</v>
      </c>
      <c r="T120" s="37">
        <f t="shared" si="299"/>
        <v>2117</v>
      </c>
      <c r="U120" s="37">
        <f t="shared" si="299"/>
        <v>2117</v>
      </c>
      <c r="V120" s="37">
        <f t="shared" si="299"/>
        <v>2117</v>
      </c>
      <c r="W120" s="37">
        <f t="shared" si="299"/>
        <v>2117</v>
      </c>
      <c r="X120" s="37">
        <f t="shared" si="299"/>
        <v>0</v>
      </c>
      <c r="Y120" s="37">
        <f t="shared" si="299"/>
        <v>2109</v>
      </c>
      <c r="Z120" s="37">
        <f t="shared" ref="Z120:BJ120" si="300">Z62+Z117+Z111+Z59+Z102+Z99+Z96+Z71+Z68+Z65+Z56+Z53+Z50+Z47+Z44+Z41+Z38+Z35+Z32+Z29+Z26+Z23+Z20+Z17+Z11+Z14+Z8+Z93+Z105+Z108+Z114</f>
        <v>2109</v>
      </c>
      <c r="AA120" s="37">
        <f t="shared" si="300"/>
        <v>2109</v>
      </c>
      <c r="AB120" s="37">
        <f t="shared" si="300"/>
        <v>2109</v>
      </c>
      <c r="AC120" s="37">
        <f t="shared" si="300"/>
        <v>2109</v>
      </c>
      <c r="AD120" s="37">
        <f t="shared" si="300"/>
        <v>2087</v>
      </c>
      <c r="AE120" s="37">
        <f t="shared" si="300"/>
        <v>0</v>
      </c>
      <c r="AF120" s="37">
        <f t="shared" si="300"/>
        <v>1991</v>
      </c>
      <c r="AG120" s="37">
        <f t="shared" si="300"/>
        <v>1991</v>
      </c>
      <c r="AH120" s="37">
        <f t="shared" si="300"/>
        <v>1991</v>
      </c>
      <c r="AI120" s="37">
        <f t="shared" si="300"/>
        <v>1991</v>
      </c>
      <c r="AJ120" s="37">
        <f t="shared" si="300"/>
        <v>1991</v>
      </c>
      <c r="AK120" s="37">
        <f t="shared" si="300"/>
        <v>1991</v>
      </c>
      <c r="AL120" s="37">
        <f t="shared" si="300"/>
        <v>0</v>
      </c>
      <c r="AM120" s="37">
        <f t="shared" si="300"/>
        <v>1870</v>
      </c>
      <c r="AN120" s="37">
        <f t="shared" si="300"/>
        <v>1870</v>
      </c>
      <c r="AO120" s="37">
        <f t="shared" si="300"/>
        <v>1870</v>
      </c>
      <c r="AP120" s="37">
        <f t="shared" si="300"/>
        <v>1870</v>
      </c>
      <c r="AQ120" s="37">
        <f t="shared" si="300"/>
        <v>1870</v>
      </c>
      <c r="AR120" s="37">
        <f t="shared" si="300"/>
        <v>1870</v>
      </c>
      <c r="AS120" s="37">
        <f t="shared" si="300"/>
        <v>0</v>
      </c>
      <c r="AT120" s="37">
        <f t="shared" si="300"/>
        <v>1783</v>
      </c>
      <c r="AU120" s="37">
        <f t="shared" si="300"/>
        <v>1781</v>
      </c>
      <c r="AV120" s="37">
        <f t="shared" si="300"/>
        <v>1781</v>
      </c>
      <c r="AW120" s="37">
        <f t="shared" si="300"/>
        <v>1781</v>
      </c>
      <c r="AX120" s="37">
        <f t="shared" si="300"/>
        <v>1781</v>
      </c>
      <c r="AY120" s="37">
        <f t="shared" si="300"/>
        <v>1638</v>
      </c>
      <c r="AZ120" s="37">
        <f t="shared" si="300"/>
        <v>0</v>
      </c>
      <c r="BA120" s="37">
        <f t="shared" si="300"/>
        <v>1032</v>
      </c>
      <c r="BB120" s="37">
        <f t="shared" si="300"/>
        <v>1032</v>
      </c>
      <c r="BC120" s="37">
        <f t="shared" si="300"/>
        <v>1032</v>
      </c>
      <c r="BD120" s="37">
        <f t="shared" si="300"/>
        <v>1032</v>
      </c>
      <c r="BE120" s="37">
        <f t="shared" si="300"/>
        <v>1032</v>
      </c>
      <c r="BF120" s="37">
        <f t="shared" si="300"/>
        <v>1032</v>
      </c>
      <c r="BG120" s="37">
        <f t="shared" si="300"/>
        <v>0</v>
      </c>
      <c r="BH120" s="37">
        <f t="shared" si="300"/>
        <v>523</v>
      </c>
      <c r="BI120" s="37">
        <f t="shared" si="300"/>
        <v>523</v>
      </c>
      <c r="BJ120" s="37">
        <f t="shared" si="300"/>
        <v>523</v>
      </c>
    </row>
    <row r="121" spans="1:62" s="2" customFormat="1" ht="16.5" thickBot="1" x14ac:dyDescent="0.3">
      <c r="A121" s="102" t="s">
        <v>10</v>
      </c>
      <c r="B121" s="103"/>
      <c r="C121" s="38"/>
      <c r="D121" s="37">
        <f t="shared" ref="D121:E121" si="301">D120/52</f>
        <v>38.57692307692308</v>
      </c>
      <c r="E121" s="37">
        <f t="shared" si="301"/>
        <v>39.82692307692308</v>
      </c>
      <c r="F121" s="37">
        <f t="shared" ref="F121:BJ121" si="302">F120/52</f>
        <v>40.32692307692308</v>
      </c>
      <c r="G121" s="37">
        <f t="shared" si="302"/>
        <v>40.32692307692308</v>
      </c>
      <c r="H121" s="37">
        <f t="shared" si="302"/>
        <v>40.32692307692308</v>
      </c>
      <c r="I121" s="37">
        <f t="shared" si="302"/>
        <v>39.03846153846154</v>
      </c>
      <c r="J121" s="37">
        <f t="shared" si="302"/>
        <v>0</v>
      </c>
      <c r="K121" s="37">
        <f t="shared" si="302"/>
        <v>39.115384615384613</v>
      </c>
      <c r="L121" s="37">
        <f t="shared" si="302"/>
        <v>39.115384615384613</v>
      </c>
      <c r="M121" s="37">
        <f t="shared" si="302"/>
        <v>39.115384615384613</v>
      </c>
      <c r="N121" s="37">
        <f t="shared" si="302"/>
        <v>39.115384615384613</v>
      </c>
      <c r="O121" s="37">
        <f t="shared" si="302"/>
        <v>39.115384615384613</v>
      </c>
      <c r="P121" s="37">
        <f t="shared" si="302"/>
        <v>39.115384615384613</v>
      </c>
      <c r="Q121" s="37">
        <f t="shared" si="302"/>
        <v>0</v>
      </c>
      <c r="R121" s="37">
        <f t="shared" si="302"/>
        <v>40.71153846153846</v>
      </c>
      <c r="S121" s="37">
        <f t="shared" si="302"/>
        <v>40.71153846153846</v>
      </c>
      <c r="T121" s="37">
        <f t="shared" si="302"/>
        <v>40.71153846153846</v>
      </c>
      <c r="U121" s="37">
        <f t="shared" si="302"/>
        <v>40.71153846153846</v>
      </c>
      <c r="V121" s="37">
        <f t="shared" si="302"/>
        <v>40.71153846153846</v>
      </c>
      <c r="W121" s="37">
        <f t="shared" si="302"/>
        <v>40.71153846153846</v>
      </c>
      <c r="X121" s="37">
        <f t="shared" si="302"/>
        <v>0</v>
      </c>
      <c r="Y121" s="37">
        <f t="shared" si="302"/>
        <v>40.557692307692307</v>
      </c>
      <c r="Z121" s="37">
        <f t="shared" si="302"/>
        <v>40.557692307692307</v>
      </c>
      <c r="AA121" s="37">
        <f t="shared" si="302"/>
        <v>40.557692307692307</v>
      </c>
      <c r="AB121" s="37">
        <f t="shared" si="302"/>
        <v>40.557692307692307</v>
      </c>
      <c r="AC121" s="37">
        <f t="shared" si="302"/>
        <v>40.557692307692307</v>
      </c>
      <c r="AD121" s="37">
        <f t="shared" si="302"/>
        <v>40.134615384615387</v>
      </c>
      <c r="AE121" s="37">
        <f t="shared" si="302"/>
        <v>0</v>
      </c>
      <c r="AF121" s="37">
        <f t="shared" si="302"/>
        <v>38.28846153846154</v>
      </c>
      <c r="AG121" s="37">
        <f t="shared" si="302"/>
        <v>38.28846153846154</v>
      </c>
      <c r="AH121" s="37">
        <f t="shared" si="302"/>
        <v>38.28846153846154</v>
      </c>
      <c r="AI121" s="37">
        <f t="shared" si="302"/>
        <v>38.28846153846154</v>
      </c>
      <c r="AJ121" s="37">
        <f t="shared" si="302"/>
        <v>38.28846153846154</v>
      </c>
      <c r="AK121" s="37">
        <f t="shared" si="302"/>
        <v>38.28846153846154</v>
      </c>
      <c r="AL121" s="37">
        <f t="shared" si="302"/>
        <v>0</v>
      </c>
      <c r="AM121" s="37">
        <f t="shared" si="302"/>
        <v>35.96153846153846</v>
      </c>
      <c r="AN121" s="37">
        <f t="shared" si="302"/>
        <v>35.96153846153846</v>
      </c>
      <c r="AO121" s="37">
        <f t="shared" si="302"/>
        <v>35.96153846153846</v>
      </c>
      <c r="AP121" s="37">
        <f t="shared" si="302"/>
        <v>35.96153846153846</v>
      </c>
      <c r="AQ121" s="37">
        <f t="shared" si="302"/>
        <v>35.96153846153846</v>
      </c>
      <c r="AR121" s="37">
        <f t="shared" si="302"/>
        <v>35.96153846153846</v>
      </c>
      <c r="AS121" s="37">
        <f t="shared" si="302"/>
        <v>0</v>
      </c>
      <c r="AT121" s="37">
        <f t="shared" si="302"/>
        <v>34.28846153846154</v>
      </c>
      <c r="AU121" s="37">
        <f t="shared" si="302"/>
        <v>34.25</v>
      </c>
      <c r="AV121" s="37">
        <f t="shared" si="302"/>
        <v>34.25</v>
      </c>
      <c r="AW121" s="37">
        <f t="shared" si="302"/>
        <v>34.25</v>
      </c>
      <c r="AX121" s="37">
        <f t="shared" si="302"/>
        <v>34.25</v>
      </c>
      <c r="AY121" s="37">
        <f t="shared" si="302"/>
        <v>31.5</v>
      </c>
      <c r="AZ121" s="37">
        <f t="shared" si="302"/>
        <v>0</v>
      </c>
      <c r="BA121" s="37">
        <f t="shared" si="302"/>
        <v>19.846153846153847</v>
      </c>
      <c r="BB121" s="37">
        <f t="shared" si="302"/>
        <v>19.846153846153847</v>
      </c>
      <c r="BC121" s="37">
        <f t="shared" si="302"/>
        <v>19.846153846153847</v>
      </c>
      <c r="BD121" s="37">
        <f t="shared" si="302"/>
        <v>19.846153846153847</v>
      </c>
      <c r="BE121" s="37">
        <f t="shared" si="302"/>
        <v>19.846153846153847</v>
      </c>
      <c r="BF121" s="37">
        <f t="shared" si="302"/>
        <v>19.846153846153847</v>
      </c>
      <c r="BG121" s="37">
        <f t="shared" si="302"/>
        <v>0</v>
      </c>
      <c r="BH121" s="37">
        <f t="shared" si="302"/>
        <v>10.057692307692308</v>
      </c>
      <c r="BI121" s="37">
        <f t="shared" si="302"/>
        <v>10.057692307692308</v>
      </c>
      <c r="BJ121" s="37">
        <f t="shared" si="302"/>
        <v>10.057692307692308</v>
      </c>
    </row>
    <row r="122" spans="1:62" ht="16.5" thickBot="1" x14ac:dyDescent="0.3">
      <c r="A122" s="39"/>
      <c r="B122" s="40"/>
      <c r="C122" s="41"/>
    </row>
    <row r="123" spans="1:62" ht="18" customHeight="1" x14ac:dyDescent="0.25">
      <c r="A123" s="42"/>
      <c r="B123" s="43"/>
      <c r="C123" s="44"/>
    </row>
    <row r="124" spans="1:62" ht="18" customHeight="1" x14ac:dyDescent="0.25">
      <c r="E124" s="77" t="s">
        <v>79</v>
      </c>
      <c r="F124" s="16"/>
      <c r="G124" s="16"/>
      <c r="H124" s="16"/>
      <c r="I124" s="16"/>
      <c r="J124" s="49"/>
      <c r="K124" s="84" t="s">
        <v>123</v>
      </c>
      <c r="L124" s="16"/>
      <c r="M124" s="16"/>
      <c r="N124" s="16"/>
      <c r="O124" s="16"/>
      <c r="P124" s="16"/>
      <c r="Q124" s="49"/>
      <c r="R124" s="16"/>
      <c r="S124" s="16"/>
      <c r="T124" s="16"/>
      <c r="U124" s="16" t="s">
        <v>121</v>
      </c>
      <c r="V124" s="16"/>
      <c r="W124" s="16"/>
      <c r="X124" s="49"/>
      <c r="Y124" s="16"/>
      <c r="Z124" s="16"/>
      <c r="AA124" s="16"/>
      <c r="AB124" s="16"/>
      <c r="AC124" s="16"/>
    </row>
    <row r="125" spans="1:62" ht="18" customHeight="1" x14ac:dyDescent="0.25">
      <c r="E125" s="25">
        <v>0</v>
      </c>
      <c r="F125" s="25">
        <f t="shared" ref="F125:AC125" si="303">600*F126/21.62*0.87</f>
        <v>0</v>
      </c>
      <c r="G125" s="25">
        <f t="shared" si="303"/>
        <v>0</v>
      </c>
      <c r="H125" s="25">
        <f t="shared" si="303"/>
        <v>0</v>
      </c>
      <c r="I125" s="25">
        <f t="shared" si="303"/>
        <v>0</v>
      </c>
      <c r="J125" s="47"/>
      <c r="K125" s="25">
        <f t="shared" si="303"/>
        <v>0</v>
      </c>
      <c r="L125" s="25">
        <f t="shared" si="303"/>
        <v>0</v>
      </c>
      <c r="M125" s="25">
        <f t="shared" si="303"/>
        <v>0</v>
      </c>
      <c r="N125" s="25">
        <f t="shared" si="303"/>
        <v>0</v>
      </c>
      <c r="O125" s="25">
        <f t="shared" si="303"/>
        <v>0</v>
      </c>
      <c r="P125" s="25">
        <f t="shared" si="303"/>
        <v>0</v>
      </c>
      <c r="Q125" s="47"/>
      <c r="R125" s="25">
        <f t="shared" si="303"/>
        <v>0</v>
      </c>
      <c r="S125" s="25">
        <f t="shared" si="303"/>
        <v>0</v>
      </c>
      <c r="T125" s="25">
        <f t="shared" si="303"/>
        <v>0</v>
      </c>
      <c r="U125" s="25">
        <f t="shared" si="303"/>
        <v>0</v>
      </c>
      <c r="V125" s="25">
        <f t="shared" si="303"/>
        <v>0</v>
      </c>
      <c r="W125" s="25">
        <f t="shared" si="303"/>
        <v>0</v>
      </c>
      <c r="X125" s="78"/>
      <c r="Y125" s="62">
        <f t="shared" si="303"/>
        <v>0</v>
      </c>
      <c r="Z125" s="62">
        <f t="shared" si="303"/>
        <v>0</v>
      </c>
      <c r="AA125" s="62">
        <f t="shared" si="303"/>
        <v>0</v>
      </c>
      <c r="AB125" s="62">
        <f t="shared" si="303"/>
        <v>0</v>
      </c>
      <c r="AC125" s="62">
        <f t="shared" si="303"/>
        <v>0</v>
      </c>
    </row>
  </sheetData>
  <mergeCells count="51">
    <mergeCell ref="Z57:AD57"/>
    <mergeCell ref="D9:F9"/>
    <mergeCell ref="B58:B59"/>
    <mergeCell ref="A82:A83"/>
    <mergeCell ref="A79:A80"/>
    <mergeCell ref="A67:A68"/>
    <mergeCell ref="A61:A62"/>
    <mergeCell ref="B61:B62"/>
    <mergeCell ref="A58:A59"/>
    <mergeCell ref="A52:A53"/>
    <mergeCell ref="B55:B56"/>
    <mergeCell ref="A37:A38"/>
    <mergeCell ref="A34:A35"/>
    <mergeCell ref="A43:A44"/>
    <mergeCell ref="A31:A32"/>
    <mergeCell ref="A22:A23"/>
    <mergeCell ref="A40:A41"/>
    <mergeCell ref="A28:A29"/>
    <mergeCell ref="B37:B38"/>
    <mergeCell ref="A64:A65"/>
    <mergeCell ref="A76:A77"/>
    <mergeCell ref="A55:A56"/>
    <mergeCell ref="B43:B44"/>
    <mergeCell ref="B46:B47"/>
    <mergeCell ref="A46:A47"/>
    <mergeCell ref="A49:A50"/>
    <mergeCell ref="B49:B50"/>
    <mergeCell ref="B52:B53"/>
    <mergeCell ref="A121:B121"/>
    <mergeCell ref="A70:A71"/>
    <mergeCell ref="A98:A99"/>
    <mergeCell ref="B98:B99"/>
    <mergeCell ref="A120:B120"/>
    <mergeCell ref="A119:B119"/>
    <mergeCell ref="A95:A96"/>
    <mergeCell ref="B101:B102"/>
    <mergeCell ref="A101:A102"/>
    <mergeCell ref="A73:A74"/>
    <mergeCell ref="A92:A93"/>
    <mergeCell ref="B92:B93"/>
    <mergeCell ref="A88:A89"/>
    <mergeCell ref="A85:A86"/>
    <mergeCell ref="A5:B5"/>
    <mergeCell ref="B19:B20"/>
    <mergeCell ref="A7:A8"/>
    <mergeCell ref="A10:A11"/>
    <mergeCell ref="A13:A14"/>
    <mergeCell ref="B13:B14"/>
    <mergeCell ref="A19:A20"/>
    <mergeCell ref="A16:A17"/>
    <mergeCell ref="B16:B17"/>
  </mergeCells>
  <conditionalFormatting sqref="B6">
    <cfRule type="duplicateValues" dxfId="133" priority="1094"/>
  </conditionalFormatting>
  <conditionalFormatting sqref="B9">
    <cfRule type="duplicateValues" dxfId="132" priority="669"/>
  </conditionalFormatting>
  <conditionalFormatting sqref="B12">
    <cfRule type="duplicateValues" dxfId="131" priority="528"/>
  </conditionalFormatting>
  <conditionalFormatting sqref="B18">
    <cfRule type="duplicateValues" dxfId="130" priority="258"/>
  </conditionalFormatting>
  <conditionalFormatting sqref="B21">
    <cfRule type="duplicateValues" dxfId="129" priority="518"/>
  </conditionalFormatting>
  <conditionalFormatting sqref="B27">
    <cfRule type="duplicateValues" dxfId="128" priority="506"/>
  </conditionalFormatting>
  <conditionalFormatting sqref="B30">
    <cfRule type="duplicateValues" dxfId="127" priority="1101"/>
  </conditionalFormatting>
  <conditionalFormatting sqref="B33">
    <cfRule type="duplicateValues" dxfId="126" priority="88"/>
  </conditionalFormatting>
  <conditionalFormatting sqref="B36">
    <cfRule type="duplicateValues" dxfId="125" priority="78"/>
    <cfRule type="duplicateValues" dxfId="124" priority="77"/>
  </conditionalFormatting>
  <conditionalFormatting sqref="B39">
    <cfRule type="duplicateValues" dxfId="123" priority="50"/>
  </conditionalFormatting>
  <conditionalFormatting sqref="B48">
    <cfRule type="duplicateValues" dxfId="122" priority="1775"/>
  </conditionalFormatting>
  <conditionalFormatting sqref="B51">
    <cfRule type="duplicateValues" dxfId="121" priority="449"/>
  </conditionalFormatting>
  <conditionalFormatting sqref="B54">
    <cfRule type="duplicateValues" dxfId="120" priority="49"/>
  </conditionalFormatting>
  <conditionalFormatting sqref="B57">
    <cfRule type="duplicateValues" dxfId="119" priority="48"/>
  </conditionalFormatting>
  <conditionalFormatting sqref="B60">
    <cfRule type="duplicateValues" dxfId="118" priority="452"/>
  </conditionalFormatting>
  <conditionalFormatting sqref="B63">
    <cfRule type="duplicateValues" dxfId="117" priority="500"/>
  </conditionalFormatting>
  <conditionalFormatting sqref="B66">
    <cfRule type="duplicateValues" dxfId="116" priority="453"/>
  </conditionalFormatting>
  <conditionalFormatting sqref="B69">
    <cfRule type="duplicateValues" dxfId="115" priority="308"/>
  </conditionalFormatting>
  <conditionalFormatting sqref="B91">
    <cfRule type="duplicateValues" dxfId="114" priority="514"/>
  </conditionalFormatting>
  <conditionalFormatting sqref="B94">
    <cfRule type="duplicateValues" dxfId="113" priority="513"/>
  </conditionalFormatting>
  <conditionalFormatting sqref="B97">
    <cfRule type="duplicateValues" dxfId="112" priority="47"/>
  </conditionalFormatting>
  <conditionalFormatting sqref="D54">
    <cfRule type="duplicateValues" dxfId="111" priority="321"/>
  </conditionalFormatting>
  <conditionalFormatting sqref="D30:H30">
    <cfRule type="duplicateValues" dxfId="110" priority="869"/>
  </conditionalFormatting>
  <conditionalFormatting sqref="E18">
    <cfRule type="duplicateValues" dxfId="109" priority="315"/>
  </conditionalFormatting>
  <conditionalFormatting sqref="E33">
    <cfRule type="duplicateValues" dxfId="108" priority="312"/>
  </conditionalFormatting>
  <conditionalFormatting sqref="E97">
    <cfRule type="duplicateValues" dxfId="107" priority="334"/>
  </conditionalFormatting>
  <conditionalFormatting sqref="E124">
    <cfRule type="duplicateValues" dxfId="106" priority="316"/>
  </conditionalFormatting>
  <conditionalFormatting sqref="F60">
    <cfRule type="duplicateValues" dxfId="105" priority="325"/>
  </conditionalFormatting>
  <conditionalFormatting sqref="F69">
    <cfRule type="duplicateValues" dxfId="104" priority="298"/>
  </conditionalFormatting>
  <conditionalFormatting sqref="F91">
    <cfRule type="duplicateValues" dxfId="103" priority="328"/>
  </conditionalFormatting>
  <conditionalFormatting sqref="H21">
    <cfRule type="duplicateValues" dxfId="102" priority="323"/>
  </conditionalFormatting>
  <conditionalFormatting sqref="H57">
    <cfRule type="duplicateValues" dxfId="101" priority="290"/>
  </conditionalFormatting>
  <conditionalFormatting sqref="I36">
    <cfRule type="duplicateValues" dxfId="100" priority="354"/>
    <cfRule type="duplicateValues" dxfId="99" priority="355"/>
  </conditionalFormatting>
  <conditionalFormatting sqref="I39">
    <cfRule type="duplicateValues" dxfId="98" priority="745"/>
  </conditionalFormatting>
  <conditionalFormatting sqref="K12">
    <cfRule type="duplicateValues" dxfId="97" priority="135"/>
  </conditionalFormatting>
  <conditionalFormatting sqref="K21">
    <cfRule type="duplicateValues" dxfId="96" priority="112"/>
  </conditionalFormatting>
  <conditionalFormatting sqref="K30">
    <cfRule type="duplicateValues" dxfId="95" priority="620"/>
  </conditionalFormatting>
  <conditionalFormatting sqref="K39">
    <cfRule type="duplicateValues" dxfId="94" priority="494"/>
  </conditionalFormatting>
  <conditionalFormatting sqref="K60">
    <cfRule type="duplicateValues" dxfId="93" priority="128"/>
  </conditionalFormatting>
  <conditionalFormatting sqref="K91">
    <cfRule type="duplicateValues" dxfId="92" priority="327"/>
  </conditionalFormatting>
  <conditionalFormatting sqref="K103">
    <cfRule type="duplicateValues" dxfId="91" priority="115"/>
  </conditionalFormatting>
  <conditionalFormatting sqref="L9">
    <cfRule type="duplicateValues" dxfId="90" priority="339"/>
  </conditionalFormatting>
  <conditionalFormatting sqref="L54">
    <cfRule type="duplicateValues" dxfId="89" priority="129"/>
  </conditionalFormatting>
  <conditionalFormatting sqref="L69">
    <cfRule type="duplicateValues" dxfId="88" priority="392"/>
    <cfRule type="duplicateValues" dxfId="87" priority="393"/>
  </conditionalFormatting>
  <conditionalFormatting sqref="M15">
    <cfRule type="duplicateValues" dxfId="86" priority="44"/>
  </conditionalFormatting>
  <conditionalFormatting sqref="M21">
    <cfRule type="duplicateValues" dxfId="85" priority="322"/>
  </conditionalFormatting>
  <conditionalFormatting sqref="M66">
    <cfRule type="duplicateValues" dxfId="84" priority="87"/>
  </conditionalFormatting>
  <conditionalFormatting sqref="M69">
    <cfRule type="duplicateValues" dxfId="83" priority="134"/>
  </conditionalFormatting>
  <conditionalFormatting sqref="N36">
    <cfRule type="duplicateValues" dxfId="82" priority="86"/>
  </conditionalFormatting>
  <conditionalFormatting sqref="N57">
    <cfRule type="duplicateValues" dxfId="81" priority="284"/>
  </conditionalFormatting>
  <conditionalFormatting sqref="O9">
    <cfRule type="duplicateValues" dxfId="80" priority="340"/>
    <cfRule type="duplicateValues" dxfId="79" priority="341"/>
  </conditionalFormatting>
  <conditionalFormatting sqref="O51">
    <cfRule type="duplicateValues" dxfId="78" priority="407"/>
  </conditionalFormatting>
  <conditionalFormatting sqref="O91">
    <cfRule type="duplicateValues" dxfId="77" priority="329"/>
  </conditionalFormatting>
  <conditionalFormatting sqref="R18">
    <cfRule type="duplicateValues" dxfId="76" priority="143"/>
    <cfRule type="duplicateValues" dxfId="75" priority="142"/>
  </conditionalFormatting>
  <conditionalFormatting sqref="R66">
    <cfRule type="duplicateValues" dxfId="74" priority="58"/>
    <cfRule type="duplicateValues" dxfId="73" priority="57"/>
  </conditionalFormatting>
  <conditionalFormatting sqref="R30:T30">
    <cfRule type="duplicateValues" dxfId="72" priority="125"/>
  </conditionalFormatting>
  <conditionalFormatting sqref="S6">
    <cfRule type="duplicateValues" dxfId="71" priority="107"/>
  </conditionalFormatting>
  <conditionalFormatting sqref="S54">
    <cfRule type="duplicateValues" dxfId="70" priority="1"/>
  </conditionalFormatting>
  <conditionalFormatting sqref="S69">
    <cfRule type="duplicateValues" dxfId="69" priority="131"/>
    <cfRule type="duplicateValues" dxfId="68" priority="130"/>
  </conditionalFormatting>
  <conditionalFormatting sqref="U30">
    <cfRule type="duplicateValues" dxfId="67" priority="123"/>
  </conditionalFormatting>
  <conditionalFormatting sqref="U51">
    <cfRule type="duplicateValues" dxfId="66" priority="28"/>
  </conditionalFormatting>
  <conditionalFormatting sqref="U54">
    <cfRule type="duplicateValues" dxfId="65" priority="369"/>
  </conditionalFormatting>
  <conditionalFormatting sqref="U57">
    <cfRule type="duplicateValues" dxfId="64" priority="249"/>
  </conditionalFormatting>
  <conditionalFormatting sqref="U103">
    <cfRule type="duplicateValues" dxfId="63" priority="114"/>
  </conditionalFormatting>
  <conditionalFormatting sqref="W36">
    <cfRule type="duplicateValues" dxfId="62" priority="82"/>
  </conditionalFormatting>
  <conditionalFormatting sqref="W66">
    <cfRule type="duplicateValues" dxfId="61" priority="56"/>
  </conditionalFormatting>
  <conditionalFormatting sqref="Y21">
    <cfRule type="duplicateValues" dxfId="60" priority="111"/>
  </conditionalFormatting>
  <conditionalFormatting sqref="Y39">
    <cfRule type="duplicateValues" dxfId="59" priority="34"/>
  </conditionalFormatting>
  <conditionalFormatting sqref="Y60">
    <cfRule type="duplicateValues" dxfId="58" priority="127"/>
  </conditionalFormatting>
  <conditionalFormatting sqref="Z66">
    <cfRule type="duplicateValues" dxfId="57" priority="55"/>
  </conditionalFormatting>
  <conditionalFormatting sqref="Z94">
    <cfRule type="duplicateValues" dxfId="56" priority="119"/>
  </conditionalFormatting>
  <conditionalFormatting sqref="AA6">
    <cfRule type="duplicateValues" dxfId="55" priority="106"/>
  </conditionalFormatting>
  <conditionalFormatting sqref="AB12">
    <cfRule type="duplicateValues" dxfId="54" priority="32"/>
    <cfRule type="duplicateValues" dxfId="53" priority="31"/>
  </conditionalFormatting>
  <conditionalFormatting sqref="AB36">
    <cfRule type="duplicateValues" dxfId="52" priority="64"/>
    <cfRule type="duplicateValues" dxfId="51" priority="65"/>
  </conditionalFormatting>
  <conditionalFormatting sqref="AB51">
    <cfRule type="duplicateValues" dxfId="50" priority="20"/>
  </conditionalFormatting>
  <conditionalFormatting sqref="AB63">
    <cfRule type="duplicateValues" dxfId="49" priority="190"/>
  </conditionalFormatting>
  <conditionalFormatting sqref="AC9">
    <cfRule type="duplicateValues" dxfId="48" priority="338"/>
    <cfRule type="duplicateValues" dxfId="47" priority="337"/>
  </conditionalFormatting>
  <conditionalFormatting sqref="AC21">
    <cfRule type="duplicateValues" dxfId="46" priority="110"/>
  </conditionalFormatting>
  <conditionalFormatting sqref="AC69">
    <cfRule type="duplicateValues" dxfId="45" priority="53"/>
  </conditionalFormatting>
  <conditionalFormatting sqref="AC91">
    <cfRule type="duplicateValues" dxfId="44" priority="6"/>
    <cfRule type="duplicateValues" dxfId="43" priority="5"/>
  </conditionalFormatting>
  <conditionalFormatting sqref="AD36">
    <cfRule type="duplicateValues" dxfId="42" priority="33"/>
  </conditionalFormatting>
  <conditionalFormatting sqref="AF33">
    <cfRule type="duplicateValues" dxfId="41" priority="148"/>
  </conditionalFormatting>
  <conditionalFormatting sqref="AG30">
    <cfRule type="duplicateValues" dxfId="40" priority="122"/>
  </conditionalFormatting>
  <conditionalFormatting sqref="AH15">
    <cfRule type="duplicateValues" dxfId="39" priority="42"/>
  </conditionalFormatting>
  <conditionalFormatting sqref="AI33">
    <cfRule type="duplicateValues" dxfId="38" priority="61"/>
  </conditionalFormatting>
  <conditionalFormatting sqref="AI39">
    <cfRule type="duplicateValues" dxfId="37" priority="35"/>
  </conditionalFormatting>
  <conditionalFormatting sqref="AI63">
    <cfRule type="duplicateValues" dxfId="36" priority="191"/>
  </conditionalFormatting>
  <conditionalFormatting sqref="AI94">
    <cfRule type="duplicateValues" dxfId="35" priority="118"/>
  </conditionalFormatting>
  <conditionalFormatting sqref="AJ15">
    <cfRule type="duplicateValues" dxfId="34" priority="43"/>
  </conditionalFormatting>
  <conditionalFormatting sqref="AJ18">
    <cfRule type="duplicateValues" dxfId="33" priority="21"/>
  </conditionalFormatting>
  <conditionalFormatting sqref="AJ21">
    <cfRule type="duplicateValues" dxfId="32" priority="109"/>
  </conditionalFormatting>
  <conditionalFormatting sqref="AK33">
    <cfRule type="duplicateValues" dxfId="31" priority="162"/>
  </conditionalFormatting>
  <conditionalFormatting sqref="AM9">
    <cfRule type="duplicateValues" dxfId="30" priority="41"/>
    <cfRule type="duplicateValues" dxfId="29" priority="40"/>
  </conditionalFormatting>
  <conditionalFormatting sqref="AM33">
    <cfRule type="duplicateValues" dxfId="28" priority="62"/>
  </conditionalFormatting>
  <conditionalFormatting sqref="AN69">
    <cfRule type="duplicateValues" dxfId="27" priority="14"/>
    <cfRule type="duplicateValues" dxfId="26" priority="13"/>
  </conditionalFormatting>
  <conditionalFormatting sqref="AO36">
    <cfRule type="duplicateValues" dxfId="25" priority="256"/>
    <cfRule type="duplicateValues" dxfId="24" priority="23"/>
  </conditionalFormatting>
  <conditionalFormatting sqref="AO57">
    <cfRule type="duplicateValues" dxfId="23" priority="474"/>
  </conditionalFormatting>
  <conditionalFormatting sqref="AO66">
    <cfRule type="duplicateValues" dxfId="22" priority="52"/>
  </conditionalFormatting>
  <conditionalFormatting sqref="AP27:AQ27">
    <cfRule type="duplicateValues" dxfId="21" priority="89"/>
  </conditionalFormatting>
  <conditionalFormatting sqref="AQ6">
    <cfRule type="duplicateValues" dxfId="20" priority="105"/>
  </conditionalFormatting>
  <conditionalFormatting sqref="AQ36">
    <cfRule type="duplicateValues" dxfId="19" priority="24"/>
  </conditionalFormatting>
  <conditionalFormatting sqref="AQ66">
    <cfRule type="duplicateValues" dxfId="18" priority="168"/>
  </conditionalFormatting>
  <conditionalFormatting sqref="AQ94">
    <cfRule type="duplicateValues" dxfId="17" priority="117"/>
  </conditionalFormatting>
  <conditionalFormatting sqref="AR57">
    <cfRule type="duplicateValues" dxfId="16" priority="45"/>
  </conditionalFormatting>
  <conditionalFormatting sqref="AT66">
    <cfRule type="duplicateValues" dxfId="15" priority="7"/>
  </conditionalFormatting>
  <conditionalFormatting sqref="AV6">
    <cfRule type="duplicateValues" dxfId="14" priority="104"/>
  </conditionalFormatting>
  <conditionalFormatting sqref="AV91">
    <cfRule type="duplicateValues" dxfId="13" priority="166"/>
  </conditionalFormatting>
  <conditionalFormatting sqref="AW9">
    <cfRule type="duplicateValues" dxfId="12" priority="36"/>
    <cfRule type="duplicateValues" dxfId="11" priority="37"/>
  </conditionalFormatting>
  <conditionalFormatting sqref="AW30">
    <cfRule type="duplicateValues" dxfId="10" priority="121"/>
  </conditionalFormatting>
  <conditionalFormatting sqref="AY6">
    <cfRule type="duplicateValues" dxfId="9" priority="103"/>
  </conditionalFormatting>
  <conditionalFormatting sqref="AY60">
    <cfRule type="duplicateValues" dxfId="8" priority="126"/>
  </conditionalFormatting>
  <conditionalFormatting sqref="BA51">
    <cfRule type="duplicateValues" dxfId="7" priority="59"/>
  </conditionalFormatting>
  <conditionalFormatting sqref="BA54">
    <cfRule type="duplicateValues" dxfId="6" priority="51"/>
  </conditionalFormatting>
  <conditionalFormatting sqref="BD30">
    <cfRule type="duplicateValues" dxfId="5" priority="120"/>
  </conditionalFormatting>
  <conditionalFormatting sqref="BF94">
    <cfRule type="duplicateValues" dxfId="4" priority="116"/>
  </conditionalFormatting>
  <conditionalFormatting sqref="BH6">
    <cfRule type="duplicateValues" dxfId="3" priority="102"/>
  </conditionalFormatting>
  <conditionalFormatting sqref="BH60:BJ60">
    <cfRule type="duplicateValues" dxfId="2" priority="1452"/>
    <cfRule type="duplicateValues" dxfId="1" priority="1453"/>
    <cfRule type="duplicateValues" dxfId="0" priority="1454"/>
  </conditionalFormatting>
  <hyperlinks>
    <hyperlink ref="B48" location="'TR915'!A1" display="F2550MTR915" xr:uid="{0791AEE9-5FC3-4507-BB70-654598E1B372}"/>
    <hyperlink ref="B100" location="'M501'!A1" display="F2002JKTM501" xr:uid="{6DC938E7-F1F4-46C6-A8A4-DF85A43FDA5F}"/>
    <hyperlink ref="I39" location="'M143'!A1" display="F2325M143" xr:uid="{C5564E74-B907-4897-8EC2-7966E4267917}"/>
    <hyperlink ref="B9" location="'M068'!A1" display="F2325M068" xr:uid="{5DC4EF8A-AACC-474E-81DA-FA864E013E2A}"/>
    <hyperlink ref="B27" location="'6600S25'!A1" display="TM6600S25COST" xr:uid="{DD99D995-3B43-446C-824C-9A3318D7B039}"/>
    <hyperlink ref="B63" location="'TR346'!A1" display="S2350WTR346" xr:uid="{3886C353-77D3-4541-80D9-71BBAD9FAED7}"/>
    <hyperlink ref="K39" location="'M143'!A1" display="F2325M143" xr:uid="{7AC2F21C-2480-4050-BB9F-B37A0BD690FB}"/>
    <hyperlink ref="B66" location="'665WV'!A1" display="S2554MESS665WV" xr:uid="{19C61623-6EE2-486D-92AC-E01313E43752}"/>
    <hyperlink ref="B60" location="'TR110'!A1" display="F2550MTR110" xr:uid="{D331D3C7-15A5-49CF-AF2E-954C7B416E2D}"/>
    <hyperlink ref="B51" location="'6600S25'!A1" display="TM6600S25COST" xr:uid="{0AD7158A-F09B-49C1-942F-0877235EBF5A}"/>
    <hyperlink ref="AB63" location="'TT202'!A1" display="S2306GHTT202" xr:uid="{90EA3CFA-05A0-43FE-9A73-DCEF98CD4756}"/>
    <hyperlink ref="AO57" location="'WJ305'!A1" display="S2515KSWJ305" xr:uid="{11049EDF-5C90-4E31-8747-15D0B1955967}"/>
    <hyperlink ref="L69" location="'112'!A1" display="S231CSPM112" xr:uid="{60D4C5ED-08BA-4D28-BD70-6EFA9F5BEDB8}"/>
    <hyperlink ref="I36" location="'TR921'!A1" display="F2550MTR921" xr:uid="{00E5F6C0-DA2E-45BB-90CD-3B121E1B39DD}"/>
    <hyperlink ref="E97" location="'6600S25'!A1" display="TM6600S25COST" xr:uid="{7FF2634A-F7B5-4E8F-852B-A7FBB4E93423}"/>
    <hyperlink ref="O91" location="'6600S25'!A1" display="TM6600S25COST" xr:uid="{C5C6DC40-4C63-4E16-A16B-BEA60B8996B4}"/>
    <hyperlink ref="K91" location="'6600S25'!A1" display="TM6600S25COST" xr:uid="{5ADD6A24-735B-41A3-9171-8C04982168CC}"/>
    <hyperlink ref="D54" location="PM110A!A1" display="S211CSPM110A" xr:uid="{4EBAC13B-FCB4-43AF-B747-D63A1BCBF4DA}"/>
    <hyperlink ref="E124" location="CSPM142!A1" display="S231CSPM142" xr:uid="{06A45AAD-9876-4714-B87F-BF78875A7F1A}"/>
    <hyperlink ref="E18" location="'TR516'!A1" display="S2650MTR516" xr:uid="{963CDF05-A519-4CAD-B428-DF01BF473F9E}"/>
    <hyperlink ref="E33" location="CSPM142!A1" display="S231CSPM142" xr:uid="{D91D5E3C-93A0-492B-B9B4-8B45F6D8312C}"/>
    <hyperlink ref="B69" location="'111'!A1" display="S231CSPM111" xr:uid="{9388DF60-9AFC-4C4D-A645-5EB1D79389A5}"/>
    <hyperlink ref="F69" location="'111'!A1" display="S231CSPM111" xr:uid="{D2365EFD-3B31-44E9-8C02-756E6A657014}"/>
    <hyperlink ref="H57" location="'WU317'!A1" display="S2315KSWU317" xr:uid="{6C0C47B3-13CE-4492-8EF4-38C2FA29EE2D}"/>
    <hyperlink ref="N57" location="'660WV(NEW)'!A1" display="S2554MESS660WV" xr:uid="{E1167B7B-65C5-4432-94FA-87D934EE3D66}"/>
    <hyperlink ref="U57" location="'WJ303'!A1" display="S2515KSWJ303" xr:uid="{75D18D62-20EC-4884-8E7F-9074C0BA8362}"/>
    <hyperlink ref="B18" location="'TR516'!A1" display="S2650MTR516" xr:uid="{5A6A6D56-AC73-46E8-B1AA-F4EF4366B951}"/>
    <hyperlink ref="AI63" location="'WTR834'!A1" display="S2650WTR834" xr:uid="{0EDBBE78-A3C6-4A4D-A416-A7B080F281FC}"/>
    <hyperlink ref="AV91" location="'99S26'!A1" display="TM6599S26" xr:uid="{80E63124-2B05-4FB4-B51B-FA9DAF6C2145}"/>
    <hyperlink ref="AQ66" location="'WR0200'!A1" display="S2608WR0200" xr:uid="{8160B7D2-AC74-469C-A5BD-10A1A7A3CFD9}"/>
    <hyperlink ref="AF33" location="'MTR420'!A1" display="S2650MTR420" xr:uid="{957B2566-D65C-45D1-87F5-3A15095F7CBD}"/>
    <hyperlink ref="K12" location="'6600S25'!A1" display="TM6600S25COST" xr:uid="{107F877D-2823-4550-AED4-5BC1CEAF376E}"/>
    <hyperlink ref="M69" location="'111'!A1" display="S231CSPM111" xr:uid="{001BB5F9-57D9-4FF7-A363-4B39619701E9}"/>
    <hyperlink ref="L54" location="'419'!A1" display="S2206GHTT419/Y/W" xr:uid="{0FED000F-25D0-40A7-A241-B586FB71FBD1}"/>
    <hyperlink ref="U54" location="'TM230'!A1" display="S2306GHTM230" xr:uid="{6DE3035E-3674-4066-8F9D-4203C3025729}"/>
    <hyperlink ref="AC9" location="'TR918'!A1" display="F2550MTR918" xr:uid="{FBA9B116-8CA8-46D0-9DFC-5B69B2D66485}"/>
    <hyperlink ref="AD27" location="'69S25'!A1" display="TM6569S25" xr:uid="{7603EBF3-7631-4132-BCE0-F5DE112251A6}"/>
    <hyperlink ref="AF27" location="'6596S26'!A1" display="TM6596S26" xr:uid="{1ABAEBDA-9361-42D6-9EA0-CC4BFD8CBEBA}"/>
    <hyperlink ref="AK27" location="'TR516'!A1" display="S2650MTR516" xr:uid="{20C7CFD2-FA62-4BAB-9F99-193430410FFE}"/>
    <hyperlink ref="B33" location="CSPM142!A1" display="S231CSPM142" xr:uid="{E3AE757A-A7A7-462B-AD5C-22422556B903}"/>
    <hyperlink ref="N36" location="'421WV'!A1" display="S2354WES421WV" xr:uid="{ED1F23DE-9B11-4E97-8CE1-E7AEFD97B5E4}"/>
    <hyperlink ref="M66" location="'664WV'!A1" display="S2554MESS664WV" xr:uid="{2331ECCC-F115-42AE-94F9-2233F614B5F7}"/>
    <hyperlink ref="W36" location="TR704A!A1" display="S2650MTR704A" xr:uid="{1D83AF9A-E1B8-4E36-A9B3-9269F794A92D}"/>
    <hyperlink ref="B36" location="'TR921'!A1" display="F2550MTR921" xr:uid="{E41BC818-512A-4A6D-BC12-A44D51C880CB}"/>
    <hyperlink ref="AB36" location="'RT108'!A1" display="S25BMSLTR108" xr:uid="{BDFC91E6-E2E4-4138-BDFB-09998AC732FE}"/>
    <hyperlink ref="AM33" location="'MR0901'!A1" display="S2608MR0901" xr:uid="{9E6A3083-0C8A-40D7-A0A7-EC8275C6331F}"/>
    <hyperlink ref="AK33" location="'650WV'!A1" display="S2554MESS650WV" xr:uid="{A8AFEFE7-DBB5-400E-B283-50E63FE65BE3}"/>
    <hyperlink ref="AI33" location="WR0201A!A1" display="S2608WR0201A" xr:uid="{A6229DFF-9026-48DC-A57C-B284851DA29E}"/>
    <hyperlink ref="BA51" location="'TR801'!A1" display="S2650WTR801" xr:uid="{FA9979BA-4544-4B36-99C2-F85F8EA01C7A}"/>
    <hyperlink ref="R66" location="'B109'!A1" display="S2415KSPJB109" xr:uid="{D02A89E0-22E8-4B68-8EC4-71B55F8BDCD9}"/>
    <hyperlink ref="W66" location="'WTR363'!A1" display="S2650WTR363" xr:uid="{3EDE24E0-784F-46D9-8E59-1C07451173CE}"/>
    <hyperlink ref="S69" location="TR806A!A1" display="S2650MTR806A" xr:uid="{9AAF1228-52D6-4F86-9DFF-31BB3576711E}"/>
    <hyperlink ref="O69" location="TR804C!A1" display="S2650MTR804C" xr:uid="{2456E8B5-ECD7-435C-A15F-5137868F8735}"/>
    <hyperlink ref="AI66" location="'4313S26'!A1" display="TW4313S26" xr:uid="{9EFFDE34-2815-40C9-BD83-117FD4FFA2B6}"/>
    <hyperlink ref="AO66" location="'MR0200'!A1" display="S2608MR0200" xr:uid="{A9CC0B37-6A4D-405F-800C-FEEF4F30F46D}"/>
    <hyperlink ref="BA54" location="'MR0200'!A1" display="S2608MR0200" xr:uid="{18FE2627-5054-4AAD-9AEB-B86BC7F3A690}"/>
    <hyperlink ref="B39" location="'M143'!A1" display="F2325M143" xr:uid="{09741EF1-B2BE-4F2E-B368-091984F8B115}"/>
    <hyperlink ref="B54" location="PM110A!A1" display="S211CSPM110A" xr:uid="{4007796F-7C88-4928-BD56-2CF503147661}"/>
    <hyperlink ref="B57" location="'WU317'!A1" display="S2315KSWU317" xr:uid="{12F20E06-EFBC-4781-8EFC-8C45BC13138B}"/>
    <hyperlink ref="B97" location="'6600S25'!A1" display="TM6600S25COST" xr:uid="{6C86C4EF-9DD1-4D52-992A-088BC0ED1707}"/>
    <hyperlink ref="AR57" location="'660WV(NEW)'!A1" display="S2554MESS660WV" xr:uid="{AA7571C5-4457-44E0-9F15-66E9007F8F59}"/>
    <hyperlink ref="AJ15" location="'6600S25'!A1" display="TM6600S25COST" xr:uid="{CE9FEE96-296C-45A4-B5E9-D0D52FDE3962}"/>
    <hyperlink ref="AW9" location="'72F22'!A1" display="TMA572F22" xr:uid="{62AC841D-FA85-47DB-A7C3-FF806B58A24A}"/>
    <hyperlink ref="Y39" location="'650WV'!A1" display="S2554MESS650WV" xr:uid="{A83760B4-B63E-41A2-AEFA-CDF3AC3EAE73}"/>
    <hyperlink ref="AD36" location="'665WV'!A1" display="S2554MESS665WV" xr:uid="{5EDD15F0-4073-411F-9466-94523AE65BFB}"/>
    <hyperlink ref="AI39" location="'651WV'!A1" display="S2554MESS651WV" xr:uid="{EC8A4C3D-59D7-4DF9-908D-B00D1AA27F2C}"/>
    <hyperlink ref="AM12" location="'4585S25'!A1" display="TM4585S25" xr:uid="{DEFF4DD0-E3B8-4A77-811F-44156F48CF9E}"/>
    <hyperlink ref="AF12" location="'904'!A1" display="S2506GHIT904M" xr:uid="{E5883944-92C3-4F9A-944B-6687342F61CF}"/>
    <hyperlink ref="AB12" location="'807A'!A1" display="S2650MTR807A" xr:uid="{BE455920-2465-433F-BDB7-0780197BC2AB}"/>
    <hyperlink ref="AM91" location="'W031'!A1" display="S2625W031" xr:uid="{8386E1AE-E06C-4212-BA29-9B5609A31A65}"/>
    <hyperlink ref="O51" location="'2403A'!A1" display="S2408WR2403A" xr:uid="{6A1E49C9-BFA3-4642-BB67-019EA760C2C3}"/>
    <hyperlink ref="U51" location="'2302A'!A1" display="S2408MR2302A" xr:uid="{A28A53FC-FBA4-4343-8DAA-39E8B2F7D762}"/>
    <hyperlink ref="Z66" location="MR0900A!A1" display="S2608MR0900A" xr:uid="{0D5396C1-F99B-4177-8240-AD221B81912E}"/>
    <hyperlink ref="AQ36" location="'WTR834'!A1" display="S2650WTR834" xr:uid="{6B9561EA-511D-4918-AC16-DD0368A3CB46}"/>
    <hyperlink ref="AO36" location="'651WV'!A1" display="S2554MESS651WV" xr:uid="{97EAF091-A20C-470D-8CF9-390FB16A1ECD}"/>
    <hyperlink ref="AJ18" location="'WR0901'!A1" display="S2608WR0901" xr:uid="{1C46ED93-3CC9-4269-8999-85D00F7E0150}"/>
    <hyperlink ref="AB51" location="MR0201B!A1" display="S2608MR0201B" xr:uid="{CBC8BC58-2554-4759-86AF-79CEA479F10A}"/>
    <hyperlink ref="AN69" location="'M009'!A1" display="F2525M009" xr:uid="{145226B4-FCC8-43DF-A679-EABCB37D90F8}"/>
    <hyperlink ref="AT66" location="'MR0600'!A1" display="S2608MR0600" xr:uid="{3E5B62A9-9113-4FB3-96F3-D609C3A3AF06}"/>
    <hyperlink ref="O9" location="'IF020'!A1" display="S2454MFI020" xr:uid="{AFFE3B06-CBA1-4504-B97B-3B824A4CA4ED}"/>
    <hyperlink ref="L9" location="'422WV'!A1" display="S2554WES422WV" xr:uid="{9D0C361F-1E2B-4C0B-82B5-7FA53A103DC9}"/>
    <hyperlink ref="AC91" location="'TR915'!A1" display="F2550MTR915" xr:uid="{24CE2AE2-B55B-4D74-85CA-147E9206D0CD}"/>
    <hyperlink ref="V9" location="'W031'!A1" display="S2625W031" xr:uid="{A74B2127-5AB7-4504-81C9-479163DC7B9D}"/>
    <hyperlink ref="AH9" location="'4313S26'!A1" display="TW4313S26" xr:uid="{FA0AFE4D-833D-41B2-BFF3-40EFA6CD9534}"/>
    <hyperlink ref="S54" location="'301Y'!A1" display="S2606GHTM301Y" xr:uid="{02B2BCA2-02C5-413E-8D81-E10417601FC7}"/>
  </hyperlinks>
  <pageMargins left="0" right="0" top="0" bottom="0" header="0" footer="0"/>
  <pageSetup paperSize="8" scale="27" fitToHeight="3" orientation="landscape" r:id="rId1"/>
  <rowBreaks count="1" manualBreakCount="1">
    <brk id="89" max="146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SA</vt:lpstr>
      <vt:lpstr>SA!Print_Area</vt:lpstr>
      <vt:lpstr>SA!Print_Titles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Planner</dc:creator>
  <cp:lastModifiedBy>IT SA</cp:lastModifiedBy>
  <cp:lastPrinted>2025-11-03T12:51:55Z</cp:lastPrinted>
  <dcterms:created xsi:type="dcterms:W3CDTF">2014-03-27T16:40:37Z</dcterms:created>
  <dcterms:modified xsi:type="dcterms:W3CDTF">2026-01-21T13:03:20Z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2025-12-24T09:35:38Z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c29f29f0-c1ec-4157-9328-8c03b26d55b7</vt:lpwstr>
  </property>
  <property fmtid="{D5CDD505-2E9C-101B-9397-08002B2CF9AE}" pid="7" name="MSIP_Label_defa4170-0d19-0005-0004-bc88714345d2_ActionId">
    <vt:lpwstr>a45d0815-4d63-4691-b9c4-bb5451e43f00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