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rp51\Downloads\IB Projects\"/>
    </mc:Choice>
  </mc:AlternateContent>
  <xr:revisionPtr revIDLastSave="0" documentId="13_ncr:1_{7B290A29-8981-4BA9-87E2-682020A96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3" r:id="rId1"/>
    <sheet name="LBO" sheetId="1" r:id="rId2"/>
    <sheet name="Debt Repayment" sheetId="6" r:id="rId3"/>
    <sheet name="IRR Sensitivity Matrix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6" l="1"/>
  <c r="F5" i="6"/>
  <c r="G5" i="6"/>
  <c r="C5" i="6"/>
  <c r="D2" i="6"/>
  <c r="E2" i="6"/>
  <c r="F2" i="6"/>
  <c r="G2" i="6"/>
  <c r="C2" i="6"/>
  <c r="B3" i="2" l="1"/>
  <c r="M11" i="1"/>
  <c r="C48" i="1" s="1"/>
  <c r="D10" i="1"/>
  <c r="H10" i="1"/>
  <c r="G10" i="1"/>
  <c r="F10" i="1"/>
  <c r="E10" i="1"/>
  <c r="C26" i="1"/>
  <c r="C24" i="1"/>
  <c r="C18" i="1"/>
  <c r="M31" i="1"/>
  <c r="M30" i="1"/>
  <c r="M29" i="1"/>
  <c r="E20" i="1"/>
  <c r="F20" i="1" s="1"/>
  <c r="G20" i="1" s="1"/>
  <c r="H20" i="1" s="1"/>
  <c r="E19" i="1"/>
  <c r="F19" i="1" s="1"/>
  <c r="G19" i="1" s="1"/>
  <c r="H19" i="1" s="1"/>
  <c r="E18" i="1"/>
  <c r="F18" i="1" s="1"/>
  <c r="G18" i="1" s="1"/>
  <c r="H18" i="1" s="1"/>
  <c r="H26" i="1" l="1"/>
  <c r="G26" i="1"/>
  <c r="H24" i="1"/>
  <c r="G24" i="1"/>
  <c r="F26" i="1"/>
  <c r="F24" i="1"/>
  <c r="E26" i="1"/>
  <c r="E24" i="1"/>
  <c r="D26" i="1" l="1"/>
  <c r="D24" i="1"/>
  <c r="D5" i="1" l="1"/>
  <c r="D25" i="1" l="1"/>
  <c r="D8" i="1"/>
  <c r="E5" i="1"/>
  <c r="D6" i="1"/>
  <c r="D7" i="1" s="1"/>
  <c r="E6" i="1"/>
  <c r="E7" i="1" s="1"/>
  <c r="M26" i="1"/>
  <c r="M27" i="1" s="1"/>
  <c r="E8" i="1" l="1"/>
  <c r="E25" i="1"/>
  <c r="F5" i="1"/>
  <c r="D9" i="1"/>
  <c r="D11" i="1" s="1"/>
  <c r="G5" i="1"/>
  <c r="F6" i="1"/>
  <c r="F7" i="1"/>
  <c r="E9" i="1"/>
  <c r="E11" i="1" s="1"/>
  <c r="G8" i="1" l="1"/>
  <c r="G25" i="1"/>
  <c r="F25" i="1"/>
  <c r="F8" i="1"/>
  <c r="F9" i="1"/>
  <c r="F11" i="1" s="1"/>
  <c r="H5" i="1"/>
  <c r="G6" i="1"/>
  <c r="G7" i="1" s="1"/>
  <c r="H25" i="1" l="1"/>
  <c r="H8" i="1"/>
  <c r="G9" i="1"/>
  <c r="G11" i="1" s="1"/>
  <c r="H6" i="1"/>
  <c r="H7" i="1" s="1"/>
  <c r="H9" i="1" s="1"/>
  <c r="H11" i="1" l="1"/>
  <c r="C19" i="1"/>
  <c r="C7" i="1"/>
  <c r="C9" i="1" s="1"/>
  <c r="D31" i="1" l="1"/>
  <c r="D33" i="1"/>
  <c r="D32" i="1"/>
  <c r="D36" i="1" s="1"/>
  <c r="C20" i="1"/>
  <c r="C11" i="1"/>
  <c r="C13" i="1" s="1"/>
  <c r="C14" i="1" s="1"/>
  <c r="C15" i="1" s="1"/>
  <c r="C23" i="1" l="1"/>
  <c r="C27" i="1" s="1"/>
  <c r="E33" i="1"/>
  <c r="D37" i="1"/>
  <c r="D35" i="1"/>
  <c r="D12" i="1" s="1"/>
  <c r="D13" i="1" s="1"/>
  <c r="D14" i="1" s="1"/>
  <c r="D39" i="1"/>
  <c r="E31" i="1"/>
  <c r="D15" i="1"/>
  <c r="D23" i="1" s="1"/>
  <c r="D27" i="1" s="1"/>
  <c r="D40" i="1" s="1"/>
  <c r="E32" i="1" s="1"/>
  <c r="M5" i="1"/>
  <c r="M9" i="1"/>
  <c r="C50" i="1" l="1"/>
  <c r="H51" i="1"/>
  <c r="E39" i="1"/>
  <c r="E35" i="1"/>
  <c r="F31" i="1"/>
  <c r="E37" i="1"/>
  <c r="F33" i="1"/>
  <c r="E36" i="1"/>
  <c r="M32" i="1"/>
  <c r="M34" i="1" s="1"/>
  <c r="D51" i="1" s="1"/>
  <c r="C52" i="1" l="1"/>
  <c r="F37" i="1"/>
  <c r="G33" i="1"/>
  <c r="F39" i="1"/>
  <c r="G31" i="1" s="1"/>
  <c r="G35" i="1" s="1"/>
  <c r="F35" i="1"/>
  <c r="E12" i="1"/>
  <c r="G39" i="1"/>
  <c r="H31" i="1" s="1"/>
  <c r="E13" i="1"/>
  <c r="E14" i="1" s="1"/>
  <c r="E15" i="1" s="1"/>
  <c r="E23" i="1" s="1"/>
  <c r="E27" i="1" s="1"/>
  <c r="E40" i="1" s="1"/>
  <c r="F32" i="1" s="1"/>
  <c r="H35" i="1" l="1"/>
  <c r="H39" i="1" s="1"/>
  <c r="C44" i="1" s="1"/>
  <c r="H33" i="1"/>
  <c r="G37" i="1"/>
  <c r="F36" i="1"/>
  <c r="F12" i="1" s="1"/>
  <c r="H37" i="1" l="1"/>
  <c r="H41" i="1" s="1"/>
  <c r="C46" i="1" s="1"/>
  <c r="F13" i="1"/>
  <c r="F14" i="1" s="1"/>
  <c r="F15" i="1" s="1"/>
  <c r="F23" i="1" s="1"/>
  <c r="F27" i="1" s="1"/>
  <c r="F40" i="1" l="1"/>
  <c r="G32" i="1" l="1"/>
  <c r="G36" i="1" s="1"/>
  <c r="G12" i="1" s="1"/>
  <c r="G13" i="1" l="1"/>
  <c r="G14" i="1" s="1"/>
  <c r="G15" i="1" s="1"/>
  <c r="G23" i="1" s="1"/>
  <c r="G27" i="1" s="1"/>
  <c r="G40" i="1" s="1"/>
  <c r="H32" i="1" l="1"/>
  <c r="H36" i="1" l="1"/>
  <c r="H12" i="1" l="1"/>
  <c r="H13" i="1" s="1"/>
  <c r="H14" i="1" s="1"/>
  <c r="H15" i="1" s="1"/>
  <c r="H23" i="1" s="1"/>
  <c r="H27" i="1" s="1"/>
  <c r="H40" i="1" s="1"/>
  <c r="C45" i="1" s="1"/>
  <c r="C49" i="1" s="1"/>
  <c r="L51" i="1" l="1"/>
  <c r="H59" i="1" l="1"/>
</calcChain>
</file>

<file path=xl/sharedStrings.xml><?xml version="1.0" encoding="utf-8"?>
<sst xmlns="http://schemas.openxmlformats.org/spreadsheetml/2006/main" count="114" uniqueCount="89">
  <si>
    <t>Revenues</t>
  </si>
  <si>
    <t>Cogs</t>
  </si>
  <si>
    <t>Gross Profit</t>
  </si>
  <si>
    <t>EBITDA</t>
  </si>
  <si>
    <t>D&amp;A</t>
  </si>
  <si>
    <t>EBIT</t>
  </si>
  <si>
    <t>Interest expenses</t>
  </si>
  <si>
    <t>Taxes</t>
  </si>
  <si>
    <t>Net Income</t>
  </si>
  <si>
    <t>Operating expenses</t>
  </si>
  <si>
    <t>Change in Working Capital</t>
  </si>
  <si>
    <t>CAPEX</t>
  </si>
  <si>
    <t>Cash Flow Calculation</t>
  </si>
  <si>
    <t>Company Data</t>
  </si>
  <si>
    <t>Share price</t>
  </si>
  <si>
    <t>Market Cap</t>
  </si>
  <si>
    <t>Existing net debt</t>
  </si>
  <si>
    <t>Current EBITDA</t>
  </si>
  <si>
    <t>EV / EBITDA multiple</t>
  </si>
  <si>
    <t>Tax rate</t>
  </si>
  <si>
    <t>EBT</t>
  </si>
  <si>
    <t>Term A</t>
  </si>
  <si>
    <t>Forecast Period</t>
  </si>
  <si>
    <t>KPIs</t>
  </si>
  <si>
    <t>Revenues growth %</t>
  </si>
  <si>
    <t>n.a.</t>
  </si>
  <si>
    <t>Cogs %</t>
  </si>
  <si>
    <t>Opex %</t>
  </si>
  <si>
    <t>EBITDA multiple</t>
  </si>
  <si>
    <t>Term B</t>
  </si>
  <si>
    <t>Debt Facilities</t>
  </si>
  <si>
    <t>Interest rate</t>
  </si>
  <si>
    <t>Lenders Covenants</t>
  </si>
  <si>
    <t>Add-back D&amp;A</t>
  </si>
  <si>
    <t>EBITDA %</t>
  </si>
  <si>
    <t>Enterprise Value</t>
  </si>
  <si>
    <t>Maximum amount of debt:</t>
  </si>
  <si>
    <t>Total Debt</t>
  </si>
  <si>
    <t xml:space="preserve">  </t>
  </si>
  <si>
    <t xml:space="preserve">Shares outstanding </t>
  </si>
  <si>
    <t>Financial Sponsors</t>
  </si>
  <si>
    <t>Acquisition premium</t>
  </si>
  <si>
    <t>Equity Value with premium</t>
  </si>
  <si>
    <t>Enterprise Value at acquisition:</t>
  </si>
  <si>
    <t>Equity needed</t>
  </si>
  <si>
    <t>Term A Outstanding</t>
  </si>
  <si>
    <t>Term B Outstanding</t>
  </si>
  <si>
    <t>Term A payment</t>
  </si>
  <si>
    <t>Term B payment</t>
  </si>
  <si>
    <t>Net Debt at exit</t>
  </si>
  <si>
    <t>Investor Cash Flows</t>
  </si>
  <si>
    <t>IRR Equity</t>
  </si>
  <si>
    <t>Implied Enterprise Value at exit</t>
  </si>
  <si>
    <t>Implied Value at exit</t>
  </si>
  <si>
    <t xml:space="preserve"> </t>
  </si>
  <si>
    <t>Income Statement Calculation ($ in Million)</t>
  </si>
  <si>
    <t>Outstanding at the end of 2029</t>
  </si>
  <si>
    <t>Senior Notes</t>
  </si>
  <si>
    <t>Debt tranches are scaled from historical Term A/B/Notes structure using a target total leverage of 4.6x EBITDA.</t>
  </si>
  <si>
    <t>Senior Notes Outstanding</t>
  </si>
  <si>
    <t>Senior Notes Payment</t>
  </si>
  <si>
    <t>Cash available for Debt Repayment</t>
  </si>
  <si>
    <t>Facility</t>
  </si>
  <si>
    <t>Repayment Style</t>
  </si>
  <si>
    <t>Why</t>
  </si>
  <si>
    <t>Scheduled amortization (e.g., 20% per year)</t>
  </si>
  <si>
    <t>Bank-driven covenant compliance</t>
  </si>
  <si>
    <t>Small amortization (e.g., 1%) + excess cash sweep</t>
  </si>
  <si>
    <t>Institutional loan, used for flexibility</t>
  </si>
  <si>
    <t>Bullet repayment at maturity</t>
  </si>
  <si>
    <t>Used for long-term back-end leverage</t>
  </si>
  <si>
    <t>Debt Structure 
(Shown as EBITDA Multiple × FY2024 EBITDA of $7,700M)</t>
  </si>
  <si>
    <t>Interest Expense Term A</t>
  </si>
  <si>
    <t>Interest Expense Term B</t>
  </si>
  <si>
    <t>Interest Expense Senior Notes</t>
  </si>
  <si>
    <t>Multiplying by 1,000,000 to get $ Billions</t>
  </si>
  <si>
    <t>Exit based on 12.8x EV/EBITDA on 2029E EBITDA of $10.6B</t>
  </si>
  <si>
    <t>Notes</t>
  </si>
  <si>
    <t>EBITDA ($ millions)</t>
  </si>
  <si>
    <t>EV/EBITDA Multiple</t>
  </si>
  <si>
    <t xml:space="preserve">IRR Sensitivity </t>
  </si>
  <si>
    <t>LBO Model</t>
  </si>
  <si>
    <t>Dell</t>
  </si>
  <si>
    <t>MOIC (Multiple On Invested Capital)</t>
  </si>
  <si>
    <t xml:space="preserve">Debt Structure </t>
  </si>
  <si>
    <t>Principal</t>
  </si>
  <si>
    <t>Interest</t>
  </si>
  <si>
    <t>Total</t>
  </si>
  <si>
    <t>Seinor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</si>
</sst>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* #,##0.00\ _л_в_._-;\-* #,##0.00\ _л_в_._-;_-* &quot;-&quot;??\ _л_в_._-;_-@_-"/>
    <numFmt numFmtId="165" formatCode="#,##0_ ;\-#,##0\ "/>
    <numFmt numFmtId="166" formatCode="#,##0.0_ ;\-#,##0.0\ "/>
    <numFmt numFmtId="167" formatCode="0.0%"/>
    <numFmt numFmtId="172" formatCode="#,##0.00_ ;\-#,##0.00\ "/>
    <numFmt numFmtId="175" formatCode="_-* #,##0\ _л_в_._-;\-* #,##0\ _л_в_._-;_-* &quot;-&quot;??\ _л_в_._-;_-@_-"/>
    <numFmt numFmtId="179" formatCode="_(&quot;$&quot;* #,##0_);_(&quot;$&quot;* \(#,##0\);_(&quot;$&quot;* &quot;-&quot;??_);_(@_)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0"/>
      <name val="Arial"/>
      <family val="2"/>
    </font>
    <font>
      <b/>
      <sz val="11"/>
      <color theme="2"/>
      <name val="Calibri"/>
      <family val="2"/>
      <charset val="204"/>
      <scheme val="minor"/>
    </font>
    <font>
      <b/>
      <sz val="14"/>
      <color theme="0"/>
      <name val="Arial"/>
      <family val="2"/>
    </font>
    <font>
      <b/>
      <sz val="12"/>
      <color theme="0"/>
      <name val="Calibri"/>
      <family val="2"/>
      <charset val="204"/>
      <scheme val="minor"/>
    </font>
    <font>
      <b/>
      <sz val="40"/>
      <color rgb="FF002060"/>
      <name val="Arial"/>
      <family val="2"/>
      <charset val="204"/>
    </font>
    <font>
      <sz val="10"/>
      <color rgb="FF00206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5" fontId="4" fillId="2" borderId="0" xfId="0" applyNumberFormat="1" applyFont="1" applyFill="1"/>
    <xf numFmtId="0" fontId="6" fillId="2" borderId="0" xfId="0" applyFont="1" applyFill="1"/>
    <xf numFmtId="0" fontId="7" fillId="2" borderId="4" xfId="0" applyFont="1" applyFill="1" applyBorder="1"/>
    <xf numFmtId="165" fontId="4" fillId="2" borderId="0" xfId="1" applyNumberFormat="1" applyFont="1" applyFill="1" applyAlignment="1">
      <alignment horizontal="right"/>
    </xf>
    <xf numFmtId="166" fontId="4" fillId="2" borderId="0" xfId="0" applyNumberFormat="1" applyFont="1" applyFill="1"/>
    <xf numFmtId="9" fontId="4" fillId="2" borderId="0" xfId="2" applyFont="1" applyFill="1"/>
    <xf numFmtId="0" fontId="4" fillId="4" borderId="0" xfId="0" applyFont="1" applyFill="1"/>
    <xf numFmtId="165" fontId="4" fillId="4" borderId="0" xfId="0" applyNumberFormat="1" applyFont="1" applyFill="1"/>
    <xf numFmtId="0" fontId="8" fillId="4" borderId="0" xfId="0" applyFont="1" applyFill="1"/>
    <xf numFmtId="165" fontId="9" fillId="4" borderId="0" xfId="0" applyNumberFormat="1" applyFont="1" applyFill="1" applyAlignment="1">
      <alignment horizontal="right"/>
    </xf>
    <xf numFmtId="0" fontId="8" fillId="2" borderId="5" xfId="0" applyFont="1" applyFill="1" applyBorder="1"/>
    <xf numFmtId="0" fontId="7" fillId="2" borderId="6" xfId="0" applyFont="1" applyFill="1" applyBorder="1"/>
    <xf numFmtId="165" fontId="7" fillId="2" borderId="6" xfId="0" applyNumberFormat="1" applyFont="1" applyFill="1" applyBorder="1"/>
    <xf numFmtId="9" fontId="9" fillId="4" borderId="0" xfId="0" applyNumberFormat="1" applyFont="1" applyFill="1"/>
    <xf numFmtId="9" fontId="9" fillId="4" borderId="0" xfId="2" applyFont="1" applyFill="1"/>
    <xf numFmtId="0" fontId="9" fillId="4" borderId="0" xfId="0" applyFont="1" applyFill="1"/>
    <xf numFmtId="0" fontId="4" fillId="2" borderId="7" xfId="0" applyFont="1" applyFill="1" applyBorder="1"/>
    <xf numFmtId="165" fontId="4" fillId="2" borderId="7" xfId="0" applyNumberFormat="1" applyFont="1" applyFill="1" applyBorder="1"/>
    <xf numFmtId="165" fontId="8" fillId="2" borderId="5" xfId="0" applyNumberFormat="1" applyFont="1" applyFill="1" applyBorder="1"/>
    <xf numFmtId="166" fontId="4" fillId="2" borderId="7" xfId="1" applyNumberFormat="1" applyFont="1" applyFill="1" applyBorder="1" applyAlignment="1">
      <alignment horizontal="right"/>
    </xf>
    <xf numFmtId="9" fontId="10" fillId="2" borderId="7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right"/>
    </xf>
    <xf numFmtId="3" fontId="4" fillId="2" borderId="0" xfId="0" applyNumberFormat="1" applyFont="1" applyFill="1"/>
    <xf numFmtId="0" fontId="4" fillId="2" borderId="0" xfId="0" applyFont="1" applyFill="1" applyBorder="1"/>
    <xf numFmtId="0" fontId="6" fillId="2" borderId="0" xfId="0" applyFont="1" applyFill="1" applyBorder="1"/>
    <xf numFmtId="9" fontId="11" fillId="2" borderId="7" xfId="0" applyNumberFormat="1" applyFont="1" applyFill="1" applyBorder="1" applyAlignment="1">
      <alignment horizontal="right"/>
    </xf>
    <xf numFmtId="0" fontId="12" fillId="2" borderId="0" xfId="0" applyFont="1" applyFill="1"/>
    <xf numFmtId="165" fontId="12" fillId="2" borderId="0" xfId="0" applyNumberFormat="1" applyFont="1" applyFill="1"/>
    <xf numFmtId="0" fontId="13" fillId="2" borderId="0" xfId="0" applyFont="1" applyFill="1"/>
    <xf numFmtId="165" fontId="4" fillId="2" borderId="0" xfId="0" applyNumberFormat="1" applyFont="1" applyFill="1" applyBorder="1"/>
    <xf numFmtId="9" fontId="4" fillId="4" borderId="0" xfId="0" applyNumberFormat="1" applyFont="1" applyFill="1"/>
    <xf numFmtId="0" fontId="14" fillId="3" borderId="0" xfId="0" applyFont="1" applyFill="1"/>
    <xf numFmtId="167" fontId="14" fillId="3" borderId="0" xfId="0" applyNumberFormat="1" applyFont="1" applyFill="1"/>
    <xf numFmtId="0" fontId="13" fillId="4" borderId="0" xfId="0" applyFont="1" applyFill="1"/>
    <xf numFmtId="166" fontId="4" fillId="2" borderId="0" xfId="0" applyNumberFormat="1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3" fontId="4" fillId="2" borderId="0" xfId="0" applyNumberFormat="1" applyFont="1" applyFill="1" applyAlignment="1">
      <alignment horizontal="right"/>
    </xf>
    <xf numFmtId="172" fontId="4" fillId="2" borderId="0" xfId="0" applyNumberFormat="1" applyFont="1" applyFill="1"/>
    <xf numFmtId="167" fontId="4" fillId="2" borderId="0" xfId="0" applyNumberFormat="1" applyFont="1" applyFill="1"/>
    <xf numFmtId="0" fontId="16" fillId="2" borderId="0" xfId="0" applyFont="1" applyFill="1" applyAlignment="1">
      <alignment horizontal="center" wrapText="1"/>
    </xf>
    <xf numFmtId="0" fontId="6" fillId="2" borderId="8" xfId="0" applyFont="1" applyFill="1" applyBorder="1"/>
    <xf numFmtId="0" fontId="4" fillId="2" borderId="8" xfId="0" applyFont="1" applyFill="1" applyBorder="1"/>
    <xf numFmtId="0" fontId="13" fillId="2" borderId="0" xfId="0" applyFont="1" applyFill="1" applyAlignment="1">
      <alignment wrapText="1"/>
    </xf>
    <xf numFmtId="1" fontId="4" fillId="2" borderId="0" xfId="0" applyNumberFormat="1" applyFont="1" applyFill="1"/>
    <xf numFmtId="0" fontId="13" fillId="2" borderId="9" xfId="0" applyFont="1" applyFill="1" applyBorder="1"/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6" fillId="2" borderId="18" xfId="0" applyFont="1" applyFill="1" applyBorder="1"/>
    <xf numFmtId="0" fontId="4" fillId="2" borderId="19" xfId="0" applyFont="1" applyFill="1" applyBorder="1"/>
    <xf numFmtId="165" fontId="16" fillId="0" borderId="20" xfId="0" applyNumberFormat="1" applyFont="1" applyFill="1" applyBorder="1" applyAlignment="1">
      <alignment wrapText="1"/>
    </xf>
    <xf numFmtId="0" fontId="4" fillId="5" borderId="21" xfId="0" applyFont="1" applyFill="1" applyBorder="1"/>
    <xf numFmtId="0" fontId="4" fillId="5" borderId="5" xfId="0" applyFont="1" applyFill="1" applyBorder="1"/>
    <xf numFmtId="0" fontId="17" fillId="5" borderId="19" xfId="0" applyFont="1" applyFill="1" applyBorder="1" applyAlignment="1">
      <alignment horizontal="center" vertical="center" wrapText="1"/>
    </xf>
    <xf numFmtId="167" fontId="18" fillId="5" borderId="0" xfId="0" applyNumberFormat="1" applyFont="1" applyFill="1" applyBorder="1" applyAlignment="1">
      <alignment horizontal="center" vertical="center" wrapText="1"/>
    </xf>
    <xf numFmtId="10" fontId="4" fillId="2" borderId="0" xfId="2" applyNumberFormat="1" applyFont="1" applyFill="1" applyBorder="1"/>
    <xf numFmtId="10" fontId="4" fillId="2" borderId="12" xfId="2" applyNumberFormat="1" applyFont="1" applyFill="1" applyBorder="1"/>
    <xf numFmtId="10" fontId="0" fillId="2" borderId="0" xfId="2" applyNumberFormat="1" applyFont="1" applyFill="1" applyBorder="1" applyAlignment="1">
      <alignment vertical="center" wrapText="1"/>
    </xf>
    <xf numFmtId="10" fontId="0" fillId="2" borderId="9" xfId="2" applyNumberFormat="1" applyFont="1" applyFill="1" applyBorder="1" applyAlignment="1">
      <alignment vertical="center" wrapText="1"/>
    </xf>
    <xf numFmtId="10" fontId="4" fillId="2" borderId="9" xfId="2" applyNumberFormat="1" applyFont="1" applyFill="1" applyBorder="1"/>
    <xf numFmtId="10" fontId="4" fillId="2" borderId="23" xfId="2" applyNumberFormat="1" applyFont="1" applyFill="1" applyBorder="1"/>
    <xf numFmtId="0" fontId="19" fillId="6" borderId="9" xfId="0" applyFont="1" applyFill="1" applyBorder="1" applyAlignment="1">
      <alignment horizontal="center"/>
    </xf>
    <xf numFmtId="0" fontId="18" fillId="7" borderId="5" xfId="0" applyFont="1" applyFill="1" applyBorder="1" applyAlignment="1">
      <alignment horizontal="center" vertical="center" wrapText="1"/>
    </xf>
    <xf numFmtId="0" fontId="18" fillId="7" borderId="22" xfId="0" applyFont="1" applyFill="1" applyBorder="1" applyAlignment="1">
      <alignment horizontal="center" vertical="center" wrapText="1"/>
    </xf>
    <xf numFmtId="0" fontId="18" fillId="7" borderId="19" xfId="0" applyFont="1" applyFill="1" applyBorder="1" applyAlignment="1">
      <alignment horizontal="center" vertical="center" textRotation="90" wrapText="1"/>
    </xf>
    <xf numFmtId="0" fontId="18" fillId="7" borderId="18" xfId="0" applyFont="1" applyFill="1" applyBorder="1" applyAlignment="1">
      <alignment horizontal="center" vertical="center" textRotation="90" wrapText="1"/>
    </xf>
    <xf numFmtId="175" fontId="15" fillId="2" borderId="9" xfId="1" applyNumberFormat="1" applyFont="1" applyFill="1" applyBorder="1" applyAlignment="1">
      <alignment horizontal="center" vertical="center" wrapText="1"/>
    </xf>
    <xf numFmtId="175" fontId="15" fillId="2" borderId="23" xfId="1" applyNumberFormat="1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vertical="center" wrapText="1"/>
    </xf>
    <xf numFmtId="0" fontId="15" fillId="2" borderId="23" xfId="0" applyFont="1" applyFill="1" applyBorder="1" applyAlignment="1">
      <alignment vertical="center" wrapText="1"/>
    </xf>
    <xf numFmtId="0" fontId="8" fillId="2" borderId="0" xfId="0" applyFont="1" applyFill="1" applyBorder="1"/>
    <xf numFmtId="0" fontId="12" fillId="2" borderId="0" xfId="0" applyFont="1" applyFill="1" applyBorder="1"/>
    <xf numFmtId="0" fontId="0" fillId="2" borderId="0" xfId="0" applyFill="1" applyBorder="1"/>
    <xf numFmtId="0" fontId="7" fillId="2" borderId="0" xfId="0" applyFont="1" applyFill="1" applyBorder="1"/>
    <xf numFmtId="0" fontId="9" fillId="2" borderId="0" xfId="0" applyFont="1" applyFill="1" applyBorder="1"/>
    <xf numFmtId="0" fontId="13" fillId="2" borderId="0" xfId="0" applyFont="1" applyFill="1" applyBorder="1"/>
    <xf numFmtId="167" fontId="20" fillId="5" borderId="0" xfId="0" applyNumberFormat="1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2" xfId="0" applyFont="1" applyFill="1" applyBorder="1" applyAlignment="1">
      <alignment horizontal="center" vertical="center" wrapText="1"/>
    </xf>
    <xf numFmtId="0" fontId="22" fillId="7" borderId="19" xfId="0" applyFont="1" applyFill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10" fontId="2" fillId="2" borderId="0" xfId="2" applyNumberFormat="1" applyFont="1" applyFill="1" applyBorder="1"/>
    <xf numFmtId="10" fontId="2" fillId="2" borderId="12" xfId="2" applyNumberFormat="1" applyFont="1" applyFill="1" applyBorder="1"/>
    <xf numFmtId="10" fontId="2" fillId="2" borderId="9" xfId="2" applyNumberFormat="1" applyFont="1" applyFill="1" applyBorder="1"/>
    <xf numFmtId="10" fontId="2" fillId="2" borderId="23" xfId="2" applyNumberFormat="1" applyFont="1" applyFill="1" applyBorder="1"/>
    <xf numFmtId="0" fontId="21" fillId="6" borderId="20" xfId="0" applyFont="1" applyFill="1" applyBorder="1" applyAlignment="1">
      <alignment horizontal="center"/>
    </xf>
    <xf numFmtId="0" fontId="21" fillId="6" borderId="15" xfId="0" applyFont="1" applyFill="1" applyBorder="1" applyAlignment="1">
      <alignment horizontal="center"/>
    </xf>
    <xf numFmtId="0" fontId="21" fillId="6" borderId="16" xfId="0" applyFont="1" applyFill="1" applyBorder="1" applyAlignment="1">
      <alignment horizontal="center"/>
    </xf>
    <xf numFmtId="0" fontId="0" fillId="2" borderId="0" xfId="0" applyFill="1"/>
    <xf numFmtId="0" fontId="23" fillId="2" borderId="0" xfId="0" applyFont="1" applyFill="1" applyAlignment="1">
      <alignment vertical="top"/>
    </xf>
    <xf numFmtId="0" fontId="24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3" fillId="2" borderId="17" xfId="0" applyFont="1" applyFill="1" applyBorder="1" applyAlignment="1">
      <alignment wrapText="1"/>
    </xf>
    <xf numFmtId="0" fontId="0" fillId="2" borderId="17" xfId="0" applyFill="1" applyBorder="1"/>
    <xf numFmtId="0" fontId="7" fillId="2" borderId="17" xfId="0" applyNumberFormat="1" applyFont="1" applyFill="1" applyBorder="1"/>
    <xf numFmtId="0" fontId="7" fillId="2" borderId="17" xfId="0" applyFont="1" applyFill="1" applyBorder="1"/>
    <xf numFmtId="0" fontId="0" fillId="2" borderId="17" xfId="0" applyFill="1" applyBorder="1" applyAlignment="1">
      <alignment horizontal="center"/>
    </xf>
    <xf numFmtId="179" fontId="0" fillId="2" borderId="17" xfId="3" applyNumberFormat="1" applyFont="1" applyFill="1" applyBorder="1"/>
    <xf numFmtId="179" fontId="4" fillId="2" borderId="17" xfId="3" applyNumberFormat="1" applyFont="1" applyFill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 A Debt Repayment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'Debt Repayment'!$A$2:$B$2</c:f>
              <c:strCache>
                <c:ptCount val="2"/>
                <c:pt idx="0">
                  <c:v>Term A</c:v>
                </c:pt>
                <c:pt idx="1">
                  <c:v>Principal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'Debt Repayment'!$C$1:$G$1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'Debt Repayment'!$C$2:$G$2</c:f>
              <c:numCache>
                <c:formatCode>_("$"* #,##0_);_("$"* \(#,##0\);_("$"* "-"??_);_(@_)</c:formatCode>
                <c:ptCount val="5"/>
                <c:pt idx="0">
                  <c:v>575.38250000000005</c:v>
                </c:pt>
                <c:pt idx="1">
                  <c:v>460.30599999999993</c:v>
                </c:pt>
                <c:pt idx="2">
                  <c:v>368.2448</c:v>
                </c:pt>
                <c:pt idx="3">
                  <c:v>294.59584000000001</c:v>
                </c:pt>
                <c:pt idx="4">
                  <c:v>1545.4207999999999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F-4BF8-9404-C1C56BB733D7}"/>
            </c:ext>
          </c:extLst>
        </c:ser>
        <c:ser>
          <c:idx val="1"/>
          <c:order val="1"/>
          <c:tx>
            <c:strRef>
              <c:f>'Debt Repayment'!$A$3:$B$3</c:f>
              <c:strCache>
                <c:ptCount val="2"/>
                <c:pt idx="0">
                  <c:v>Term A</c:v>
                </c:pt>
                <c:pt idx="1">
                  <c:v>Interest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'Debt Repayment'!$C$1:$G$1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'Debt Repayment'!$C$3:$G$3</c:f>
              <c:numCache>
                <c:formatCode>_("$"* #,##0_);_("$"* \(#,##0\);_("$"* "-"??_);_(@_)</c:formatCode>
                <c:ptCount val="5"/>
                <c:pt idx="0">
                  <c:v>179.2175</c:v>
                </c:pt>
                <c:pt idx="1">
                  <c:v>143.374</c:v>
                </c:pt>
                <c:pt idx="2">
                  <c:v>114.6992</c:v>
                </c:pt>
                <c:pt idx="3">
                  <c:v>91.759360000000001</c:v>
                </c:pt>
                <c:pt idx="4">
                  <c:v>73.407488000000001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F-4BF8-9404-C1C56BB733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745472"/>
        <c:axId val="209744224"/>
      </c:barChart>
      <c:lineChart>
        <c:grouping val="standard"/>
        <c:varyColors val="0"/>
        <c:ser>
          <c:idx val="2"/>
          <c:order val="2"/>
          <c:tx>
            <c:strRef>
              <c:f>'Debt Repayment'!$A$4:$B$4</c:f>
              <c:strCache>
                <c:ptCount val="2"/>
                <c:pt idx="0">
                  <c:v>Term A</c:v>
                </c:pt>
                <c:pt idx="1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'Debt Repayment'!$C$1:$G$1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'Debt Repayment'!$C$4:$G$4</c:f>
              <c:numCache>
                <c:formatCode>_("$"* #,##0_);_("$"* \(#,##0\);_("$"* "-"??_);_(@_)</c:formatCode>
                <c:ptCount val="5"/>
                <c:pt idx="0">
                  <c:v>754.6</c:v>
                </c:pt>
                <c:pt idx="1">
                  <c:v>603.67999999999995</c:v>
                </c:pt>
                <c:pt idx="2">
                  <c:v>482.94400000000002</c:v>
                </c:pt>
                <c:pt idx="3">
                  <c:v>386.35520000000002</c:v>
                </c:pt>
                <c:pt idx="4">
                  <c:v>1618.8282879999999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F-4BF8-9404-C1C56BB733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745472"/>
        <c:axId val="209744224"/>
      </c:lineChart>
      <c:catAx>
        <c:axId val="20974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44224"/>
        <c:crosses val="autoZero"/>
        <c:auto val="1"/>
        <c:lblAlgn val="ctr"/>
        <c:lblOffset val="100"/>
        <c:noMultiLvlLbl val="0"/>
      </c:catAx>
      <c:valAx>
        <c:axId val="209744224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0974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Term B Debt Repayment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'Debt Repayment'!$A$5:$B$5</c:f>
              <c:strCache>
                <c:ptCount val="2"/>
                <c:pt idx="0">
                  <c:v>Term B</c:v>
                </c:pt>
                <c:pt idx="1">
                  <c:v>Principal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E4F-4793-9911-B3FCAB4AF6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'Debt Repayment'!$C$1:$G$1</c15:sqref>
                  </c15:fullRef>
                </c:ext>
              </c:extLst>
              <c:f>'Debt Repayment'!$C$1:$D$1</c:f>
              <c:numCache>
                <c:formatCode>General</c:formatCode>
                <c:ptCount val="2"/>
                <c:pt idx="0">
                  <c:v>2025</c:v>
                </c:pt>
                <c:pt idx="1">
                  <c:v>2026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'Debt Repayment'!$C$5:$G$5</c15:sqref>
                  </c15:fullRef>
                </c:ext>
              </c:extLst>
              <c:f>'Debt Repayment'!$C$5:$D$5</c:f>
              <c:numCache>
                <c:formatCode>_("$"* #,##0_);_("$"* \(#,##0\);_("$"* "-"??_);_(@_)</c:formatCode>
                <c:ptCount val="2"/>
                <c:pt idx="0">
                  <c:v>3364.9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F-4793-9911-B3FCAB4AF6A0}"/>
            </c:ext>
          </c:extLst>
        </c:ser>
        <c:ser>
          <c:idx val="1"/>
          <c:order val="1"/>
          <c:tx>
            <c:strRef>
              <c:f>'Debt Repayment'!$A$6:$B$6</c:f>
              <c:strCache>
                <c:ptCount val="2"/>
                <c:pt idx="0">
                  <c:v>Term B</c:v>
                </c:pt>
                <c:pt idx="1">
                  <c:v>Interest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4F-4793-9911-B3FCAB4AF6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'Debt Repayment'!$C$1:$G$1</c15:sqref>
                  </c15:fullRef>
                </c:ext>
              </c:extLst>
              <c:f>'Debt Repayment'!$C$1:$D$1</c:f>
              <c:numCache>
                <c:formatCode>General</c:formatCode>
                <c:ptCount val="2"/>
                <c:pt idx="0">
                  <c:v>2025</c:v>
                </c:pt>
                <c:pt idx="1">
                  <c:v>2026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'Debt Repayment'!$C$6:$G$6</c15:sqref>
                  </c15:fullRef>
                </c:ext>
              </c:extLst>
              <c:f>'Debt Repayment'!$C$6:$D$6</c:f>
              <c:numCache>
                <c:formatCode>_("$"* #,##0_);_("$"* \(#,##0\);_("$"* "-"??_);_(@_)</c:formatCode>
                <c:ptCount val="2"/>
                <c:pt idx="0">
                  <c:v>177.1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4F-4793-9911-B3FCAB4AF6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6718000"/>
        <c:axId val="1076714256"/>
      </c:barChart>
      <c:lineChart>
        <c:grouping val="standard"/>
        <c:varyColors val="0"/>
        <c:ser>
          <c:idx val="2"/>
          <c:order val="2"/>
          <c:tx>
            <c:strRef>
              <c:f>'Debt Repayment'!$A$7:$B$7</c:f>
              <c:strCache>
                <c:ptCount val="2"/>
                <c:pt idx="0">
                  <c:v>Term B</c:v>
                </c:pt>
                <c:pt idx="1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E4F-4793-9911-B3FCAB4AF6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'Debt Repayment'!$C$1:$G$1</c15:sqref>
                  </c15:fullRef>
                </c:ext>
              </c:extLst>
              <c:f>'Debt Repayment'!$C$1:$D$1</c:f>
              <c:numCache>
                <c:formatCode>General</c:formatCode>
                <c:ptCount val="2"/>
                <c:pt idx="0">
                  <c:v>2025</c:v>
                </c:pt>
                <c:pt idx="1">
                  <c:v>2026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'Debt Repayment'!$C$7:$G$7</c15:sqref>
                  </c15:fullRef>
                </c:ext>
              </c:extLst>
              <c:f>'Debt Repayment'!$C$7:$D$7</c:f>
              <c:numCache>
                <c:formatCode>_("$"* #,##0_);_("$"* \(#,##0\);_("$"* "-"??_);_(@_)</c:formatCode>
                <c:ptCount val="2"/>
                <c:pt idx="0">
                  <c:v>3542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F-4793-9911-B3FCAB4AF6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76718000"/>
        <c:axId val="1076714256"/>
      </c:lineChart>
      <c:catAx>
        <c:axId val="107671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14256"/>
        <c:crosses val="autoZero"/>
        <c:auto val="1"/>
        <c:lblAlgn val="ctr"/>
        <c:lblOffset val="100"/>
        <c:noMultiLvlLbl val="0"/>
      </c:catAx>
      <c:valAx>
        <c:axId val="1076714256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07671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Senior Loan Debt Repayment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'Debt Repayment'!$A$8:$B$8</c:f>
              <c:strCache>
                <c:ptCount val="2"/>
                <c:pt idx="0">
                  <c:v>Seinor Loan</c:v>
                </c:pt>
                <c:pt idx="1">
                  <c:v>Principal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ED4-457F-A0E6-1AF9B7DF82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ED4-457F-A0E6-1AF9B7DF828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D4-457F-A0E6-1AF9B7DF828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ED4-457F-A0E6-1AF9B7DF82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'Debt Repayment'!$C$1:$G$1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'Debt Repayment'!$C$8:$G$8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4-457F-A0E6-1AF9B7DF828D}"/>
            </c:ext>
          </c:extLst>
        </c:ser>
        <c:ser>
          <c:idx val="1"/>
          <c:order val="1"/>
          <c:tx>
            <c:strRef>
              <c:f>'Debt Repayment'!$A$9:$B$9</c:f>
              <c:strCache>
                <c:ptCount val="2"/>
                <c:pt idx="0">
                  <c:v>Seinor Loan</c:v>
                </c:pt>
                <c:pt idx="1">
                  <c:v>Interest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'Debt Repayment'!$C$1:$G$1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'Debt Repayment'!$C$9:$G$9</c:f>
              <c:numCache>
                <c:formatCode>_("$"* #,##0_);_("$"* \(#,##0\);_("$"* "-"??_);_(@_)</c:formatCode>
                <c:ptCount val="5"/>
                <c:pt idx="0">
                  <c:v>157.85</c:v>
                </c:pt>
                <c:pt idx="1">
                  <c:v>157.85</c:v>
                </c:pt>
                <c:pt idx="2">
                  <c:v>157.85</c:v>
                </c:pt>
                <c:pt idx="3">
                  <c:v>157.85</c:v>
                </c:pt>
                <c:pt idx="4">
                  <c:v>157.85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D4-457F-A0E6-1AF9B7DF82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1879584"/>
        <c:axId val="1071882496"/>
      </c:barChart>
      <c:lineChart>
        <c:grouping val="standard"/>
        <c:varyColors val="0"/>
        <c:ser>
          <c:idx val="2"/>
          <c:order val="2"/>
          <c:tx>
            <c:strRef>
              <c:f>'Debt Repayment'!$A$10:$B$10</c:f>
              <c:strCache>
                <c:ptCount val="2"/>
                <c:pt idx="0">
                  <c:v>Seinor Loan</c:v>
                </c:pt>
                <c:pt idx="1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ED4-457F-A0E6-1AF9B7DF82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ED4-457F-A0E6-1AF9B7DF828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ED4-457F-A0E6-1AF9B7DF828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ED4-457F-A0E6-1AF9B7DF828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FED4-457F-A0E6-1AF9B7DF82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'Debt Repayment'!$C$1:$G$1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'Debt Repayment'!$C$10:$G$10</c:f>
              <c:numCache>
                <c:formatCode>_("$"* #,##0_);_("$"* \(#,##0\);_("$"*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3314.85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D4-457F-A0E6-1AF9B7DF82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71879584"/>
        <c:axId val="1071882496"/>
      </c:lineChart>
      <c:catAx>
        <c:axId val="107187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82496"/>
        <c:crosses val="autoZero"/>
        <c:auto val="1"/>
        <c:lblAlgn val="ctr"/>
        <c:lblOffset val="100"/>
        <c:noMultiLvlLbl val="0"/>
      </c:catAx>
      <c:valAx>
        <c:axId val="1071882496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07187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3</xdr:row>
      <xdr:rowOff>47625</xdr:rowOff>
    </xdr:from>
    <xdr:to>
      <xdr:col>16</xdr:col>
      <xdr:colOff>295275</xdr:colOff>
      <xdr:row>24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CF8B5E-1290-4062-863E-5C5DC4B8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619125"/>
          <a:ext cx="7772400" cy="4857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0</xdr:row>
      <xdr:rowOff>119059</xdr:rowOff>
    </xdr:from>
    <xdr:to>
      <xdr:col>21</xdr:col>
      <xdr:colOff>447674</xdr:colOff>
      <xdr:row>17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1192EF-1C58-42E3-A5D4-307FAA81C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395286</xdr:colOff>
      <xdr:row>18</xdr:row>
      <xdr:rowOff>23811</xdr:rowOff>
    </xdr:from>
    <xdr:to>
      <xdr:col>13</xdr:col>
      <xdr:colOff>514349</xdr:colOff>
      <xdr:row>34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5B2C57-1F65-41D5-B98C-A54F8E48D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33336</xdr:colOff>
      <xdr:row>18</xdr:row>
      <xdr:rowOff>23811</xdr:rowOff>
    </xdr:from>
    <xdr:to>
      <xdr:col>21</xdr:col>
      <xdr:colOff>457199</xdr:colOff>
      <xdr:row>34</xdr:row>
      <xdr:rowOff>66674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00B876-80DF-4E27-81F4-CDADE32D0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0983-62D6-426B-9240-6CC1B600F54E}">
  <dimension ref="B9:C14"/>
  <sheetViews>
    <sheetView tabSelected="1" workbookViewId="0">
      <selection activeCell="T28" sqref="T28"/>
    </sheetView>
  </sheetViews>
  <sheetFormatPr defaultColWidth="9.140625" defaultRowHeight="15" x14ac:dyDescent="0.25"/>
  <cols>
    <col min="1" max="1" width="2" style="103" customWidth="1"/>
    <col min="2" max="16384" width="9.140625" style="103"/>
  </cols>
  <sheetData>
    <row r="9" spans="2:3" x14ac:dyDescent="0.25">
      <c r="C9" s="102"/>
    </row>
    <row r="10" spans="2:3" x14ac:dyDescent="0.25">
      <c r="C10" s="102"/>
    </row>
    <row r="13" spans="2:3" ht="50.25" x14ac:dyDescent="0.25">
      <c r="B13" s="101" t="s">
        <v>82</v>
      </c>
    </row>
    <row r="14" spans="2:3" ht="50.25" x14ac:dyDescent="0.25">
      <c r="B14" s="101" t="s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opLeftCell="A16" zoomScaleNormal="100" workbookViewId="0">
      <selection activeCell="B30" sqref="B30:D33"/>
    </sheetView>
  </sheetViews>
  <sheetFormatPr defaultRowHeight="12" x14ac:dyDescent="0.2"/>
  <cols>
    <col min="1" max="1" width="2" style="3" customWidth="1"/>
    <col min="2" max="2" width="37" style="3" bestFit="1" customWidth="1"/>
    <col min="3" max="3" width="8.42578125" style="3" bestFit="1" customWidth="1"/>
    <col min="4" max="4" width="14.42578125" style="3" bestFit="1" customWidth="1"/>
    <col min="5" max="5" width="7.42578125" style="3" bestFit="1" customWidth="1"/>
    <col min="6" max="7" width="7.85546875" style="3" bestFit="1" customWidth="1"/>
    <col min="8" max="8" width="14.85546875" style="3" bestFit="1" customWidth="1"/>
    <col min="9" max="9" width="27.42578125" style="3" customWidth="1"/>
    <col min="10" max="11" width="9.140625" style="3"/>
    <col min="12" max="12" width="28.5703125" style="3" customWidth="1"/>
    <col min="13" max="13" width="32.140625" style="3" customWidth="1"/>
    <col min="14" max="14" width="36.28515625" style="3" customWidth="1"/>
    <col min="15" max="16384" width="9.140625" style="3"/>
  </cols>
  <sheetData>
    <row r="1" spans="1:13" s="1" customFormat="1" ht="15.75" x14ac:dyDescent="0.25">
      <c r="A1" s="1" t="s">
        <v>38</v>
      </c>
      <c r="B1" s="2" t="s">
        <v>81</v>
      </c>
    </row>
    <row r="3" spans="1:13" x14ac:dyDescent="0.2">
      <c r="C3" s="4"/>
      <c r="D3" s="39" t="s">
        <v>22</v>
      </c>
      <c r="E3" s="40"/>
      <c r="F3" s="40"/>
      <c r="G3" s="40"/>
      <c r="H3" s="41"/>
    </row>
    <row r="4" spans="1:13" ht="19.5" customHeight="1" thickBot="1" x14ac:dyDescent="0.25">
      <c r="B4" s="5" t="s">
        <v>55</v>
      </c>
      <c r="C4" s="6">
        <v>2024</v>
      </c>
      <c r="D4" s="6">
        <v>2025</v>
      </c>
      <c r="E4" s="6">
        <v>2026</v>
      </c>
      <c r="F4" s="6">
        <v>2027</v>
      </c>
      <c r="G4" s="6">
        <v>2028</v>
      </c>
      <c r="H4" s="6">
        <v>2029</v>
      </c>
      <c r="L4" s="5" t="s">
        <v>13</v>
      </c>
    </row>
    <row r="5" spans="1:13" x14ac:dyDescent="0.2">
      <c r="B5" s="20" t="s">
        <v>0</v>
      </c>
      <c r="C5" s="4">
        <v>88400</v>
      </c>
      <c r="D5" s="4">
        <f>C5*(1+D17)</f>
        <v>94588</v>
      </c>
      <c r="E5" s="4">
        <f t="shared" ref="E5:H5" si="0">D5*(1+E17)</f>
        <v>97425.64</v>
      </c>
      <c r="F5" s="4">
        <f t="shared" si="0"/>
        <v>100348.40920000001</v>
      </c>
      <c r="G5" s="4">
        <f t="shared" si="0"/>
        <v>103358.86147600001</v>
      </c>
      <c r="H5" s="4">
        <f t="shared" si="0"/>
        <v>106459.62732028001</v>
      </c>
      <c r="L5" s="20" t="s">
        <v>14</v>
      </c>
      <c r="M5" s="23">
        <f>M7/M6</f>
        <v>85.02873563218391</v>
      </c>
    </row>
    <row r="6" spans="1:13" x14ac:dyDescent="0.2">
      <c r="B6" s="3" t="s">
        <v>1</v>
      </c>
      <c r="C6" s="4">
        <v>-67000</v>
      </c>
      <c r="D6" s="4">
        <f>D18*D5</f>
        <v>-70941</v>
      </c>
      <c r="E6" s="4">
        <f t="shared" ref="E6:H6" si="1">E18*E5</f>
        <v>-73069.23</v>
      </c>
      <c r="F6" s="4">
        <f t="shared" si="1"/>
        <v>-75261.306900000011</v>
      </c>
      <c r="G6" s="4">
        <f t="shared" si="1"/>
        <v>-77519.146107000008</v>
      </c>
      <c r="H6" s="4">
        <f t="shared" si="1"/>
        <v>-79844.720490210006</v>
      </c>
      <c r="L6" s="3" t="s">
        <v>39</v>
      </c>
      <c r="M6" s="42">
        <v>696000000</v>
      </c>
    </row>
    <row r="7" spans="1:13" x14ac:dyDescent="0.2">
      <c r="B7" s="3" t="s">
        <v>2</v>
      </c>
      <c r="C7" s="4">
        <f>C5+C6</f>
        <v>21400</v>
      </c>
      <c r="D7" s="4">
        <f>D5+D6</f>
        <v>23647</v>
      </c>
      <c r="E7" s="4">
        <f t="shared" ref="E7:G7" si="2">E5+E6</f>
        <v>24356.410000000003</v>
      </c>
      <c r="F7" s="4">
        <f t="shared" si="2"/>
        <v>25087.102299999999</v>
      </c>
      <c r="G7" s="4">
        <f t="shared" si="2"/>
        <v>25839.715368999998</v>
      </c>
      <c r="H7" s="4">
        <f>H5+H6</f>
        <v>26614.906830070002</v>
      </c>
      <c r="L7" s="3" t="s">
        <v>15</v>
      </c>
      <c r="M7" s="7">
        <v>59180000000</v>
      </c>
    </row>
    <row r="8" spans="1:13" x14ac:dyDescent="0.2">
      <c r="B8" s="3" t="s">
        <v>9</v>
      </c>
      <c r="C8" s="4">
        <v>-13700</v>
      </c>
      <c r="D8" s="4">
        <f>D19*D5</f>
        <v>-14188.199999999999</v>
      </c>
      <c r="E8" s="4">
        <f>E19*E5</f>
        <v>-14613.846</v>
      </c>
      <c r="F8" s="4">
        <f>F19*F5</f>
        <v>-15052.26138</v>
      </c>
      <c r="G8" s="4">
        <f>G19*G5</f>
        <v>-15503.829221399999</v>
      </c>
      <c r="H8" s="4">
        <f>H19*H5</f>
        <v>-15968.944098042</v>
      </c>
      <c r="L8" s="3" t="s">
        <v>16</v>
      </c>
      <c r="M8" s="7">
        <v>20920000000</v>
      </c>
    </row>
    <row r="9" spans="1:13" x14ac:dyDescent="0.2">
      <c r="B9" s="3" t="s">
        <v>3</v>
      </c>
      <c r="C9" s="4">
        <f>C7+C8</f>
        <v>7700</v>
      </c>
      <c r="D9" s="4">
        <f>D7+D8</f>
        <v>9458.8000000000011</v>
      </c>
      <c r="E9" s="4">
        <f t="shared" ref="E9:H9" si="3">E7+E8</f>
        <v>9742.5640000000039</v>
      </c>
      <c r="F9" s="4">
        <f t="shared" si="3"/>
        <v>10034.840919999999</v>
      </c>
      <c r="G9" s="4">
        <f t="shared" si="3"/>
        <v>10335.886147599998</v>
      </c>
      <c r="H9" s="4">
        <f t="shared" si="3"/>
        <v>10645.962732028001</v>
      </c>
      <c r="L9" s="3" t="s">
        <v>35</v>
      </c>
      <c r="M9" s="4">
        <f>M7+M8</f>
        <v>80100000000</v>
      </c>
    </row>
    <row r="10" spans="1:13" x14ac:dyDescent="0.2">
      <c r="B10" s="3" t="s">
        <v>4</v>
      </c>
      <c r="C10" s="4">
        <v>-2000</v>
      </c>
      <c r="D10" s="4">
        <f>C10</f>
        <v>-2000</v>
      </c>
      <c r="E10" s="4">
        <f>C10</f>
        <v>-2000</v>
      </c>
      <c r="F10" s="4">
        <f>C10</f>
        <v>-2000</v>
      </c>
      <c r="G10" s="4">
        <f>C10</f>
        <v>-2000</v>
      </c>
      <c r="H10" s="4">
        <f>C10</f>
        <v>-2000</v>
      </c>
      <c r="L10" s="3" t="s">
        <v>17</v>
      </c>
      <c r="M10" s="4">
        <v>6240000000</v>
      </c>
    </row>
    <row r="11" spans="1:13" x14ac:dyDescent="0.2">
      <c r="B11" s="3" t="s">
        <v>5</v>
      </c>
      <c r="C11" s="4">
        <f>C9+C10</f>
        <v>5700</v>
      </c>
      <c r="D11" s="4">
        <f>D9+D10</f>
        <v>7458.8000000000011</v>
      </c>
      <c r="E11" s="4">
        <f t="shared" ref="E11:H11" si="4">E9+E10</f>
        <v>7742.5640000000039</v>
      </c>
      <c r="F11" s="4">
        <f t="shared" si="4"/>
        <v>8034.8409199999987</v>
      </c>
      <c r="G11" s="4">
        <f t="shared" si="4"/>
        <v>8335.8861475999984</v>
      </c>
      <c r="H11" s="4">
        <f t="shared" si="4"/>
        <v>8645.9627320280015</v>
      </c>
      <c r="L11" s="3" t="s">
        <v>18</v>
      </c>
      <c r="M11" s="8">
        <f>M9/M10</f>
        <v>12.836538461538462</v>
      </c>
    </row>
    <row r="12" spans="1:13" x14ac:dyDescent="0.2">
      <c r="B12" s="3" t="s">
        <v>6</v>
      </c>
      <c r="C12" s="4">
        <v>-1400</v>
      </c>
      <c r="D12" s="4">
        <f>D35+D36+D37</f>
        <v>-514.16750000000002</v>
      </c>
      <c r="E12" s="4">
        <f t="shared" ref="E12:H12" si="5">E35+E36+E37</f>
        <v>-301.22400000000005</v>
      </c>
      <c r="F12" s="4">
        <f t="shared" si="5"/>
        <v>-272.54920000000004</v>
      </c>
      <c r="G12" s="4">
        <f t="shared" si="5"/>
        <v>-249.60936000000004</v>
      </c>
      <c r="H12" s="4">
        <f t="shared" si="5"/>
        <v>-231.25748800000002</v>
      </c>
      <c r="L12" s="3" t="s">
        <v>19</v>
      </c>
      <c r="M12" s="9">
        <v>9.35E-2</v>
      </c>
    </row>
    <row r="13" spans="1:13" x14ac:dyDescent="0.2">
      <c r="B13" s="3" t="s">
        <v>20</v>
      </c>
      <c r="C13" s="4">
        <f t="shared" ref="C13" si="6">C11+C12</f>
        <v>4300</v>
      </c>
      <c r="D13" s="4">
        <f>D11+D12</f>
        <v>6944.6325000000015</v>
      </c>
      <c r="E13" s="4">
        <f t="shared" ref="E13:H13" si="7">E11+E12</f>
        <v>7441.3400000000038</v>
      </c>
      <c r="F13" s="4">
        <f t="shared" si="7"/>
        <v>7762.2917199999983</v>
      </c>
      <c r="G13" s="4">
        <f t="shared" si="7"/>
        <v>8086.276787599998</v>
      </c>
      <c r="H13" s="4">
        <f t="shared" si="7"/>
        <v>8414.7052440280022</v>
      </c>
    </row>
    <row r="14" spans="1:13" ht="12.75" thickBot="1" x14ac:dyDescent="0.25">
      <c r="B14" s="3" t="s">
        <v>7</v>
      </c>
      <c r="C14" s="4">
        <f>C13*M12*-1</f>
        <v>-402.05</v>
      </c>
      <c r="D14" s="4">
        <f>-$M$12*D13</f>
        <v>-649.32313875000011</v>
      </c>
      <c r="E14" s="4">
        <f t="shared" ref="E14:H14" si="8">-$M$12*E13</f>
        <v>-695.76529000000039</v>
      </c>
      <c r="F14" s="4">
        <f t="shared" si="8"/>
        <v>-725.77427581999984</v>
      </c>
      <c r="G14" s="4">
        <f t="shared" si="8"/>
        <v>-756.06687964059984</v>
      </c>
      <c r="H14" s="4">
        <f t="shared" si="8"/>
        <v>-786.7749403166182</v>
      </c>
      <c r="L14" s="5" t="s">
        <v>30</v>
      </c>
    </row>
    <row r="15" spans="1:13" ht="12.75" thickBot="1" x14ac:dyDescent="0.25">
      <c r="B15" s="15" t="s">
        <v>8</v>
      </c>
      <c r="C15" s="16">
        <f>C13+C14</f>
        <v>3897.95</v>
      </c>
      <c r="D15" s="16">
        <f>D13+D14</f>
        <v>6295.3093612500015</v>
      </c>
      <c r="E15" s="16">
        <f t="shared" ref="E15:H15" si="9">E13+E14</f>
        <v>6745.5747100000035</v>
      </c>
      <c r="F15" s="16">
        <f t="shared" si="9"/>
        <v>7036.5174441799982</v>
      </c>
      <c r="G15" s="16">
        <f t="shared" si="9"/>
        <v>7330.2099079593982</v>
      </c>
      <c r="H15" s="16">
        <f t="shared" si="9"/>
        <v>7627.9303037113841</v>
      </c>
      <c r="L15" s="20"/>
      <c r="M15" s="24" t="s">
        <v>28</v>
      </c>
    </row>
    <row r="16" spans="1:13" x14ac:dyDescent="0.2">
      <c r="B16" s="12" t="s">
        <v>23</v>
      </c>
      <c r="C16" s="11"/>
      <c r="D16" s="10"/>
      <c r="E16" s="10"/>
      <c r="F16" s="10"/>
      <c r="G16" s="10"/>
      <c r="H16" s="10"/>
      <c r="L16" s="3" t="s">
        <v>21</v>
      </c>
      <c r="M16" s="43">
        <v>0.49</v>
      </c>
    </row>
    <row r="17" spans="2:15" x14ac:dyDescent="0.2">
      <c r="B17" s="19" t="s">
        <v>24</v>
      </c>
      <c r="C17" s="13" t="s">
        <v>25</v>
      </c>
      <c r="D17" s="17">
        <v>7.0000000000000007E-2</v>
      </c>
      <c r="E17" s="17">
        <v>0.03</v>
      </c>
      <c r="F17" s="17">
        <v>0.03</v>
      </c>
      <c r="G17" s="17">
        <v>0.03</v>
      </c>
      <c r="H17" s="17">
        <v>0.03</v>
      </c>
      <c r="L17" s="3" t="s">
        <v>29</v>
      </c>
      <c r="M17" s="43">
        <v>0.46</v>
      </c>
    </row>
    <row r="18" spans="2:15" x14ac:dyDescent="0.2">
      <c r="B18" s="19" t="s">
        <v>26</v>
      </c>
      <c r="C18" s="18">
        <f>C6/C5</f>
        <v>-0.75791855203619907</v>
      </c>
      <c r="D18" s="17">
        <v>-0.75</v>
      </c>
      <c r="E18" s="17">
        <f>D18</f>
        <v>-0.75</v>
      </c>
      <c r="F18" s="17">
        <f t="shared" ref="F17:H20" si="10">E18</f>
        <v>-0.75</v>
      </c>
      <c r="G18" s="17">
        <f t="shared" si="10"/>
        <v>-0.75</v>
      </c>
      <c r="H18" s="17">
        <f t="shared" si="10"/>
        <v>-0.75</v>
      </c>
      <c r="L18" s="3" t="s">
        <v>57</v>
      </c>
      <c r="M18" s="43">
        <v>0.41</v>
      </c>
    </row>
    <row r="19" spans="2:15" x14ac:dyDescent="0.2">
      <c r="B19" s="19" t="s">
        <v>27</v>
      </c>
      <c r="C19" s="18">
        <f>C8/C5</f>
        <v>-0.15497737556561086</v>
      </c>
      <c r="D19" s="17">
        <v>-0.15</v>
      </c>
      <c r="E19" s="17">
        <f>D19</f>
        <v>-0.15</v>
      </c>
      <c r="F19" s="17">
        <f t="shared" si="10"/>
        <v>-0.15</v>
      </c>
      <c r="G19" s="17">
        <f t="shared" si="10"/>
        <v>-0.15</v>
      </c>
      <c r="H19" s="17">
        <f t="shared" si="10"/>
        <v>-0.15</v>
      </c>
      <c r="M19" s="25" t="s">
        <v>31</v>
      </c>
    </row>
    <row r="20" spans="2:15" x14ac:dyDescent="0.2">
      <c r="B20" s="19" t="s">
        <v>34</v>
      </c>
      <c r="C20" s="18">
        <f t="shared" ref="C20" si="11">C9/C5</f>
        <v>8.7104072398190041E-2</v>
      </c>
      <c r="D20" s="18">
        <v>0.09</v>
      </c>
      <c r="E20" s="18">
        <f>D20</f>
        <v>0.09</v>
      </c>
      <c r="F20" s="18">
        <f t="shared" si="10"/>
        <v>0.09</v>
      </c>
      <c r="G20" s="18">
        <f t="shared" si="10"/>
        <v>0.09</v>
      </c>
      <c r="H20" s="18">
        <f t="shared" si="10"/>
        <v>0.09</v>
      </c>
      <c r="L20" s="3" t="s">
        <v>21</v>
      </c>
      <c r="M20" s="44">
        <v>4.7500000000000001E-2</v>
      </c>
    </row>
    <row r="21" spans="2:15" x14ac:dyDescent="0.2">
      <c r="L21" s="3" t="s">
        <v>29</v>
      </c>
      <c r="M21" s="44">
        <v>0.05</v>
      </c>
    </row>
    <row r="22" spans="2:15" ht="12.75" thickBot="1" x14ac:dyDescent="0.25">
      <c r="B22" s="5" t="s">
        <v>12</v>
      </c>
      <c r="C22" s="3">
        <v>2024</v>
      </c>
      <c r="D22" s="6">
        <v>2025</v>
      </c>
      <c r="E22" s="6">
        <v>2026</v>
      </c>
      <c r="F22" s="6">
        <v>2027</v>
      </c>
      <c r="G22" s="6">
        <v>2028</v>
      </c>
      <c r="H22" s="6">
        <v>2029</v>
      </c>
      <c r="L22" s="3" t="s">
        <v>57</v>
      </c>
      <c r="M22" s="44">
        <v>0.05</v>
      </c>
    </row>
    <row r="23" spans="2:15" x14ac:dyDescent="0.2">
      <c r="B23" s="20" t="s">
        <v>8</v>
      </c>
      <c r="C23" s="21">
        <f>C15</f>
        <v>3897.95</v>
      </c>
      <c r="D23" s="21">
        <f>D15</f>
        <v>6295.3093612500015</v>
      </c>
      <c r="E23" s="21">
        <f>E15</f>
        <v>6745.5747100000035</v>
      </c>
      <c r="F23" s="21">
        <f>F15</f>
        <v>7036.5174441799982</v>
      </c>
      <c r="G23" s="21">
        <f t="shared" ref="G23:H23" si="12">G15</f>
        <v>7330.2099079593982</v>
      </c>
      <c r="H23" s="21">
        <f t="shared" si="12"/>
        <v>7627.9303037113841</v>
      </c>
    </row>
    <row r="24" spans="2:15" ht="12.75" thickBot="1" x14ac:dyDescent="0.25">
      <c r="B24" s="3" t="s">
        <v>33</v>
      </c>
      <c r="C24" s="4">
        <f>-C10</f>
        <v>2000</v>
      </c>
      <c r="D24" s="4">
        <f>-D10</f>
        <v>2000</v>
      </c>
      <c r="E24" s="4">
        <f>-E10</f>
        <v>2000</v>
      </c>
      <c r="F24" s="4">
        <f>-F10</f>
        <v>2000</v>
      </c>
      <c r="G24" s="4">
        <f t="shared" ref="G24:H24" si="13">-G10</f>
        <v>2000</v>
      </c>
      <c r="H24" s="4">
        <f t="shared" si="13"/>
        <v>2000</v>
      </c>
      <c r="L24" s="28" t="s">
        <v>40</v>
      </c>
      <c r="M24" s="27"/>
    </row>
    <row r="25" spans="2:15" x14ac:dyDescent="0.2">
      <c r="B25" s="3" t="s">
        <v>10</v>
      </c>
      <c r="C25" s="4">
        <v>-782</v>
      </c>
      <c r="D25" s="4">
        <f>-1.5%*D5</f>
        <v>-1418.82</v>
      </c>
      <c r="E25" s="4">
        <f>-1%*E5</f>
        <v>-974.25639999999999</v>
      </c>
      <c r="F25" s="4">
        <f>-1%*F5</f>
        <v>-1003.4840920000001</v>
      </c>
      <c r="G25" s="4">
        <f>-1%*G5</f>
        <v>-1033.5886147600002</v>
      </c>
      <c r="H25" s="4">
        <f>-1%*H5</f>
        <v>-1064.5962732028001</v>
      </c>
      <c r="L25" s="20" t="s">
        <v>41</v>
      </c>
      <c r="M25" s="29">
        <v>0.28999999999999998</v>
      </c>
    </row>
    <row r="26" spans="2:15" x14ac:dyDescent="0.2">
      <c r="B26" s="3" t="s">
        <v>11</v>
      </c>
      <c r="C26" s="4">
        <f>C10</f>
        <v>-2000</v>
      </c>
      <c r="D26" s="4">
        <f>D10</f>
        <v>-2000</v>
      </c>
      <c r="E26" s="4">
        <f>E10</f>
        <v>-2000</v>
      </c>
      <c r="F26" s="4">
        <f>F10</f>
        <v>-2000</v>
      </c>
      <c r="G26" s="4">
        <f t="shared" ref="G26:H26" si="14">G10</f>
        <v>-2000</v>
      </c>
      <c r="H26" s="4">
        <f t="shared" si="14"/>
        <v>-2000</v>
      </c>
      <c r="L26" s="27" t="s">
        <v>42</v>
      </c>
      <c r="M26" s="7">
        <f>M7*(1+M25)</f>
        <v>76342200000</v>
      </c>
    </row>
    <row r="27" spans="2:15" ht="15.75" thickBot="1" x14ac:dyDescent="0.3">
      <c r="B27" s="15" t="s">
        <v>61</v>
      </c>
      <c r="C27" s="16">
        <f t="shared" ref="C27" si="15">SUM(C23:C26)</f>
        <v>3115.95</v>
      </c>
      <c r="D27" s="16">
        <f>SUM(D23:D26)</f>
        <v>4876.4893612500018</v>
      </c>
      <c r="E27" s="16">
        <f>SUM(E23:E26)</f>
        <v>5771.3183100000042</v>
      </c>
      <c r="F27" s="16">
        <f>SUM(F23:F26)</f>
        <v>6033.0333521799967</v>
      </c>
      <c r="G27" s="16">
        <f t="shared" ref="G27:H27" si="16">SUM(G23:G26)</f>
        <v>6296.6212931993978</v>
      </c>
      <c r="H27" s="16">
        <f t="shared" si="16"/>
        <v>6563.334030508584</v>
      </c>
      <c r="L27" s="3" t="s">
        <v>43</v>
      </c>
      <c r="M27" s="7">
        <f>M26+M8</f>
        <v>97262200000</v>
      </c>
      <c r="O27"/>
    </row>
    <row r="28" spans="2:15" x14ac:dyDescent="0.2">
      <c r="L28" s="3" t="s">
        <v>36</v>
      </c>
      <c r="M28" s="26"/>
    </row>
    <row r="29" spans="2:15" x14ac:dyDescent="0.2">
      <c r="B29" s="32"/>
      <c r="L29" s="3" t="s">
        <v>21</v>
      </c>
      <c r="M29" s="26">
        <f>4.5*(M10*M16)</f>
        <v>13759200000</v>
      </c>
      <c r="N29" s="45" t="s">
        <v>58</v>
      </c>
    </row>
    <row r="30" spans="2:15" ht="36.75" thickBot="1" x14ac:dyDescent="0.25">
      <c r="B30" s="48" t="s">
        <v>71</v>
      </c>
      <c r="D30" s="6">
        <v>2025</v>
      </c>
      <c r="E30" s="6">
        <v>2026</v>
      </c>
      <c r="F30" s="6">
        <v>2027</v>
      </c>
      <c r="G30" s="6">
        <v>2028</v>
      </c>
      <c r="H30" s="6">
        <v>2029</v>
      </c>
      <c r="I30" s="32"/>
      <c r="L30" s="3" t="s">
        <v>29</v>
      </c>
      <c r="M30" s="26">
        <f>4.5*M10*M17</f>
        <v>12916800000</v>
      </c>
      <c r="N30" s="45"/>
    </row>
    <row r="31" spans="2:15" x14ac:dyDescent="0.2">
      <c r="B31" s="21" t="s">
        <v>45</v>
      </c>
      <c r="C31" s="21"/>
      <c r="D31" s="21">
        <f>M16*C9</f>
        <v>3773</v>
      </c>
      <c r="E31" s="21">
        <f>D31+D39</f>
        <v>3018.4</v>
      </c>
      <c r="F31" s="21">
        <f t="shared" ref="F31:H31" si="17">E31+E39</f>
        <v>2414.7200000000003</v>
      </c>
      <c r="G31" s="21">
        <f t="shared" si="17"/>
        <v>1931.7760000000003</v>
      </c>
      <c r="H31" s="21">
        <f t="shared" si="17"/>
        <v>1545.4208000000003</v>
      </c>
      <c r="L31" s="3" t="s">
        <v>57</v>
      </c>
      <c r="M31" s="26">
        <f>4.5*M10*M18</f>
        <v>11512800000</v>
      </c>
      <c r="N31" s="45"/>
    </row>
    <row r="32" spans="2:15" x14ac:dyDescent="0.2">
      <c r="B32" s="3" t="s">
        <v>46</v>
      </c>
      <c r="C32" s="33"/>
      <c r="D32" s="33">
        <f>M17*C9</f>
        <v>3542</v>
      </c>
      <c r="E32" s="33">
        <f>D32+D40</f>
        <v>0</v>
      </c>
      <c r="F32" s="33">
        <f t="shared" ref="F32:H32" si="18">E32+E40</f>
        <v>0</v>
      </c>
      <c r="G32" s="33">
        <f t="shared" si="18"/>
        <v>0</v>
      </c>
      <c r="H32" s="33">
        <f t="shared" si="18"/>
        <v>0</v>
      </c>
      <c r="L32" s="14" t="s">
        <v>37</v>
      </c>
      <c r="M32" s="22">
        <f>M29+M30</f>
        <v>26676000000</v>
      </c>
    </row>
    <row r="33" spans="2:14" x14ac:dyDescent="0.2">
      <c r="B33" s="3" t="s">
        <v>59</v>
      </c>
      <c r="C33" s="33"/>
      <c r="D33" s="33">
        <f>M18*C9</f>
        <v>3157</v>
      </c>
      <c r="E33" s="33">
        <f>D33+D41</f>
        <v>3157</v>
      </c>
      <c r="F33" s="33">
        <f t="shared" ref="F33:H33" si="19">E33+E41</f>
        <v>3157</v>
      </c>
      <c r="G33" s="33">
        <f t="shared" si="19"/>
        <v>3157</v>
      </c>
      <c r="H33" s="33">
        <f t="shared" si="19"/>
        <v>3157</v>
      </c>
    </row>
    <row r="34" spans="2:14" x14ac:dyDescent="0.2">
      <c r="C34" s="33"/>
      <c r="D34" s="33"/>
      <c r="E34" s="33"/>
      <c r="F34" s="33"/>
      <c r="G34" s="33"/>
      <c r="H34" s="33"/>
      <c r="L34" s="30" t="s">
        <v>44</v>
      </c>
      <c r="M34" s="31">
        <f>M27-M32</f>
        <v>70586200000</v>
      </c>
    </row>
    <row r="35" spans="2:14" x14ac:dyDescent="0.2">
      <c r="B35" s="3" t="s">
        <v>72</v>
      </c>
      <c r="C35" s="33"/>
      <c r="D35" s="33">
        <f>-$M$20*D31</f>
        <v>-179.2175</v>
      </c>
      <c r="E35" s="33">
        <f>-$M$20*E31</f>
        <v>-143.374</v>
      </c>
      <c r="F35" s="33">
        <f>-$M$20*F31</f>
        <v>-114.69920000000002</v>
      </c>
      <c r="G35" s="33">
        <f>-$M$20*G31</f>
        <v>-91.759360000000015</v>
      </c>
      <c r="H35" s="33">
        <f>-$M$20*H31</f>
        <v>-73.407488000000015</v>
      </c>
    </row>
    <row r="36" spans="2:14" ht="12.75" thickBot="1" x14ac:dyDescent="0.25">
      <c r="B36" s="3" t="s">
        <v>73</v>
      </c>
      <c r="C36" s="33"/>
      <c r="D36" s="33">
        <f>-$M$22*D32</f>
        <v>-177.10000000000002</v>
      </c>
      <c r="E36" s="33">
        <f>-$M$21*E32</f>
        <v>0</v>
      </c>
      <c r="F36" s="33">
        <f>-$M$21*F32</f>
        <v>0</v>
      </c>
      <c r="G36" s="33">
        <f>-$M$21*G32</f>
        <v>0</v>
      </c>
      <c r="H36" s="33">
        <f>-$M$21*H32</f>
        <v>0</v>
      </c>
      <c r="L36" s="46" t="s">
        <v>32</v>
      </c>
      <c r="M36" s="47"/>
      <c r="N36" s="47"/>
    </row>
    <row r="37" spans="2:14" ht="15" x14ac:dyDescent="0.2">
      <c r="B37" s="3" t="s">
        <v>74</v>
      </c>
      <c r="C37" s="33"/>
      <c r="D37" s="33">
        <f>-$M$22*D33</f>
        <v>-157.85000000000002</v>
      </c>
      <c r="E37" s="33">
        <f>-$M$22*E33</f>
        <v>-157.85000000000002</v>
      </c>
      <c r="F37" s="33">
        <f>-$M$22*F33</f>
        <v>-157.85000000000002</v>
      </c>
      <c r="G37" s="33">
        <f>-$M$22*G33</f>
        <v>-157.85000000000002</v>
      </c>
      <c r="H37" s="33">
        <f>-$M$22*H33</f>
        <v>-157.85000000000002</v>
      </c>
      <c r="L37" s="52" t="s">
        <v>62</v>
      </c>
      <c r="M37" s="53" t="s">
        <v>63</v>
      </c>
      <c r="N37" s="51" t="s">
        <v>64</v>
      </c>
    </row>
    <row r="38" spans="2:14" ht="33" customHeight="1" x14ac:dyDescent="0.2">
      <c r="C38" s="33"/>
      <c r="D38" s="33"/>
      <c r="E38" s="33"/>
      <c r="F38" s="33"/>
      <c r="G38" s="33"/>
      <c r="H38" s="33"/>
      <c r="J38" s="4"/>
      <c r="L38" s="54" t="s">
        <v>21</v>
      </c>
      <c r="M38" s="55" t="s">
        <v>65</v>
      </c>
      <c r="N38" s="56" t="s">
        <v>66</v>
      </c>
    </row>
    <row r="39" spans="2:14" ht="33" customHeight="1" x14ac:dyDescent="0.2">
      <c r="B39" s="3" t="s">
        <v>47</v>
      </c>
      <c r="D39" s="49">
        <f>-20%*(D31)</f>
        <v>-754.6</v>
      </c>
      <c r="E39" s="49">
        <f>-20%*(E31)</f>
        <v>-603.68000000000006</v>
      </c>
      <c r="F39" s="49">
        <f>-20%*(F31)</f>
        <v>-482.94400000000007</v>
      </c>
      <c r="G39" s="49">
        <f>-20%*(G31)</f>
        <v>-386.35520000000008</v>
      </c>
      <c r="H39" s="49">
        <f>-(H31+(-H35))</f>
        <v>-1618.8282880000004</v>
      </c>
      <c r="I39" s="4"/>
      <c r="L39" s="54" t="s">
        <v>29</v>
      </c>
      <c r="M39" s="55" t="s">
        <v>67</v>
      </c>
      <c r="N39" s="56" t="s">
        <v>68</v>
      </c>
    </row>
    <row r="40" spans="2:14" ht="33" customHeight="1" x14ac:dyDescent="0.2">
      <c r="B40" s="3" t="s">
        <v>48</v>
      </c>
      <c r="D40" s="49">
        <f>-IF(D27&gt;=D39,MIN(D27+D39,D32),0)</f>
        <v>-3542</v>
      </c>
      <c r="E40" s="49">
        <f>-IF(E27&gt;=E39,MIN(E27+E39,E32),0)</f>
        <v>0</v>
      </c>
      <c r="F40" s="49">
        <f>-IF(F27&gt;=F39,MIN(F27+F39,F32),0)</f>
        <v>0</v>
      </c>
      <c r="G40" s="49">
        <f>-IF(G27&gt;=G39,MIN(G27+G39,G32),0)</f>
        <v>0</v>
      </c>
      <c r="H40" s="49">
        <f>-IF(H27&gt;=H39,MIN(H27+H39,H32),0)</f>
        <v>0</v>
      </c>
      <c r="I40" s="4"/>
      <c r="L40" s="57" t="s">
        <v>57</v>
      </c>
      <c r="M40" s="58" t="s">
        <v>69</v>
      </c>
      <c r="N40" s="59" t="s">
        <v>70</v>
      </c>
    </row>
    <row r="41" spans="2:14" x14ac:dyDescent="0.2">
      <c r="B41" s="3" t="s">
        <v>60</v>
      </c>
      <c r="D41" s="4">
        <v>0</v>
      </c>
      <c r="E41" s="4">
        <v>0</v>
      </c>
      <c r="F41" s="4">
        <v>0</v>
      </c>
      <c r="G41" s="4">
        <v>0</v>
      </c>
      <c r="H41" s="4">
        <f>-(H33+(-H37))</f>
        <v>-3314.85</v>
      </c>
      <c r="I41" s="4"/>
    </row>
    <row r="43" spans="2:14" x14ac:dyDescent="0.2">
      <c r="B43" s="37" t="s">
        <v>56</v>
      </c>
      <c r="C43" s="11"/>
      <c r="D43" s="10"/>
      <c r="E43" s="10"/>
      <c r="F43" s="10"/>
      <c r="G43" s="10"/>
      <c r="H43" s="10"/>
      <c r="I43" s="60" t="s">
        <v>77</v>
      </c>
    </row>
    <row r="44" spans="2:14" x14ac:dyDescent="0.2">
      <c r="B44" s="10" t="s">
        <v>21</v>
      </c>
      <c r="C44" s="11">
        <f>H31+H39-H35</f>
        <v>0</v>
      </c>
      <c r="D44" s="10"/>
      <c r="E44" s="10"/>
      <c r="F44" s="10"/>
      <c r="G44" s="10"/>
      <c r="H44" s="10"/>
      <c r="I44" s="61"/>
    </row>
    <row r="45" spans="2:14" x14ac:dyDescent="0.2">
      <c r="B45" s="10" t="s">
        <v>29</v>
      </c>
      <c r="C45" s="11">
        <f>H32+H40-H36</f>
        <v>0</v>
      </c>
      <c r="D45" s="10"/>
      <c r="E45" s="10"/>
      <c r="F45" s="10"/>
      <c r="G45" s="10"/>
      <c r="H45" s="10"/>
      <c r="I45" s="61"/>
    </row>
    <row r="46" spans="2:14" x14ac:dyDescent="0.2">
      <c r="B46" s="10" t="s">
        <v>57</v>
      </c>
      <c r="C46" s="11">
        <f>H33+H41-H37</f>
        <v>0</v>
      </c>
      <c r="D46" s="10"/>
      <c r="E46" s="10"/>
      <c r="F46" s="10"/>
      <c r="G46" s="10"/>
      <c r="H46" s="10"/>
      <c r="I46" s="61"/>
    </row>
    <row r="47" spans="2:14" x14ac:dyDescent="0.2">
      <c r="B47" s="10"/>
      <c r="C47" s="10"/>
      <c r="D47" s="10"/>
      <c r="E47" s="10"/>
      <c r="F47" s="10"/>
      <c r="G47" s="10"/>
      <c r="H47" s="10"/>
      <c r="I47" s="61"/>
    </row>
    <row r="48" spans="2:14" ht="24" x14ac:dyDescent="0.2">
      <c r="B48" s="10" t="s">
        <v>52</v>
      </c>
      <c r="C48" s="11">
        <f>M11*H9</f>
        <v>136657.31006978251</v>
      </c>
      <c r="D48" s="10"/>
      <c r="E48" s="10"/>
      <c r="F48" s="10"/>
      <c r="G48" s="10"/>
      <c r="H48" s="10"/>
      <c r="I48" s="62" t="s">
        <v>76</v>
      </c>
    </row>
    <row r="49" spans="2:13" x14ac:dyDescent="0.2">
      <c r="B49" s="10" t="s">
        <v>49</v>
      </c>
      <c r="C49" s="11">
        <f>-(C44+C45)</f>
        <v>0</v>
      </c>
      <c r="D49" s="10"/>
      <c r="E49" s="10"/>
      <c r="F49" s="10"/>
      <c r="G49" s="10"/>
      <c r="H49" s="10"/>
      <c r="I49" s="61"/>
    </row>
    <row r="50" spans="2:13" x14ac:dyDescent="0.2">
      <c r="B50" s="10" t="s">
        <v>53</v>
      </c>
      <c r="C50" s="11">
        <f>M11*H9</f>
        <v>136657.31006978251</v>
      </c>
      <c r="D50" s="11"/>
      <c r="E50" s="10"/>
      <c r="F50" s="10"/>
      <c r="G50" s="10"/>
      <c r="H50" s="10"/>
      <c r="I50" s="61"/>
      <c r="L50" s="50" t="s">
        <v>83</v>
      </c>
    </row>
    <row r="51" spans="2:13" ht="33" customHeight="1" x14ac:dyDescent="0.2">
      <c r="B51" s="10" t="s">
        <v>50</v>
      </c>
      <c r="C51" s="34"/>
      <c r="D51" s="11">
        <f>-M34/1000000</f>
        <v>-70586.2</v>
      </c>
      <c r="E51" s="10">
        <v>0</v>
      </c>
      <c r="F51" s="10">
        <v>0</v>
      </c>
      <c r="G51" s="10">
        <v>0</v>
      </c>
      <c r="H51" s="11">
        <f>M11*H9</f>
        <v>136657.31006978251</v>
      </c>
      <c r="I51" s="62" t="s">
        <v>75</v>
      </c>
      <c r="L51" s="38">
        <f>C50*1000000/M34</f>
        <v>1.9360343816465897</v>
      </c>
    </row>
    <row r="52" spans="2:13" x14ac:dyDescent="0.2">
      <c r="B52" s="35" t="s">
        <v>51</v>
      </c>
      <c r="C52" s="36">
        <f>IRR(D51:H51)</f>
        <v>0.17958235212914087</v>
      </c>
      <c r="D52" s="35"/>
      <c r="E52" s="35"/>
      <c r="F52" s="35"/>
      <c r="G52" s="35"/>
      <c r="H52" s="35"/>
      <c r="I52" s="35"/>
    </row>
    <row r="53" spans="2:13" x14ac:dyDescent="0.2">
      <c r="H53" s="3" t="s">
        <v>54</v>
      </c>
    </row>
    <row r="57" spans="2:13" ht="15.75" x14ac:dyDescent="0.25">
      <c r="G57" s="73" t="s">
        <v>80</v>
      </c>
      <c r="H57" s="73"/>
      <c r="I57" s="73"/>
      <c r="J57" s="73"/>
      <c r="K57" s="73"/>
      <c r="L57" s="73"/>
      <c r="M57" s="73"/>
    </row>
    <row r="58" spans="2:13" ht="15" x14ac:dyDescent="0.2">
      <c r="G58" s="63"/>
      <c r="H58" s="64"/>
      <c r="I58" s="74" t="s">
        <v>78</v>
      </c>
      <c r="J58" s="74"/>
      <c r="K58" s="74"/>
      <c r="L58" s="74"/>
      <c r="M58" s="75"/>
    </row>
    <row r="59" spans="2:13" ht="15" x14ac:dyDescent="0.2">
      <c r="G59" s="65"/>
      <c r="H59" s="66">
        <f>C52</f>
        <v>0.17958235212914087</v>
      </c>
      <c r="I59" s="78">
        <v>10646</v>
      </c>
      <c r="J59" s="78">
        <v>12000</v>
      </c>
      <c r="K59" s="78">
        <v>14000</v>
      </c>
      <c r="L59" s="78">
        <v>16000</v>
      </c>
      <c r="M59" s="79">
        <v>20000</v>
      </c>
    </row>
    <row r="60" spans="2:13" ht="15" x14ac:dyDescent="0.2">
      <c r="G60" s="76" t="s">
        <v>79</v>
      </c>
      <c r="H60" s="80">
        <v>11</v>
      </c>
      <c r="I60" s="67">
        <f t="dataTable" ref="I60:M63" dt2D="1" dtr="1" r1="C48" r2="M11"/>
        <v>0.134917926913386</v>
      </c>
      <c r="J60" s="67">
        <v>0.134917926913386</v>
      </c>
      <c r="K60" s="67">
        <v>0.134917926913386</v>
      </c>
      <c r="L60" s="67">
        <v>0.134917926913386</v>
      </c>
      <c r="M60" s="68">
        <v>0.134917926913386</v>
      </c>
    </row>
    <row r="61" spans="2:13" ht="15" x14ac:dyDescent="0.2">
      <c r="G61" s="76"/>
      <c r="H61" s="80">
        <v>12.6</v>
      </c>
      <c r="I61" s="69">
        <v>0.17411036249377809</v>
      </c>
      <c r="J61" s="67">
        <v>0.17411036249377809</v>
      </c>
      <c r="K61" s="67">
        <v>0.17411036249377809</v>
      </c>
      <c r="L61" s="67">
        <v>0.17411036249377809</v>
      </c>
      <c r="M61" s="68">
        <v>0.17411036249377809</v>
      </c>
    </row>
    <row r="62" spans="2:13" ht="15" x14ac:dyDescent="0.2">
      <c r="G62" s="76"/>
      <c r="H62" s="80">
        <v>14</v>
      </c>
      <c r="I62" s="69">
        <v>0.20544748087771159</v>
      </c>
      <c r="J62" s="67">
        <v>0.20544748087771159</v>
      </c>
      <c r="K62" s="67">
        <v>0.20544748087771159</v>
      </c>
      <c r="L62" s="67">
        <v>0.20544748087771159</v>
      </c>
      <c r="M62" s="68">
        <v>0.20544748087771159</v>
      </c>
    </row>
    <row r="63" spans="2:13" ht="15" x14ac:dyDescent="0.2">
      <c r="G63" s="77"/>
      <c r="H63" s="81">
        <v>15</v>
      </c>
      <c r="I63" s="70">
        <v>0.22641964798036218</v>
      </c>
      <c r="J63" s="71">
        <v>0.22641964798036218</v>
      </c>
      <c r="K63" s="71">
        <v>0.22641964798036218</v>
      </c>
      <c r="L63" s="71">
        <v>0.22641964798036218</v>
      </c>
      <c r="M63" s="72">
        <v>0.22641964798036218</v>
      </c>
    </row>
  </sheetData>
  <mergeCells count="5">
    <mergeCell ref="G57:M57"/>
    <mergeCell ref="I58:M58"/>
    <mergeCell ref="G60:G63"/>
    <mergeCell ref="D3:H3"/>
    <mergeCell ref="N29:N31"/>
  </mergeCells>
  <pageMargins left="0.7" right="0.7" top="0.75" bottom="0.75" header="0.3" footer="0.3"/>
  <pageSetup paperSize="9" orientation="portrait" r:id="rId1"/>
  <ignoredErrors>
    <ignoredError sqref="D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66A6-6AC8-4C62-BECE-32A2C5ACF935}">
  <dimension ref="A1:G10"/>
  <sheetViews>
    <sheetView workbookViewId="0">
      <selection activeCell="Y33" sqref="Y33"/>
    </sheetView>
  </sheetViews>
  <sheetFormatPr defaultRowHeight="15" x14ac:dyDescent="0.25"/>
  <cols>
    <col min="1" max="1" width="26.85546875" style="100" bestFit="1" customWidth="1"/>
    <col min="2" max="2" width="8.7109375" style="100" bestFit="1" customWidth="1"/>
    <col min="3" max="3" width="8" style="100" bestFit="1" customWidth="1"/>
    <col min="4" max="6" width="6.42578125" style="100" bestFit="1" customWidth="1"/>
    <col min="7" max="7" width="8" style="100" bestFit="1" customWidth="1"/>
    <col min="8" max="16384" width="9.140625" style="100"/>
  </cols>
  <sheetData>
    <row r="1" spans="1:7" ht="21" customHeight="1" x14ac:dyDescent="0.25">
      <c r="A1" s="104" t="s">
        <v>84</v>
      </c>
      <c r="B1" s="105"/>
      <c r="C1" s="106">
        <v>2025</v>
      </c>
      <c r="D1" s="107">
        <v>2026</v>
      </c>
      <c r="E1" s="107">
        <v>2027</v>
      </c>
      <c r="F1" s="107">
        <v>2028</v>
      </c>
      <c r="G1" s="107">
        <v>2029</v>
      </c>
    </row>
    <row r="2" spans="1:7" x14ac:dyDescent="0.25">
      <c r="A2" s="108" t="s">
        <v>21</v>
      </c>
      <c r="B2" s="105" t="s">
        <v>85</v>
      </c>
      <c r="C2" s="109">
        <f>C4-C3</f>
        <v>575.38250000000005</v>
      </c>
      <c r="D2" s="109">
        <f t="shared" ref="D2:G2" si="0">D4-D3</f>
        <v>460.30599999999993</v>
      </c>
      <c r="E2" s="109">
        <f t="shared" si="0"/>
        <v>368.2448</v>
      </c>
      <c r="F2" s="109">
        <f t="shared" si="0"/>
        <v>294.59584000000001</v>
      </c>
      <c r="G2" s="109">
        <f t="shared" si="0"/>
        <v>1545.4207999999999</v>
      </c>
    </row>
    <row r="3" spans="1:7" x14ac:dyDescent="0.25">
      <c r="A3" s="108"/>
      <c r="B3" s="105" t="s">
        <v>86</v>
      </c>
      <c r="C3" s="110">
        <v>179.2175</v>
      </c>
      <c r="D3" s="110">
        <v>143.374</v>
      </c>
      <c r="E3" s="110">
        <v>114.6992</v>
      </c>
      <c r="F3" s="110">
        <v>91.759360000000001</v>
      </c>
      <c r="G3" s="110">
        <v>73.407488000000001</v>
      </c>
    </row>
    <row r="4" spans="1:7" x14ac:dyDescent="0.25">
      <c r="A4" s="108"/>
      <c r="B4" s="105" t="s">
        <v>87</v>
      </c>
      <c r="C4" s="110">
        <v>754.6</v>
      </c>
      <c r="D4" s="110">
        <v>603.67999999999995</v>
      </c>
      <c r="E4" s="110">
        <v>482.94400000000002</v>
      </c>
      <c r="F4" s="110">
        <v>386.35520000000002</v>
      </c>
      <c r="G4" s="110">
        <v>1618.8282879999999</v>
      </c>
    </row>
    <row r="5" spans="1:7" x14ac:dyDescent="0.25">
      <c r="A5" s="108" t="s">
        <v>29</v>
      </c>
      <c r="B5" s="105" t="s">
        <v>85</v>
      </c>
      <c r="C5" s="109">
        <f>C7-C6</f>
        <v>3364.9</v>
      </c>
      <c r="D5" s="109">
        <v>0</v>
      </c>
      <c r="E5" s="109">
        <f t="shared" ref="E5:G5" si="1">E7-E6</f>
        <v>0</v>
      </c>
      <c r="F5" s="109">
        <f t="shared" si="1"/>
        <v>0</v>
      </c>
      <c r="G5" s="109">
        <f t="shared" si="1"/>
        <v>0</v>
      </c>
    </row>
    <row r="6" spans="1:7" x14ac:dyDescent="0.25">
      <c r="A6" s="108"/>
      <c r="B6" s="105" t="s">
        <v>86</v>
      </c>
      <c r="C6" s="110">
        <v>177.1</v>
      </c>
      <c r="D6" s="110">
        <v>0</v>
      </c>
      <c r="E6" s="110">
        <v>0</v>
      </c>
      <c r="F6" s="110">
        <v>0</v>
      </c>
      <c r="G6" s="110">
        <v>0</v>
      </c>
    </row>
    <row r="7" spans="1:7" x14ac:dyDescent="0.25">
      <c r="A7" s="108"/>
      <c r="B7" s="105" t="s">
        <v>87</v>
      </c>
      <c r="C7" s="110">
        <v>3542</v>
      </c>
      <c r="D7" s="110">
        <v>0</v>
      </c>
      <c r="E7" s="110">
        <v>0</v>
      </c>
      <c r="F7" s="110">
        <v>0</v>
      </c>
      <c r="G7" s="110">
        <v>0</v>
      </c>
    </row>
    <row r="8" spans="1:7" x14ac:dyDescent="0.25">
      <c r="A8" s="108" t="s">
        <v>88</v>
      </c>
      <c r="B8" s="105" t="s">
        <v>85</v>
      </c>
      <c r="C8" s="110">
        <v>0</v>
      </c>
      <c r="D8" s="110">
        <v>0</v>
      </c>
      <c r="E8" s="110">
        <v>0</v>
      </c>
      <c r="F8" s="110">
        <v>0</v>
      </c>
      <c r="G8" s="110">
        <v>3157</v>
      </c>
    </row>
    <row r="9" spans="1:7" x14ac:dyDescent="0.25">
      <c r="A9" s="108"/>
      <c r="B9" s="105" t="s">
        <v>86</v>
      </c>
      <c r="C9" s="110">
        <v>157.85</v>
      </c>
      <c r="D9" s="110">
        <v>157.85</v>
      </c>
      <c r="E9" s="110">
        <v>157.85</v>
      </c>
      <c r="F9" s="110">
        <v>157.85</v>
      </c>
      <c r="G9" s="110">
        <v>157.85</v>
      </c>
    </row>
    <row r="10" spans="1:7" x14ac:dyDescent="0.25">
      <c r="A10" s="108"/>
      <c r="B10" s="105" t="s">
        <v>87</v>
      </c>
      <c r="C10" s="110">
        <v>0</v>
      </c>
      <c r="D10" s="110">
        <v>0</v>
      </c>
      <c r="E10" s="110">
        <v>0</v>
      </c>
      <c r="F10" s="110">
        <v>0</v>
      </c>
      <c r="G10" s="110">
        <v>3314.85</v>
      </c>
    </row>
  </sheetData>
  <mergeCells count="3">
    <mergeCell ref="A2:A4"/>
    <mergeCell ref="A5:A7"/>
    <mergeCell ref="A8:A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CF22-626B-40D1-A5BC-FA36255E910A}">
  <dimension ref="A1:G60"/>
  <sheetViews>
    <sheetView zoomScale="145" zoomScaleNormal="145" workbookViewId="0">
      <selection activeCell="C11" sqref="C11"/>
    </sheetView>
  </sheetViews>
  <sheetFormatPr defaultRowHeight="15" x14ac:dyDescent="0.25"/>
  <cols>
    <col min="1" max="1" width="13.28515625" style="84" customWidth="1"/>
    <col min="2" max="2" width="6.7109375" style="84" bestFit="1" customWidth="1"/>
    <col min="3" max="3" width="13.5703125" style="84" customWidth="1"/>
    <col min="4" max="4" width="12.7109375" style="84" customWidth="1"/>
    <col min="5" max="5" width="13.28515625" style="84" customWidth="1"/>
    <col min="6" max="6" width="12.7109375" style="84" customWidth="1"/>
    <col min="7" max="7" width="12.140625" style="84" customWidth="1"/>
    <col min="8" max="16384" width="9.140625" style="84"/>
  </cols>
  <sheetData>
    <row r="1" spans="1:7" s="28" customFormat="1" ht="18" x14ac:dyDescent="0.25">
      <c r="A1" s="97" t="s">
        <v>80</v>
      </c>
      <c r="B1" s="98"/>
      <c r="C1" s="98"/>
      <c r="D1" s="98"/>
      <c r="E1" s="98"/>
      <c r="F1" s="98"/>
      <c r="G1" s="99"/>
    </row>
    <row r="2" spans="1:7" s="27" customFormat="1" ht="15" customHeight="1" x14ac:dyDescent="0.2">
      <c r="A2" s="63"/>
      <c r="B2" s="64"/>
      <c r="C2" s="89" t="s">
        <v>78</v>
      </c>
      <c r="D2" s="89"/>
      <c r="E2" s="89"/>
      <c r="F2" s="89"/>
      <c r="G2" s="90"/>
    </row>
    <row r="3" spans="1:7" s="27" customFormat="1" x14ac:dyDescent="0.2">
      <c r="A3" s="65"/>
      <c r="B3" s="88">
        <f>18%</f>
        <v>0.18</v>
      </c>
      <c r="C3" s="78">
        <v>10646</v>
      </c>
      <c r="D3" s="78">
        <v>12000</v>
      </c>
      <c r="E3" s="78">
        <v>14000</v>
      </c>
      <c r="F3" s="78">
        <v>16000</v>
      </c>
      <c r="G3" s="79">
        <v>20000</v>
      </c>
    </row>
    <row r="4" spans="1:7" s="27" customFormat="1" x14ac:dyDescent="0.2">
      <c r="A4" s="91" t="s">
        <v>79</v>
      </c>
      <c r="B4" s="80">
        <v>11</v>
      </c>
      <c r="C4" s="93">
        <v>0.134917926913386</v>
      </c>
      <c r="D4" s="93">
        <v>0.134917926913386</v>
      </c>
      <c r="E4" s="93">
        <v>0.134917926913386</v>
      </c>
      <c r="F4" s="93">
        <v>0.134917926913386</v>
      </c>
      <c r="G4" s="94">
        <v>0.134917926913386</v>
      </c>
    </row>
    <row r="5" spans="1:7" s="27" customFormat="1" x14ac:dyDescent="0.2">
      <c r="A5" s="91"/>
      <c r="B5" s="80">
        <v>12.6</v>
      </c>
      <c r="C5" s="93">
        <v>0.17411036249377809</v>
      </c>
      <c r="D5" s="93">
        <v>0.17411036249377809</v>
      </c>
      <c r="E5" s="93">
        <v>0.17411036249377809</v>
      </c>
      <c r="F5" s="93">
        <v>0.17411036249377809</v>
      </c>
      <c r="G5" s="94">
        <v>0.17411036249377809</v>
      </c>
    </row>
    <row r="6" spans="1:7" s="27" customFormat="1" x14ac:dyDescent="0.2">
      <c r="A6" s="91"/>
      <c r="B6" s="80">
        <v>14</v>
      </c>
      <c r="C6" s="93">
        <v>0.20544748087771159</v>
      </c>
      <c r="D6" s="93">
        <v>0.20544748087771159</v>
      </c>
      <c r="E6" s="93">
        <v>0.20544748087771159</v>
      </c>
      <c r="F6" s="93">
        <v>0.20544748087771159</v>
      </c>
      <c r="G6" s="94">
        <v>0.20544748087771159</v>
      </c>
    </row>
    <row r="7" spans="1:7" s="27" customFormat="1" x14ac:dyDescent="0.2">
      <c r="A7" s="92"/>
      <c r="B7" s="81">
        <v>15</v>
      </c>
      <c r="C7" s="95">
        <v>0.22641964798036218</v>
      </c>
      <c r="D7" s="95">
        <v>0.22641964798036218</v>
      </c>
      <c r="E7" s="95">
        <v>0.22641964798036218</v>
      </c>
      <c r="F7" s="95">
        <v>0.22641964798036218</v>
      </c>
      <c r="G7" s="96">
        <v>0.22641964798036218</v>
      </c>
    </row>
    <row r="8" spans="1:7" s="27" customFormat="1" x14ac:dyDescent="0.25"/>
    <row r="9" spans="1:7" s="27" customFormat="1" x14ac:dyDescent="0.25"/>
    <row r="10" spans="1:7" s="27" customFormat="1" x14ac:dyDescent="0.25"/>
    <row r="11" spans="1:7" s="28" customFormat="1" x14ac:dyDescent="0.25"/>
    <row r="12" spans="1:7" s="27" customFormat="1" x14ac:dyDescent="0.25"/>
    <row r="13" spans="1:7" s="27" customFormat="1" x14ac:dyDescent="0.25"/>
    <row r="14" spans="1:7" s="28" customFormat="1" x14ac:dyDescent="0.25"/>
    <row r="15" spans="1:7" s="27" customFormat="1" x14ac:dyDescent="0.25"/>
    <row r="16" spans="1:7" s="27" customFormat="1" x14ac:dyDescent="0.25"/>
    <row r="17" spans="1:1" s="27" customFormat="1" x14ac:dyDescent="0.25"/>
    <row r="18" spans="1:1" s="27" customFormat="1" x14ac:dyDescent="0.25"/>
    <row r="19" spans="1:1" s="27" customFormat="1" x14ac:dyDescent="0.25"/>
    <row r="20" spans="1:1" s="27" customFormat="1" x14ac:dyDescent="0.25"/>
    <row r="21" spans="1:1" s="82" customFormat="1" x14ac:dyDescent="0.25"/>
    <row r="22" spans="1:1" s="83" customFormat="1" x14ac:dyDescent="0.25"/>
    <row r="23" spans="1:1" s="28" customFormat="1" x14ac:dyDescent="0.25"/>
    <row r="24" spans="1:1" x14ac:dyDescent="0.25">
      <c r="A24" s="28"/>
    </row>
    <row r="25" spans="1:1" x14ac:dyDescent="0.25">
      <c r="A25" s="27"/>
    </row>
    <row r="26" spans="1:1" x14ac:dyDescent="0.25">
      <c r="A26" s="27"/>
    </row>
    <row r="27" spans="1:1" x14ac:dyDescent="0.25">
      <c r="A27" s="27"/>
    </row>
    <row r="28" spans="1:1" x14ac:dyDescent="0.25">
      <c r="A28" s="27"/>
    </row>
    <row r="29" spans="1:1" x14ac:dyDescent="0.25">
      <c r="A29" s="27"/>
    </row>
    <row r="30" spans="1:1" x14ac:dyDescent="0.25">
      <c r="A30" s="27"/>
    </row>
    <row r="31" spans="1:1" x14ac:dyDescent="0.25">
      <c r="A31" s="27"/>
    </row>
    <row r="32" spans="1:1" x14ac:dyDescent="0.25">
      <c r="A32" s="27"/>
    </row>
    <row r="33" spans="1:1" x14ac:dyDescent="0.25">
      <c r="A33" s="27"/>
    </row>
    <row r="34" spans="1:1" x14ac:dyDescent="0.25">
      <c r="A34" s="27"/>
    </row>
    <row r="35" spans="1:1" x14ac:dyDescent="0.25">
      <c r="A35" s="85"/>
    </row>
    <row r="36" spans="1:1" x14ac:dyDescent="0.25">
      <c r="A36" s="82"/>
    </row>
    <row r="37" spans="1:1" x14ac:dyDescent="0.25">
      <c r="A37" s="86"/>
    </row>
    <row r="38" spans="1:1" x14ac:dyDescent="0.25">
      <c r="A38" s="86"/>
    </row>
    <row r="39" spans="1:1" x14ac:dyDescent="0.25">
      <c r="A39" s="86"/>
    </row>
    <row r="40" spans="1:1" x14ac:dyDescent="0.25">
      <c r="A40" s="86"/>
    </row>
    <row r="41" spans="1:1" x14ac:dyDescent="0.25">
      <c r="A41" s="28"/>
    </row>
    <row r="42" spans="1:1" x14ac:dyDescent="0.25">
      <c r="A42" s="27"/>
    </row>
    <row r="43" spans="1:1" x14ac:dyDescent="0.25">
      <c r="A43" s="27"/>
    </row>
    <row r="44" spans="1:1" x14ac:dyDescent="0.25">
      <c r="A44" s="27"/>
    </row>
    <row r="45" spans="1:1" x14ac:dyDescent="0.25">
      <c r="A45" s="27"/>
    </row>
    <row r="46" spans="1:1" x14ac:dyDescent="0.25">
      <c r="A46" s="85"/>
    </row>
    <row r="47" spans="1:1" x14ac:dyDescent="0.25">
      <c r="A47" s="87"/>
    </row>
    <row r="48" spans="1:1" x14ac:dyDescent="0.25">
      <c r="A48" s="33"/>
    </row>
    <row r="49" spans="1:1" x14ac:dyDescent="0.25">
      <c r="A49" s="27"/>
    </row>
    <row r="50" spans="1:1" x14ac:dyDescent="0.25">
      <c r="A50" s="27"/>
    </row>
    <row r="51" spans="1:1" x14ac:dyDescent="0.25">
      <c r="A51" s="27"/>
    </row>
    <row r="52" spans="1:1" x14ac:dyDescent="0.25">
      <c r="A52" s="27"/>
    </row>
    <row r="53" spans="1:1" x14ac:dyDescent="0.25">
      <c r="A53" s="27"/>
    </row>
    <row r="54" spans="1:1" x14ac:dyDescent="0.25">
      <c r="A54" s="87"/>
    </row>
    <row r="55" spans="1:1" x14ac:dyDescent="0.25">
      <c r="A55" s="27"/>
    </row>
    <row r="56" spans="1:1" x14ac:dyDescent="0.25">
      <c r="A56" s="27"/>
    </row>
    <row r="57" spans="1:1" x14ac:dyDescent="0.25">
      <c r="A57" s="27"/>
    </row>
    <row r="58" spans="1:1" x14ac:dyDescent="0.25">
      <c r="A58" s="27"/>
    </row>
    <row r="59" spans="1:1" x14ac:dyDescent="0.25">
      <c r="A59" s="27"/>
    </row>
    <row r="60" spans="1:1" x14ac:dyDescent="0.25">
      <c r="A60" s="27"/>
    </row>
  </sheetData>
  <mergeCells count="3">
    <mergeCell ref="A1:G1"/>
    <mergeCell ref="C2:G2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LBO</vt:lpstr>
      <vt:lpstr>Debt Repayment</vt:lpstr>
      <vt:lpstr>IRR Sensitivity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Shantanu Patil</cp:lastModifiedBy>
  <dcterms:created xsi:type="dcterms:W3CDTF">2016-08-25T09:14:55Z</dcterms:created>
  <dcterms:modified xsi:type="dcterms:W3CDTF">2025-04-22T22:18:56Z</dcterms:modified>
</cp:coreProperties>
</file>